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tables/table1.xml" ContentType="application/vnd.openxmlformats-officedocument.spreadsheetml.tab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2.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4.xml" ContentType="application/vnd.openxmlformats-officedocument.drawing+xml"/>
  <Override PartName="/xl/tables/table2.xml" ContentType="application/vnd.openxmlformats-officedocument.spreadsheetml.tab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S:\Health System Improvement\MHSU + LTC Dept\Low Carbon, High Quality Care\LCHQ Care Collaborative 2024\2. Content Development &amp; Delivery\3. Report &amp; Worksheet Templates\Data Tracking Templates\"/>
    </mc:Choice>
  </mc:AlternateContent>
  <xr:revisionPtr revIDLastSave="0" documentId="13_ncr:1_{F8F97A88-4A6E-4665-9130-757B6BB55F63}" xr6:coauthVersionLast="47" xr6:coauthVersionMax="47" xr10:uidLastSave="{00000000-0000-0000-0000-000000000000}"/>
  <bookViews>
    <workbookView xWindow="-28920" yWindow="-120" windowWidth="29040" windowHeight="15840" tabRatio="889" firstSheet="4" activeTab="15" xr2:uid="{96CE5CA9-4448-4455-9968-3F0604E5CD8B}"/>
  </bookViews>
  <sheets>
    <sheet name="Cover" sheetId="5" r:id="rId1"/>
    <sheet name="Anesthetic Gases" sheetId="2" r:id="rId2"/>
    <sheet name="Unnecessary Tests" sheetId="11" r:id="rId3"/>
    <sheet name="Regional Blocks" sheetId="20" r:id="rId4"/>
    <sheet name="Adverse Events" sheetId="17" r:id="rId5"/>
    <sheet name="PACU Usage" sheetId="21" r:id="rId6"/>
    <sheet name="OR Usage" sheetId="22" r:id="rId7"/>
    <sheet name="Post-Op Pain" sheetId="13" r:id="rId8"/>
    <sheet name="Patient Experience" sheetId="18" r:id="rId9"/>
    <sheet name="HCP Experience" sheetId="19" r:id="rId10"/>
    <sheet name="Length of Stay" sheetId="26" r:id="rId11"/>
    <sheet name="Waste Reduction" sheetId="31" r:id="rId12"/>
    <sheet name="Readmissions" sheetId="30" r:id="rId13"/>
    <sheet name="Visits" sheetId="29" r:id="rId14"/>
    <sheet name="Waste Reduction - Example" sheetId="32" r:id="rId15"/>
    <sheet name="Reference Tables" sheetId="6" r:id="rId16"/>
    <sheet name="References" sheetId="23"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32" l="1"/>
  <c r="I7" i="32"/>
  <c r="C104" i="32"/>
  <c r="C103" i="32"/>
  <c r="C102" i="32"/>
  <c r="C101" i="32"/>
  <c r="C100" i="32"/>
  <c r="C99" i="32"/>
  <c r="C86" i="32"/>
  <c r="C85" i="32"/>
  <c r="C84" i="32"/>
  <c r="C83" i="32"/>
  <c r="C82" i="32"/>
  <c r="C81" i="32"/>
  <c r="E68" i="32"/>
  <c r="D68" i="32"/>
  <c r="C68" i="32"/>
  <c r="E67" i="32"/>
  <c r="D67" i="32"/>
  <c r="C67" i="32"/>
  <c r="E66" i="32"/>
  <c r="D66" i="32"/>
  <c r="C66" i="32"/>
  <c r="E65" i="32"/>
  <c r="D65" i="32"/>
  <c r="C65" i="32"/>
  <c r="E64" i="32"/>
  <c r="D64" i="32"/>
  <c r="C64" i="32"/>
  <c r="E63" i="32"/>
  <c r="D63" i="32"/>
  <c r="C63" i="32"/>
  <c r="D62" i="32"/>
  <c r="D61" i="32"/>
  <c r="D60" i="32"/>
  <c r="D59" i="32"/>
  <c r="E50" i="32"/>
  <c r="D50" i="32"/>
  <c r="C50" i="32"/>
  <c r="E49" i="32"/>
  <c r="D49" i="32"/>
  <c r="C49" i="32"/>
  <c r="E48" i="32"/>
  <c r="D48" i="32"/>
  <c r="C48" i="32"/>
  <c r="E47" i="32"/>
  <c r="D47" i="32"/>
  <c r="C47" i="32"/>
  <c r="E46" i="32"/>
  <c r="D46" i="32"/>
  <c r="C46" i="32"/>
  <c r="E45" i="32"/>
  <c r="D45" i="32"/>
  <c r="C45" i="32"/>
  <c r="D44" i="32"/>
  <c r="D43" i="32"/>
  <c r="D42" i="32"/>
  <c r="D41" i="32"/>
  <c r="S32" i="32"/>
  <c r="R32" i="32"/>
  <c r="Q32" i="32"/>
  <c r="P32" i="32"/>
  <c r="O32" i="32"/>
  <c r="N32" i="32"/>
  <c r="M32" i="32"/>
  <c r="L32" i="32"/>
  <c r="K32" i="32"/>
  <c r="J32" i="32"/>
  <c r="I32" i="32"/>
  <c r="H32" i="32"/>
  <c r="G32" i="32"/>
  <c r="S31" i="32"/>
  <c r="R31" i="32"/>
  <c r="Q31" i="32"/>
  <c r="P31" i="32"/>
  <c r="O31" i="32"/>
  <c r="N31" i="32"/>
  <c r="M31" i="32"/>
  <c r="L31" i="32"/>
  <c r="K31" i="32"/>
  <c r="J31" i="32"/>
  <c r="I31" i="32"/>
  <c r="H31" i="32"/>
  <c r="G31" i="32"/>
  <c r="S30" i="32"/>
  <c r="R30" i="32"/>
  <c r="Q30" i="32"/>
  <c r="P30" i="32"/>
  <c r="O30" i="32"/>
  <c r="N30" i="32"/>
  <c r="M30" i="32"/>
  <c r="L30" i="32"/>
  <c r="K30" i="32"/>
  <c r="J30" i="32"/>
  <c r="I30" i="32"/>
  <c r="H30" i="32"/>
  <c r="G30" i="32"/>
  <c r="S29" i="32"/>
  <c r="R29" i="32"/>
  <c r="Q29" i="32"/>
  <c r="P29" i="32"/>
  <c r="O29" i="32"/>
  <c r="N29" i="32"/>
  <c r="M29" i="32"/>
  <c r="L29" i="32"/>
  <c r="K29" i="32"/>
  <c r="J29" i="32"/>
  <c r="I29" i="32"/>
  <c r="H29" i="32"/>
  <c r="G29" i="32"/>
  <c r="S28" i="32"/>
  <c r="R28" i="32"/>
  <c r="Q28" i="32"/>
  <c r="P28" i="32"/>
  <c r="O28" i="32"/>
  <c r="N28" i="32"/>
  <c r="M28" i="32"/>
  <c r="L28" i="32"/>
  <c r="K28" i="32"/>
  <c r="J28" i="32"/>
  <c r="I28" i="32"/>
  <c r="H28" i="32"/>
  <c r="G28" i="32"/>
  <c r="S27" i="32"/>
  <c r="R27" i="32"/>
  <c r="Q27" i="32"/>
  <c r="P27" i="32"/>
  <c r="O27" i="32"/>
  <c r="N27" i="32"/>
  <c r="M27" i="32"/>
  <c r="L27" i="32"/>
  <c r="K27" i="32"/>
  <c r="J27" i="32"/>
  <c r="I27" i="32"/>
  <c r="H27" i="32"/>
  <c r="G27" i="32"/>
  <c r="S26" i="32"/>
  <c r="R26" i="32"/>
  <c r="Q26" i="32"/>
  <c r="P26" i="32"/>
  <c r="O26" i="32"/>
  <c r="N26" i="32"/>
  <c r="M26" i="32"/>
  <c r="L26" i="32"/>
  <c r="K26" i="32"/>
  <c r="J26" i="32"/>
  <c r="I26" i="32"/>
  <c r="H26" i="32"/>
  <c r="G26" i="32"/>
  <c r="S25" i="32"/>
  <c r="R25" i="32"/>
  <c r="Q25" i="32"/>
  <c r="P25" i="32"/>
  <c r="O25" i="32"/>
  <c r="N25" i="32"/>
  <c r="M25" i="32"/>
  <c r="L25" i="32"/>
  <c r="K25" i="32"/>
  <c r="J25" i="32"/>
  <c r="I25" i="32"/>
  <c r="H25" i="32"/>
  <c r="G25" i="32"/>
  <c r="S24" i="32"/>
  <c r="R24" i="32"/>
  <c r="Q24" i="32"/>
  <c r="P24" i="32"/>
  <c r="O24" i="32"/>
  <c r="N24" i="32"/>
  <c r="M24" i="32"/>
  <c r="L24" i="32"/>
  <c r="K24" i="32"/>
  <c r="J24" i="32"/>
  <c r="I24" i="32"/>
  <c r="H24" i="32"/>
  <c r="G24" i="32"/>
  <c r="S23" i="32"/>
  <c r="R23" i="32"/>
  <c r="Q23" i="32"/>
  <c r="P23" i="32"/>
  <c r="O23" i="32"/>
  <c r="M23" i="32"/>
  <c r="L23" i="32"/>
  <c r="J23" i="32"/>
  <c r="I23" i="32"/>
  <c r="H23" i="32"/>
  <c r="G23" i="32"/>
  <c r="S22" i="32"/>
  <c r="R22" i="32"/>
  <c r="Q22" i="32"/>
  <c r="N22" i="32" s="1"/>
  <c r="K22" i="32" s="1"/>
  <c r="P22" i="32"/>
  <c r="O22" i="32"/>
  <c r="M22" i="32"/>
  <c r="L22" i="32"/>
  <c r="J22" i="32"/>
  <c r="I22" i="32"/>
  <c r="H22" i="32"/>
  <c r="G22" i="32"/>
  <c r="S21" i="32"/>
  <c r="L21" i="32" s="1"/>
  <c r="R21" i="32"/>
  <c r="Q21" i="32"/>
  <c r="P21" i="32"/>
  <c r="O21" i="32"/>
  <c r="H21" i="32" s="1"/>
  <c r="N21" i="32"/>
  <c r="K21" i="32" s="1"/>
  <c r="M21" i="32"/>
  <c r="J21" i="32" s="1"/>
  <c r="I21" i="32"/>
  <c r="G21" i="32"/>
  <c r="S20" i="32"/>
  <c r="L20" i="32" s="1"/>
  <c r="R20" i="32"/>
  <c r="N20" i="32" s="1"/>
  <c r="K20" i="32" s="1"/>
  <c r="C61" i="32" s="1"/>
  <c r="E61" i="32" s="1"/>
  <c r="Q20" i="32"/>
  <c r="P20" i="32"/>
  <c r="I20" i="32" s="1"/>
  <c r="C79" i="32" s="1"/>
  <c r="O20" i="32"/>
  <c r="M20" i="32"/>
  <c r="J20" i="32"/>
  <c r="H20" i="32"/>
  <c r="G20" i="32"/>
  <c r="C43" i="32" s="1"/>
  <c r="S19" i="32"/>
  <c r="R19" i="32"/>
  <c r="Q19" i="32"/>
  <c r="P19" i="32"/>
  <c r="I19" i="32" s="1"/>
  <c r="O19" i="32"/>
  <c r="H19" i="32" s="1"/>
  <c r="M19" i="32"/>
  <c r="L19" i="32"/>
  <c r="J19" i="32"/>
  <c r="G19" i="32"/>
  <c r="S18" i="32"/>
  <c r="L18" i="32" s="1"/>
  <c r="R18" i="32"/>
  <c r="Q18" i="32"/>
  <c r="P18" i="32"/>
  <c r="O18" i="32"/>
  <c r="M18" i="32"/>
  <c r="J18" i="32"/>
  <c r="I18" i="32"/>
  <c r="H18" i="32"/>
  <c r="G18" i="32"/>
  <c r="C42" i="32" s="1"/>
  <c r="S17" i="32"/>
  <c r="R17" i="32"/>
  <c r="Q17" i="32"/>
  <c r="P17" i="32"/>
  <c r="I17" i="32" s="1"/>
  <c r="C77" i="32" s="1"/>
  <c r="O17" i="32"/>
  <c r="H17" i="32" s="1"/>
  <c r="M17" i="32"/>
  <c r="L17" i="32"/>
  <c r="C95" i="32" s="1"/>
  <c r="J17" i="32"/>
  <c r="G17" i="32"/>
  <c r="C41" i="32" s="1"/>
  <c r="I10" i="32"/>
  <c r="I9" i="32"/>
  <c r="C104" i="31"/>
  <c r="C103" i="31"/>
  <c r="C102" i="31"/>
  <c r="C101" i="31"/>
  <c r="C100" i="31"/>
  <c r="C86" i="31"/>
  <c r="C85" i="31"/>
  <c r="C84" i="31"/>
  <c r="C83" i="31"/>
  <c r="C82" i="31"/>
  <c r="E68" i="31"/>
  <c r="D68" i="31"/>
  <c r="C68" i="31"/>
  <c r="E67" i="31"/>
  <c r="D67" i="31"/>
  <c r="C67" i="31"/>
  <c r="E66" i="31"/>
  <c r="D66" i="31"/>
  <c r="C66" i="31"/>
  <c r="E65" i="31"/>
  <c r="D65" i="31"/>
  <c r="C65" i="31"/>
  <c r="E64" i="31"/>
  <c r="D64" i="31"/>
  <c r="C64" i="31"/>
  <c r="D63" i="31"/>
  <c r="D62" i="31"/>
  <c r="D61" i="31"/>
  <c r="D60" i="31"/>
  <c r="D59" i="31"/>
  <c r="E50" i="31"/>
  <c r="D50" i="31"/>
  <c r="C50" i="31"/>
  <c r="E49" i="31"/>
  <c r="D49" i="31"/>
  <c r="C49" i="31"/>
  <c r="E48" i="31"/>
  <c r="D48" i="31"/>
  <c r="C48" i="31"/>
  <c r="E47" i="31"/>
  <c r="D47" i="31"/>
  <c r="C47" i="31"/>
  <c r="E46" i="31"/>
  <c r="D46" i="31"/>
  <c r="C46" i="31"/>
  <c r="D45" i="31"/>
  <c r="D44" i="31"/>
  <c r="C44" i="31"/>
  <c r="E44" i="31" s="1"/>
  <c r="D43" i="31"/>
  <c r="D42" i="31"/>
  <c r="D41" i="31"/>
  <c r="S32" i="31"/>
  <c r="R32" i="31"/>
  <c r="Q32" i="31"/>
  <c r="P32" i="31"/>
  <c r="O32" i="31"/>
  <c r="N32" i="31"/>
  <c r="M32" i="31"/>
  <c r="L32" i="31"/>
  <c r="K32" i="31"/>
  <c r="J32" i="31"/>
  <c r="I32" i="31"/>
  <c r="H32" i="31"/>
  <c r="G32" i="31"/>
  <c r="S31" i="31"/>
  <c r="R31" i="31"/>
  <c r="Q31" i="31"/>
  <c r="P31" i="31"/>
  <c r="O31" i="31"/>
  <c r="N31" i="31"/>
  <c r="M31" i="31"/>
  <c r="L31" i="31"/>
  <c r="K31" i="31"/>
  <c r="J31" i="31"/>
  <c r="I31" i="31"/>
  <c r="H31" i="31"/>
  <c r="G31" i="31"/>
  <c r="S30" i="31"/>
  <c r="R30" i="31"/>
  <c r="Q30" i="31"/>
  <c r="P30" i="31"/>
  <c r="O30" i="31"/>
  <c r="N30" i="31"/>
  <c r="M30" i="31"/>
  <c r="L30" i="31"/>
  <c r="K30" i="31"/>
  <c r="J30" i="31"/>
  <c r="I30" i="31"/>
  <c r="H30" i="31"/>
  <c r="G30" i="31"/>
  <c r="S29" i="31"/>
  <c r="R29" i="31"/>
  <c r="Q29" i="31"/>
  <c r="P29" i="31"/>
  <c r="O29" i="31"/>
  <c r="N29" i="31"/>
  <c r="M29" i="31"/>
  <c r="L29" i="31"/>
  <c r="K29" i="31"/>
  <c r="J29" i="31"/>
  <c r="I29" i="31"/>
  <c r="H29" i="31"/>
  <c r="G29" i="31"/>
  <c r="S28" i="31"/>
  <c r="R28" i="31"/>
  <c r="Q28" i="31"/>
  <c r="P28" i="31"/>
  <c r="O28" i="31"/>
  <c r="N28" i="31"/>
  <c r="M28" i="31"/>
  <c r="L28" i="31"/>
  <c r="K28" i="31"/>
  <c r="J28" i="31"/>
  <c r="I28" i="31"/>
  <c r="H28" i="31"/>
  <c r="G28" i="31"/>
  <c r="S27" i="31"/>
  <c r="R27" i="31"/>
  <c r="Q27" i="31"/>
  <c r="P27" i="31"/>
  <c r="O27" i="31"/>
  <c r="N27" i="31"/>
  <c r="M27" i="31"/>
  <c r="L27" i="31"/>
  <c r="K27" i="31"/>
  <c r="J27" i="31"/>
  <c r="I27" i="31"/>
  <c r="H27" i="31"/>
  <c r="G27" i="31"/>
  <c r="S26" i="31"/>
  <c r="L26" i="31" s="1"/>
  <c r="R26" i="31"/>
  <c r="N26" i="31" s="1"/>
  <c r="K26" i="31" s="1"/>
  <c r="Q26" i="31"/>
  <c r="O26" i="31"/>
  <c r="H26" i="31" s="1"/>
  <c r="M26" i="31"/>
  <c r="J26" i="31" s="1"/>
  <c r="G26" i="31"/>
  <c r="S25" i="31"/>
  <c r="L25" i="31" s="1"/>
  <c r="R25" i="31"/>
  <c r="Q25" i="31"/>
  <c r="P25" i="31"/>
  <c r="I25" i="31" s="1"/>
  <c r="O25" i="31"/>
  <c r="M25" i="31"/>
  <c r="H25" i="31"/>
  <c r="G25" i="31"/>
  <c r="C45" i="31" s="1"/>
  <c r="E45" i="31" s="1"/>
  <c r="S24" i="31"/>
  <c r="L24" i="31" s="1"/>
  <c r="R24" i="31"/>
  <c r="Q24" i="31"/>
  <c r="O24" i="31"/>
  <c r="M24" i="31"/>
  <c r="J24" i="31" s="1"/>
  <c r="H24" i="31"/>
  <c r="G24" i="31"/>
  <c r="S23" i="31"/>
  <c r="L23" i="31" s="1"/>
  <c r="C98" i="31" s="1"/>
  <c r="R23" i="31"/>
  <c r="N23" i="31" s="1"/>
  <c r="K23" i="31" s="1"/>
  <c r="Q23" i="31"/>
  <c r="O23" i="31"/>
  <c r="H23" i="31" s="1"/>
  <c r="M23" i="31"/>
  <c r="J23" i="31" s="1"/>
  <c r="G23" i="31"/>
  <c r="S22" i="31"/>
  <c r="L22" i="31" s="1"/>
  <c r="R22" i="31"/>
  <c r="N22" i="31" s="1"/>
  <c r="K22" i="31" s="1"/>
  <c r="Q22" i="31"/>
  <c r="P22" i="31"/>
  <c r="I22" i="31" s="1"/>
  <c r="O22" i="31"/>
  <c r="H22" i="31" s="1"/>
  <c r="M22" i="31"/>
  <c r="J22" i="31"/>
  <c r="G22" i="31"/>
  <c r="S21" i="31"/>
  <c r="L21" i="31" s="1"/>
  <c r="R21" i="31"/>
  <c r="Q21" i="31"/>
  <c r="O21" i="31"/>
  <c r="M21" i="31"/>
  <c r="J21" i="31" s="1"/>
  <c r="H21" i="31"/>
  <c r="G21" i="31"/>
  <c r="C43" i="31" s="1"/>
  <c r="E43" i="31" s="1"/>
  <c r="S20" i="31"/>
  <c r="L20" i="31" s="1"/>
  <c r="R20" i="31"/>
  <c r="Q20" i="31"/>
  <c r="P20" i="31"/>
  <c r="O20" i="31"/>
  <c r="M20" i="31"/>
  <c r="J20" i="31"/>
  <c r="I20" i="31"/>
  <c r="H20" i="31"/>
  <c r="G20" i="31"/>
  <c r="S19" i="31"/>
  <c r="R19" i="31"/>
  <c r="Q19" i="31"/>
  <c r="O19" i="31"/>
  <c r="H19" i="31" s="1"/>
  <c r="M19" i="31"/>
  <c r="J19" i="31" s="1"/>
  <c r="L19" i="31"/>
  <c r="C96" i="31" s="1"/>
  <c r="G19" i="31"/>
  <c r="C42" i="31" s="1"/>
  <c r="E42" i="31" s="1"/>
  <c r="S18" i="31"/>
  <c r="L18" i="31" s="1"/>
  <c r="R18" i="31"/>
  <c r="Q18" i="31"/>
  <c r="O18" i="31"/>
  <c r="H18" i="31" s="1"/>
  <c r="M18" i="31"/>
  <c r="J18" i="31"/>
  <c r="G18" i="31"/>
  <c r="S17" i="31"/>
  <c r="R17" i="31"/>
  <c r="Q17" i="31"/>
  <c r="P17" i="31"/>
  <c r="I17" i="31" s="1"/>
  <c r="O17" i="31"/>
  <c r="M17" i="31"/>
  <c r="N17" i="31" s="1"/>
  <c r="K17" i="31" s="1"/>
  <c r="C59" i="31" s="1"/>
  <c r="E59" i="31" s="1"/>
  <c r="L17" i="31"/>
  <c r="C95" i="31" s="1"/>
  <c r="H17" i="31"/>
  <c r="G17" i="31"/>
  <c r="C41" i="31" s="1"/>
  <c r="I10" i="31"/>
  <c r="I9" i="31"/>
  <c r="I8" i="31"/>
  <c r="P26" i="31" s="1"/>
  <c r="I26" i="31" s="1"/>
  <c r="I7" i="31"/>
  <c r="P23" i="31" s="1"/>
  <c r="I23" i="31" s="1"/>
  <c r="E41" i="31" l="1"/>
  <c r="N23" i="32"/>
  <c r="K23" i="32" s="1"/>
  <c r="C62" i="32" s="1"/>
  <c r="E62" i="32" s="1"/>
  <c r="N18" i="32"/>
  <c r="K18" i="32" s="1"/>
  <c r="N19" i="32"/>
  <c r="K19" i="32" s="1"/>
  <c r="C80" i="32"/>
  <c r="N17" i="32"/>
  <c r="K17" i="32" s="1"/>
  <c r="C59" i="32" s="1"/>
  <c r="E59" i="32" s="1"/>
  <c r="C98" i="32"/>
  <c r="C44" i="32"/>
  <c r="E44" i="32" s="1"/>
  <c r="E43" i="32"/>
  <c r="E42" i="32"/>
  <c r="C60" i="32"/>
  <c r="E60" i="32" s="1"/>
  <c r="C97" i="32"/>
  <c r="C96" i="32"/>
  <c r="C78" i="32"/>
  <c r="E41" i="32"/>
  <c r="N20" i="31"/>
  <c r="K20" i="31" s="1"/>
  <c r="N19" i="31"/>
  <c r="K19" i="31" s="1"/>
  <c r="C60" i="31" s="1"/>
  <c r="E60" i="31" s="1"/>
  <c r="N18" i="31"/>
  <c r="K18" i="31" s="1"/>
  <c r="N25" i="31"/>
  <c r="K25" i="31" s="1"/>
  <c r="C63" i="31" s="1"/>
  <c r="E63" i="31" s="1"/>
  <c r="C99" i="31"/>
  <c r="C80" i="31"/>
  <c r="C97" i="31"/>
  <c r="C81" i="31"/>
  <c r="J17" i="31"/>
  <c r="P19" i="31"/>
  <c r="I19" i="31" s="1"/>
  <c r="C78" i="31" s="1"/>
  <c r="N21" i="31"/>
  <c r="K21" i="31" s="1"/>
  <c r="C61" i="31" s="1"/>
  <c r="E61" i="31" s="1"/>
  <c r="J25" i="31"/>
  <c r="P24" i="31"/>
  <c r="I24" i="31" s="1"/>
  <c r="N24" i="31"/>
  <c r="K24" i="31" s="1"/>
  <c r="C62" i="31" s="1"/>
  <c r="E62" i="31" s="1"/>
  <c r="P21" i="31"/>
  <c r="I21" i="31" s="1"/>
  <c r="C79" i="31" s="1"/>
  <c r="P18" i="31"/>
  <c r="I18" i="31" s="1"/>
  <c r="C77" i="31" s="1"/>
  <c r="J3" i="6" l="1"/>
  <c r="J4" i="6"/>
  <c r="J5" i="6"/>
  <c r="G3" i="6"/>
  <c r="G4" i="6"/>
  <c r="G5" i="6"/>
  <c r="C28" i="29" l="1"/>
  <c r="C29" i="29"/>
  <c r="C30" i="29"/>
  <c r="C31" i="29"/>
  <c r="C32" i="29"/>
  <c r="C33" i="29"/>
  <c r="C34" i="29"/>
  <c r="C35" i="29"/>
  <c r="C36" i="29"/>
  <c r="C27" i="29"/>
  <c r="D10" i="30"/>
  <c r="C29" i="30"/>
  <c r="C30" i="30"/>
  <c r="C31" i="30"/>
  <c r="C32" i="30"/>
  <c r="C33" i="30"/>
  <c r="C34" i="30"/>
  <c r="C35" i="30"/>
  <c r="C36" i="30"/>
  <c r="C37" i="30"/>
  <c r="C38" i="30"/>
  <c r="F19" i="30"/>
  <c r="D19" i="30"/>
  <c r="F18" i="30"/>
  <c r="D18" i="30"/>
  <c r="F17" i="30"/>
  <c r="D17" i="30"/>
  <c r="F16" i="30"/>
  <c r="D16" i="30"/>
  <c r="F15" i="30"/>
  <c r="D15" i="30"/>
  <c r="F14" i="30"/>
  <c r="D14" i="30"/>
  <c r="F13" i="30"/>
  <c r="D13" i="30"/>
  <c r="F12" i="30"/>
  <c r="D12" i="30"/>
  <c r="F11" i="30"/>
  <c r="D11" i="30"/>
  <c r="F10" i="30"/>
  <c r="F22" i="6"/>
  <c r="B27" i="6"/>
  <c r="F27" i="6"/>
  <c r="B36" i="6"/>
  <c r="F36" i="6"/>
  <c r="B23" i="6"/>
  <c r="B24" i="6"/>
  <c r="B37" i="6"/>
  <c r="B44" i="6"/>
  <c r="B45" i="6"/>
  <c r="F23" i="6"/>
  <c r="F24" i="6"/>
  <c r="F37" i="6"/>
  <c r="F44" i="6"/>
  <c r="F45" i="6"/>
  <c r="B40" i="6"/>
  <c r="B41" i="6"/>
  <c r="F40" i="6"/>
  <c r="F41" i="6"/>
  <c r="B35" i="6"/>
  <c r="F35" i="6"/>
  <c r="B52" i="6"/>
  <c r="B51" i="6"/>
  <c r="F52" i="6"/>
  <c r="F51" i="6"/>
  <c r="B48" i="6"/>
  <c r="B28" i="6"/>
  <c r="F48" i="6"/>
  <c r="F28" i="6"/>
  <c r="D10" i="26"/>
  <c r="G26" i="20"/>
  <c r="B49" i="6"/>
  <c r="B50" i="6"/>
  <c r="F49" i="6"/>
  <c r="F50" i="6"/>
  <c r="B25" i="6"/>
  <c r="B26" i="6"/>
  <c r="F25" i="6"/>
  <c r="F26" i="6"/>
  <c r="B31" i="6"/>
  <c r="B32" i="6"/>
  <c r="F31" i="6"/>
  <c r="F32" i="6"/>
  <c r="D11" i="26"/>
  <c r="G27" i="20"/>
  <c r="G28" i="20"/>
  <c r="G29" i="20"/>
  <c r="G30" i="20"/>
  <c r="G31" i="20"/>
  <c r="G32" i="20"/>
  <c r="G33" i="20"/>
  <c r="G34" i="20"/>
  <c r="G35" i="20"/>
  <c r="G36" i="20"/>
  <c r="G37" i="20"/>
  <c r="G38" i="20"/>
  <c r="G39" i="20"/>
  <c r="G40" i="20"/>
  <c r="G41" i="20"/>
  <c r="B21" i="6"/>
  <c r="B22" i="6"/>
  <c r="B46" i="6"/>
  <c r="B47" i="6"/>
  <c r="B38" i="6"/>
  <c r="B39" i="6"/>
  <c r="B42" i="6"/>
  <c r="B43" i="6"/>
  <c r="B29" i="6"/>
  <c r="B30" i="6"/>
  <c r="B33" i="6"/>
  <c r="B34" i="6"/>
  <c r="F26" i="20"/>
  <c r="F34" i="6" l="1"/>
  <c r="F46" i="6"/>
  <c r="F47" i="6"/>
  <c r="F38" i="6"/>
  <c r="F39" i="6"/>
  <c r="F42" i="6"/>
  <c r="F43" i="6"/>
  <c r="F29" i="6"/>
  <c r="F30" i="6"/>
  <c r="F33" i="6"/>
  <c r="F21" i="6"/>
  <c r="E10" i="29"/>
  <c r="E11" i="29"/>
  <c r="E12" i="29"/>
  <c r="E13" i="29"/>
  <c r="E14" i="29"/>
  <c r="E15" i="29"/>
  <c r="E16" i="29"/>
  <c r="E17" i="29"/>
  <c r="E18" i="29"/>
  <c r="E9" i="29"/>
  <c r="D10" i="11"/>
  <c r="C30" i="26"/>
  <c r="C31" i="26"/>
  <c r="C32" i="26"/>
  <c r="C33" i="26"/>
  <c r="C34" i="26"/>
  <c r="C35" i="26"/>
  <c r="C36" i="26"/>
  <c r="C37" i="26"/>
  <c r="C38" i="26"/>
  <c r="C29" i="26"/>
  <c r="E10" i="26"/>
  <c r="E19" i="26"/>
  <c r="D19" i="26"/>
  <c r="E18" i="26"/>
  <c r="D18" i="26"/>
  <c r="E17" i="26"/>
  <c r="D17" i="26"/>
  <c r="E16" i="26"/>
  <c r="D16" i="26"/>
  <c r="E15" i="26"/>
  <c r="D15" i="26"/>
  <c r="E14" i="26"/>
  <c r="D14" i="26"/>
  <c r="E13" i="26"/>
  <c r="D13" i="26"/>
  <c r="E12" i="26"/>
  <c r="D12" i="26"/>
  <c r="E11" i="26"/>
  <c r="D10" i="6" l="1"/>
  <c r="D8" i="6"/>
  <c r="D13" i="6"/>
  <c r="E10" i="20"/>
  <c r="C45" i="20"/>
  <c r="E9" i="19"/>
  <c r="E10" i="19"/>
  <c r="E11" i="19"/>
  <c r="E12" i="19"/>
  <c r="E13" i="19"/>
  <c r="E14" i="19"/>
  <c r="E15" i="19"/>
  <c r="E16" i="19"/>
  <c r="E17" i="19"/>
  <c r="E8" i="19"/>
  <c r="E9" i="18"/>
  <c r="E10" i="18"/>
  <c r="E11" i="18"/>
  <c r="E12" i="18"/>
  <c r="E13" i="18"/>
  <c r="E14" i="18"/>
  <c r="E15" i="18"/>
  <c r="E16" i="18"/>
  <c r="E17" i="18"/>
  <c r="E8" i="18"/>
  <c r="D10" i="13"/>
  <c r="E11" i="13"/>
  <c r="E12" i="13"/>
  <c r="E13" i="13"/>
  <c r="E14" i="13"/>
  <c r="E15" i="13"/>
  <c r="E16" i="13"/>
  <c r="E17" i="13"/>
  <c r="E18" i="13"/>
  <c r="E19" i="13"/>
  <c r="E10" i="13"/>
  <c r="E11" i="22"/>
  <c r="E12" i="22"/>
  <c r="E13" i="22"/>
  <c r="E14" i="22"/>
  <c r="E15" i="22"/>
  <c r="E16" i="22"/>
  <c r="E17" i="22"/>
  <c r="E18" i="22"/>
  <c r="E19" i="22"/>
  <c r="E10" i="22"/>
  <c r="E11" i="21"/>
  <c r="E12" i="21"/>
  <c r="E13" i="21"/>
  <c r="E14" i="21"/>
  <c r="E15" i="21"/>
  <c r="E16" i="21"/>
  <c r="E17" i="21"/>
  <c r="E18" i="21"/>
  <c r="E19" i="21"/>
  <c r="E10" i="21"/>
  <c r="E11" i="17"/>
  <c r="E12" i="17"/>
  <c r="E13" i="17"/>
  <c r="E14" i="17"/>
  <c r="E15" i="17"/>
  <c r="E16" i="17"/>
  <c r="E17" i="17"/>
  <c r="E18" i="17"/>
  <c r="E19" i="17"/>
  <c r="E10" i="17"/>
  <c r="H28" i="20"/>
  <c r="H29" i="20"/>
  <c r="H30" i="20"/>
  <c r="H31" i="20"/>
  <c r="H32" i="20"/>
  <c r="H33" i="20"/>
  <c r="H34" i="20"/>
  <c r="H35" i="20"/>
  <c r="H36" i="20"/>
  <c r="H37" i="20"/>
  <c r="H38" i="20"/>
  <c r="H39" i="20"/>
  <c r="H40" i="20"/>
  <c r="H41" i="20"/>
  <c r="E11" i="20"/>
  <c r="E12" i="20"/>
  <c r="E13" i="20"/>
  <c r="E14" i="20"/>
  <c r="E15" i="20"/>
  <c r="E16" i="20"/>
  <c r="E17" i="20"/>
  <c r="E18" i="20"/>
  <c r="E19" i="20"/>
  <c r="F29" i="11"/>
  <c r="F30" i="11"/>
  <c r="F31" i="11"/>
  <c r="F32" i="11"/>
  <c r="F33" i="11"/>
  <c r="F34" i="11"/>
  <c r="F35" i="11"/>
  <c r="F36" i="11"/>
  <c r="F37" i="11"/>
  <c r="F38" i="11"/>
  <c r="F39" i="11"/>
  <c r="F40" i="11"/>
  <c r="F41" i="11"/>
  <c r="F42" i="11"/>
  <c r="E11" i="11"/>
  <c r="E12" i="11"/>
  <c r="E13" i="11"/>
  <c r="E14" i="11"/>
  <c r="E15" i="11"/>
  <c r="E16" i="11"/>
  <c r="E17" i="11"/>
  <c r="E18" i="11"/>
  <c r="E19" i="11"/>
  <c r="E10" i="11"/>
  <c r="F9" i="2"/>
  <c r="F10" i="2"/>
  <c r="F11" i="2"/>
  <c r="F12" i="2"/>
  <c r="F13" i="2"/>
  <c r="F14" i="2"/>
  <c r="F15" i="2"/>
  <c r="F16" i="2"/>
  <c r="F17" i="2"/>
  <c r="F8" i="2"/>
  <c r="D10" i="22"/>
  <c r="D19" i="22" l="1"/>
  <c r="D18" i="22"/>
  <c r="D17" i="22"/>
  <c r="D16" i="22"/>
  <c r="D15" i="22"/>
  <c r="D14" i="22"/>
  <c r="D13" i="22"/>
  <c r="D12" i="22"/>
  <c r="D11" i="22"/>
  <c r="D19" i="13"/>
  <c r="D18" i="13"/>
  <c r="D17" i="13"/>
  <c r="D16" i="13"/>
  <c r="D15" i="13"/>
  <c r="D14" i="13"/>
  <c r="D13" i="13"/>
  <c r="D12" i="13"/>
  <c r="D11" i="13"/>
  <c r="D19" i="21"/>
  <c r="D18" i="21"/>
  <c r="D17" i="21"/>
  <c r="D16" i="21"/>
  <c r="D15" i="21"/>
  <c r="D14" i="21"/>
  <c r="D13" i="21"/>
  <c r="D12" i="21"/>
  <c r="D11" i="21"/>
  <c r="D10" i="21"/>
  <c r="D19" i="17"/>
  <c r="D18" i="17"/>
  <c r="D17" i="17"/>
  <c r="D16" i="17"/>
  <c r="D15" i="17"/>
  <c r="D14" i="17"/>
  <c r="D13" i="17"/>
  <c r="D12" i="17"/>
  <c r="D11" i="17"/>
  <c r="D10" i="17"/>
  <c r="D10" i="20"/>
  <c r="D19" i="20"/>
  <c r="D18" i="20"/>
  <c r="D17" i="20"/>
  <c r="D16" i="20"/>
  <c r="D15" i="20"/>
  <c r="D14" i="20"/>
  <c r="D13" i="20"/>
  <c r="D12" i="20"/>
  <c r="D11" i="20"/>
  <c r="D11" i="11"/>
  <c r="D12" i="11"/>
  <c r="D13" i="11"/>
  <c r="D14" i="11"/>
  <c r="D15" i="11"/>
  <c r="D16" i="11"/>
  <c r="D17" i="11"/>
  <c r="D18" i="11"/>
  <c r="D19" i="11"/>
  <c r="C33" i="2" l="1"/>
  <c r="C27" i="2"/>
  <c r="C32" i="2"/>
  <c r="C31" i="2"/>
  <c r="C29" i="2"/>
  <c r="C36" i="2"/>
  <c r="C28" i="2"/>
  <c r="C35" i="2"/>
  <c r="C30" i="2"/>
  <c r="C34" i="2"/>
  <c r="F27" i="20" l="1"/>
  <c r="F28" i="20"/>
  <c r="C48" i="20" s="1"/>
  <c r="F29" i="20"/>
  <c r="F30" i="20"/>
  <c r="F31" i="20"/>
  <c r="F32" i="20"/>
  <c r="F33" i="20"/>
  <c r="F34" i="20"/>
  <c r="F35" i="20"/>
  <c r="F36" i="20"/>
  <c r="F37" i="20"/>
  <c r="F38" i="20"/>
  <c r="F39" i="20"/>
  <c r="F40" i="20"/>
  <c r="F41" i="20"/>
  <c r="H26" i="20"/>
  <c r="C47" i="20"/>
  <c r="C49" i="20"/>
  <c r="C50" i="20"/>
  <c r="C51" i="20"/>
  <c r="C52" i="20"/>
  <c r="C53" i="20"/>
  <c r="C54" i="20"/>
  <c r="J28" i="11"/>
  <c r="J29" i="11"/>
  <c r="J30" i="11"/>
  <c r="J32" i="11"/>
  <c r="J33" i="11"/>
  <c r="J34" i="11"/>
  <c r="J35" i="11"/>
  <c r="J36" i="11"/>
  <c r="E37" i="11"/>
  <c r="E38" i="11"/>
  <c r="E39" i="11"/>
  <c r="E40" i="11"/>
  <c r="E41" i="11"/>
  <c r="E42" i="11"/>
  <c r="E28" i="11"/>
  <c r="F28" i="11" s="1"/>
  <c r="E29" i="11"/>
  <c r="E30" i="11"/>
  <c r="E31" i="11"/>
  <c r="E32" i="11"/>
  <c r="E33" i="11"/>
  <c r="E34" i="11"/>
  <c r="E35" i="11"/>
  <c r="E36" i="11"/>
  <c r="E27" i="11"/>
  <c r="H27" i="20" l="1"/>
  <c r="J31" i="11"/>
  <c r="F27" i="11"/>
  <c r="J27" i="11"/>
  <c r="C46" i="20"/>
</calcChain>
</file>

<file path=xl/sharedStrings.xml><?xml version="1.0" encoding="utf-8"?>
<sst xmlns="http://schemas.openxmlformats.org/spreadsheetml/2006/main" count="669" uniqueCount="219">
  <si>
    <t xml:space="preserve">Instructions: </t>
  </si>
  <si>
    <t>Team Lead Name:</t>
  </si>
  <si>
    <t>Month/Year</t>
  </si>
  <si>
    <t xml:space="preserve">Clinic/Team Name: </t>
  </si>
  <si>
    <r>
      <t xml:space="preserve">Sample Size: 
</t>
    </r>
    <r>
      <rPr>
        <sz val="12"/>
        <color rgb="FF41683C"/>
        <rFont val="Calibri"/>
        <family val="2"/>
        <scheme val="minor"/>
      </rPr>
      <t>(if applicable)</t>
    </r>
  </si>
  <si>
    <t>Jan 2024</t>
  </si>
  <si>
    <t>Feb 2024</t>
  </si>
  <si>
    <t>Mar 2024</t>
  </si>
  <si>
    <t>Apr 2024</t>
  </si>
  <si>
    <t>May 2024</t>
  </si>
  <si>
    <t>Jun 2024</t>
  </si>
  <si>
    <t>Jul 2024</t>
  </si>
  <si>
    <t>Aug 2024</t>
  </si>
  <si>
    <t>Sep 2024</t>
  </si>
  <si>
    <t>Oct 2024</t>
  </si>
  <si>
    <t xml:space="preserve">% </t>
  </si>
  <si>
    <r>
      <rPr>
        <b/>
        <sz val="11"/>
        <color rgb="FF5287A3"/>
        <rFont val="Calibri"/>
        <family val="2"/>
        <scheme val="minor"/>
      </rPr>
      <t xml:space="preserve">Operational Definition: </t>
    </r>
    <r>
      <rPr>
        <sz val="11"/>
        <rFont val="Calibri"/>
        <family val="2"/>
        <scheme val="minor"/>
      </rPr>
      <t xml:space="preserve">The percentage of patients that indicate they experienced a high level of care.
</t>
    </r>
  </si>
  <si>
    <t># of patients who report a 9 or 10 with their overall experience</t>
  </si>
  <si>
    <t># of patients surveyed</t>
  </si>
  <si>
    <r>
      <rPr>
        <b/>
        <sz val="11"/>
        <color rgb="FF5287A3"/>
        <rFont val="Calibri"/>
        <family val="2"/>
        <scheme val="minor"/>
      </rPr>
      <t xml:space="preserve">Operational Definition: </t>
    </r>
    <r>
      <rPr>
        <sz val="11"/>
        <rFont val="Calibri"/>
        <family val="2"/>
        <scheme val="minor"/>
      </rPr>
      <t xml:space="preserve">The percentage of providers and/or staff in your setting that are satisfied with the level of care they are able to provide.
</t>
    </r>
  </si>
  <si>
    <t># of providers or staff surveyed</t>
  </si>
  <si>
    <t># of providers or staff that indicate positive perceptions of care</t>
  </si>
  <si>
    <t>Desflurane</t>
  </si>
  <si>
    <t>Isoflurane</t>
  </si>
  <si>
    <t>Sevoflurane</t>
  </si>
  <si>
    <t>Carbon Emissions from Anesthetic Gases</t>
  </si>
  <si>
    <t># of low-risk patients who received an unnecessary test</t>
  </si>
  <si>
    <t xml:space="preserve"># of low-risk surgical patients </t>
  </si>
  <si>
    <t>CBC/Diff</t>
  </si>
  <si>
    <t>INR/PTT</t>
  </si>
  <si>
    <t>Electrocardiogram patch</t>
  </si>
  <si>
    <t>Chest x-ray</t>
  </si>
  <si>
    <t>Transthoracic echocardiography</t>
  </si>
  <si>
    <t>Stress-US</t>
  </si>
  <si>
    <t>Stress-MRI</t>
  </si>
  <si>
    <t>Notes</t>
  </si>
  <si>
    <t xml:space="preserve">This table will help your team estimate the carbon emissions from the unneccesary tests completed each month. Enter the quantity of each test and the carbon emissions will be automatically updated based on the data in the "reference tables" tab. </t>
  </si>
  <si>
    <t>Type of Test</t>
  </si>
  <si>
    <t># of Unnecessary Tests Completed</t>
  </si>
  <si>
    <t>Total Carbon Emissions from Test</t>
  </si>
  <si>
    <t>Carbon Emissions from 1 Test</t>
  </si>
  <si>
    <t>Total Monthly Carbon Emissions</t>
  </si>
  <si>
    <t># of eligible procedures completed under regional anesthesia</t>
  </si>
  <si>
    <t># of eligible procedures completed</t>
  </si>
  <si>
    <t>Type of Anesthesia</t>
  </si>
  <si>
    <t>Regional Anesthesia</t>
  </si>
  <si>
    <t>General Anesthesia</t>
  </si>
  <si>
    <t>Type of Procedure</t>
  </si>
  <si>
    <t>Breast Surgery</t>
  </si>
  <si>
    <t># completed</t>
  </si>
  <si>
    <t>Code</t>
  </si>
  <si>
    <t>Full Name</t>
  </si>
  <si>
    <t># of surgical patients</t>
  </si>
  <si>
    <t>Sum of pain scales from patients receiving eligible procedures</t>
  </si>
  <si>
    <t># of patients who had an eligible procedure</t>
  </si>
  <si>
    <t>Average</t>
  </si>
  <si>
    <t># of patients who received an eligible procedure and bypassed PACU</t>
  </si>
  <si>
    <t># of bottles of Desflurane Purchased</t>
  </si>
  <si>
    <r>
      <rPr>
        <b/>
        <sz val="11"/>
        <color rgb="FF5287A3"/>
        <rFont val="Calibri"/>
        <family val="2"/>
        <scheme val="minor"/>
      </rPr>
      <t xml:space="preserve">Operational Definition: </t>
    </r>
    <r>
      <rPr>
        <sz val="11"/>
        <rFont val="Calibri"/>
        <family val="2"/>
        <scheme val="minor"/>
      </rPr>
      <t xml:space="preserve">The percentage of anesthetic gas purchased that is desflurane. </t>
    </r>
    <r>
      <rPr>
        <b/>
        <sz val="11"/>
        <rFont val="Calibri"/>
        <family val="2"/>
        <scheme val="minor"/>
      </rPr>
      <t xml:space="preserve">Note: </t>
    </r>
    <r>
      <rPr>
        <sz val="11"/>
        <rFont val="Calibri"/>
        <family val="2"/>
        <scheme val="minor"/>
      </rPr>
      <t xml:space="preserve">The calculations are based on 250 mL bottles of Isoflurane, 250 mL bottles of Sevoflurane, and 240 mL bottles of desflurane. Let us know if you have different sized bottles so we can update this information. 
</t>
    </r>
  </si>
  <si>
    <t># of bottles of Isoflurane Purchased</t>
  </si>
  <si>
    <t># of bottles of Sevoflurane Purchased</t>
  </si>
  <si>
    <t>Sum of time spent in OR for all patients who had eligible procedures (min)</t>
  </si>
  <si>
    <t>Average (min)</t>
  </si>
  <si>
    <t>Anesthetic gases calculator [Internet]. [Place unknown]: Association of Anesthetists; [date unknown]. [Cited 2023 Dec 22]. Available from: https://anaesthetists.org/Home/Resources-publications/Environment/Guide-to-green-anesthesia/Anesthetic-gases-calculator</t>
  </si>
  <si>
    <t>Gas (1)</t>
  </si>
  <si>
    <t>Reducing unnecessary care: Estimating environmental impact [Internet]. [Place unknown]: CASCADES;
[date unknown]. [Cited 2022 Dec 22. Available from: https://view.publitas.com/5231e51e-4654-42c2-accd-b722e21f3093/perioperative_estimating-environmental-impacts-of-unnecessary-care/?_gl=1*11dko38*_
ga*Nzk0OTY2NjM4LjE3MDIwNzUxMTE.*_ga_TRM5NF4JFC*MTcwMzI3NzkzNC4xMC4xLjE3MDMyNzg3OTguMC4wLjA.</t>
  </si>
  <si>
    <t>Prasad PA, Joshi D, Lighter J, Agins J, Allen R, Collins M, et al. Environmental footprint of regular and intensive inpatient care in a large US hospital. J Life Cycle Assess [Internet]. 2021 Dec 4 [cited 2024 Jan 8];27: 38-49. Available from: https://doi.org/10.1007/s11367-021-01998-8</t>
  </si>
  <si>
    <t>Waste Reduction</t>
  </si>
  <si>
    <t>Disposable or Reusable</t>
  </si>
  <si>
    <t>Amount of Each Product Used, Purchased or Discarded</t>
  </si>
  <si>
    <t>Product Name</t>
  </si>
  <si>
    <t>Disposable</t>
  </si>
  <si>
    <t>Disposable/Reusable</t>
  </si>
  <si>
    <t>Reusable</t>
  </si>
  <si>
    <t>Number of cases that used this item</t>
  </si>
  <si>
    <t>Total Protein</t>
  </si>
  <si>
    <t>Test (2,3)</t>
  </si>
  <si>
    <t>Spoyalo K, Lalande A, Rizan  C, Park S, Simons J, Dawe P, Brown CJ, Lillywhite R, MacNeill AJ. Patient, hospital and environmental costs of unnecessary blood work: capturing the triple bottom line of inappropriate care in general surgery patients. BMJ Open Quality [Internet]. 2023 May 26 [cited 2024 Feb 21];12:e002316. Available from: https://bmjopenquality.bmj.com/content/bmjqir/12/3/e002316.full.pdf</t>
  </si>
  <si>
    <t>Chemistry</t>
  </si>
  <si>
    <r>
      <t>Carbon Footprint per Test (gCO</t>
    </r>
    <r>
      <rPr>
        <b/>
        <vertAlign val="subscript"/>
        <sz val="11"/>
        <color theme="1"/>
        <rFont val="Calibri"/>
        <family val="2"/>
        <scheme val="minor"/>
      </rPr>
      <t>2</t>
    </r>
    <r>
      <rPr>
        <b/>
        <sz val="11"/>
        <color theme="1"/>
        <rFont val="Calibri"/>
        <family val="2"/>
        <scheme val="minor"/>
      </rPr>
      <t>e)</t>
    </r>
  </si>
  <si>
    <r>
      <rPr>
        <b/>
        <sz val="11"/>
        <color rgb="FF5287A3"/>
        <rFont val="Calibri"/>
        <family val="2"/>
        <scheme val="minor"/>
      </rPr>
      <t xml:space="preserve">Operational Definition: </t>
    </r>
    <r>
      <rPr>
        <sz val="11"/>
        <rFont val="Calibri"/>
        <family val="2"/>
        <scheme val="minor"/>
      </rPr>
      <t xml:space="preserve">The number of bags of waste collected from the operating room. 
</t>
    </r>
  </si>
  <si>
    <t># of bags</t>
  </si>
  <si>
    <t>Waste Reduction - Example (Note: These are hypothetical numbers)</t>
  </si>
  <si>
    <t>Amount of Waste - Generally</t>
  </si>
  <si>
    <t>Amount Waste from the Item(s)</t>
  </si>
  <si>
    <t>Length of Stay</t>
  </si>
  <si>
    <t>O.1. Carbon Emissions from Length of Stay</t>
  </si>
  <si>
    <t>Average Length of Stay</t>
  </si>
  <si>
    <t>Sum of Length of Stay for all eligible procedures (days)</t>
  </si>
  <si>
    <r>
      <t>Carbon Footprint per Bed Day (gCO</t>
    </r>
    <r>
      <rPr>
        <vertAlign val="subscript"/>
        <sz val="11"/>
        <color theme="1"/>
        <rFont val="Calibri"/>
        <family val="2"/>
        <scheme val="minor"/>
      </rPr>
      <t>2</t>
    </r>
    <r>
      <rPr>
        <sz val="11"/>
        <color theme="1"/>
        <rFont val="Calibri"/>
        <family val="2"/>
        <scheme val="minor"/>
      </rPr>
      <t>e)</t>
    </r>
  </si>
  <si>
    <t>Acute Care Unit</t>
  </si>
  <si>
    <t>High Intensity Care Unit</t>
  </si>
  <si>
    <t>Number of Outpatient Visits</t>
  </si>
  <si>
    <t>Outpatient Appointment for Acute Care</t>
  </si>
  <si>
    <t>Tennison I, Roschnik S, Ashby B, Hamilton I, Oreszczyn T, Owen A, et al. Health care's response to climate change: a carbon footprint assessment of the NHS in England. Lancet Planet Health. 2021 [Cited 2024 Feb 22];5:e84-92.</t>
  </si>
  <si>
    <t>General Practice Visit</t>
  </si>
  <si>
    <t>Ambulance Emergency Response</t>
  </si>
  <si>
    <t>Carbon Emissions from Length of Stay</t>
  </si>
  <si>
    <t>Ref 4. Based on floor area allocation. If calculated based on staff allocation the number was lower (45,500)</t>
  </si>
  <si>
    <t>Ref 4. Based on floor area allocation. If calculated based on staff allocation the number was higher (137,500)</t>
  </si>
  <si>
    <t>Ref 5.</t>
  </si>
  <si>
    <t>Emergency Department Visit</t>
  </si>
  <si>
    <t>Ref 6</t>
  </si>
  <si>
    <t>Coalition for Sustainable Pharmaceuticals and Medical Devices. Care Pathways: Guidance on Appraising Sustainability. Oct 2025 [Cited 2025 Feb 23]. Available from: https://shcoalition.org/wp-content/uploads/2019/10/6_3.-Sustainable-Care-Pathways-Guidance-Emergency-Department-Visit-Module-Oct-2015.pdf</t>
  </si>
  <si>
    <t>Category (4, 5, 6)</t>
  </si>
  <si>
    <t>Ref 3. 
Ref 2. Found this to be 82, but we selected the data from BC (ref 3)</t>
  </si>
  <si>
    <t>Ref 3. 
Ref 2 found this to be 82, but we selected the data from BC (ref 3)</t>
  </si>
  <si>
    <t>Ref 3</t>
  </si>
  <si>
    <t>Ref 2 *ranges from 500 - 1000</t>
  </si>
  <si>
    <t>Ref 2.</t>
  </si>
  <si>
    <t>Ref 3. Includes Phlebotomy (150), vial (32), amylase (40.9), Lipase (29.2), ALP (80.5), ALT (64), AST (60.5), GGT (25), Na+ K+ Cl- (11.5), Calcium (17.4), Magensium (25.2), Phosphate (35.3), Creatinine (67.8), Urea (32.1), Direct bilirubin (56.7), Total Bilirubin (80.8), Albumin (27.9)</t>
  </si>
  <si>
    <t>Ref 2. *ranges from 2,000 - 3,000</t>
  </si>
  <si>
    <t>Ref 2.*ranges from 20,000 - 30,000</t>
  </si>
  <si>
    <t>Total Visits</t>
  </si>
  <si>
    <t>Carbon Emissions from Visits</t>
  </si>
  <si>
    <t>Number of ED Visits</t>
  </si>
  <si>
    <t>Number of Visits</t>
  </si>
  <si>
    <r>
      <rPr>
        <b/>
        <sz val="11"/>
        <color rgb="FF5287A3"/>
        <rFont val="Calibri"/>
        <family val="2"/>
        <scheme val="minor"/>
      </rPr>
      <t xml:space="preserve">Operational Definition: </t>
    </r>
    <r>
      <rPr>
        <sz val="11"/>
        <rFont val="Calibri"/>
        <family val="2"/>
        <scheme val="minor"/>
      </rPr>
      <t>The number of acute care outpatient appointments and emergency department visits. T</t>
    </r>
    <r>
      <rPr>
        <sz val="11"/>
        <color theme="1"/>
        <rFont val="Calibri"/>
        <family val="2"/>
        <scheme val="minor"/>
      </rPr>
      <t>he carbon emissions will be automatically updated based on the data in the "reference tables" tab</t>
    </r>
  </si>
  <si>
    <t>Average Length of Anesthetic (hr)</t>
  </si>
  <si>
    <t>Carbon Footprint of anesthetic gas per Procedure (gCO2e)</t>
  </si>
  <si>
    <t>Other</t>
  </si>
  <si>
    <t>Anesthetic Gas Carbon Emissions from 1 Procedure</t>
  </si>
  <si>
    <t>Total Anesthetic Gas Carbon Emissions from Procedure</t>
  </si>
  <si>
    <t>O.1. Carbon Emissions from Visits</t>
  </si>
  <si>
    <t>CT Scan</t>
  </si>
  <si>
    <t>Ref 7</t>
  </si>
  <si>
    <t>McAlister S, McGain F, Breth-Petersen M, Story D, Charlesworth K, Ison G, Barratt A. The carbon footprint of hospital diagnostic imaging in Australia. Jul 2022 [cited 2024 Feb 23];100459. Available from: https://www.sciencedirect.com/science/article/pii/S2666606522000748</t>
  </si>
  <si>
    <t xml:space="preserve">Once you have entered the quantity of each anesthetic gas purchased above and the carbon emissions will be automatically updated based on the data in the "reference tables" tab. </t>
  </si>
  <si>
    <t># of patients experiencing adverse events</t>
  </si>
  <si>
    <t xml:space="preserve">Enter the length of stay information above and the carbon emissions will be automatically updated based on the data in the "reference tables" tab. This estimation is based on days in non-intensive care units. </t>
  </si>
  <si>
    <t>Enter the number of outpatient and/or ED visits above and the carbon emissions will be automatically updated based on the data in the "reference tables" tab.</t>
  </si>
  <si>
    <r>
      <t xml:space="preserve">A number of teams are looking to reduce the amount of waste, mostly by replacing disposables with reusable alternatives. This tab has a number of charts that may be helpful for teams looking at waste reduction. 
</t>
    </r>
    <r>
      <rPr>
        <b/>
        <sz val="11"/>
        <rFont val="Calibri"/>
        <family val="2"/>
        <scheme val="minor"/>
      </rPr>
      <t xml:space="preserve">Start by completing the below table with the known information for a specific waste item your team is looking to reduce and its alternatives (if applicable). </t>
    </r>
    <r>
      <rPr>
        <sz val="11"/>
        <rFont val="Calibri"/>
        <family val="2"/>
        <scheme val="minor"/>
      </rPr>
      <t>The Health Care LCA Database may be helpful for some items: https://healthcarelca.com/database</t>
    </r>
    <r>
      <rPr>
        <b/>
        <sz val="11"/>
        <rFont val="Calibri"/>
        <family val="2"/>
        <scheme val="minor"/>
      </rPr>
      <t xml:space="preserve"> </t>
    </r>
    <r>
      <rPr>
        <sz val="11"/>
        <rFont val="Calibri"/>
        <family val="2"/>
        <scheme val="minor"/>
      </rPr>
      <t xml:space="preserve">
See the "Waste Reduction - Example" tab for a sample table. </t>
    </r>
  </si>
  <si>
    <t>This table will help estimate the carbon emissions from these items used each month.  This table will autopopulate when you complete the first two tables above.
Note it can be challenging to estimate the carbon emissions of many reusable and disposable items without completing a life cycle analysis based on your specific circumstances, that doesn't mean these changes aren't without benefits.</t>
  </si>
  <si>
    <t xml:space="preserve">This table will help estimate the waste of the items used each month. This may be an easier way to see impact from these changes instead of the carbon emissions. This table will autopopulate when you complete the first two tables above. </t>
  </si>
  <si>
    <r>
      <rPr>
        <b/>
        <sz val="11"/>
        <color rgb="FF5287A3"/>
        <rFont val="Calibri"/>
        <family val="2"/>
        <scheme val="minor"/>
      </rPr>
      <t xml:space="preserve">Operational Definition: </t>
    </r>
    <r>
      <rPr>
        <sz val="11"/>
        <rFont val="Calibri"/>
        <family val="2"/>
        <scheme val="minor"/>
      </rPr>
      <t xml:space="preserve">The percentage of low-risk patients undergoing low-risk surgery who had pre-operative tests or interventions.
</t>
    </r>
    <r>
      <rPr>
        <sz val="11"/>
        <color theme="1"/>
        <rFont val="Calibri"/>
        <family val="2"/>
        <scheme val="minor"/>
      </rPr>
      <t xml:space="preserve">If you are reviewing a proportion (set number each month) of the the low-risk surgical patients, add that number to the </t>
    </r>
    <r>
      <rPr>
        <b/>
        <sz val="11"/>
        <color theme="1"/>
        <rFont val="Calibri"/>
        <family val="2"/>
        <scheme val="minor"/>
      </rPr>
      <t>Sample Size Box.</t>
    </r>
  </si>
  <si>
    <r>
      <rPr>
        <b/>
        <sz val="11"/>
        <color rgb="FF5287A3"/>
        <rFont val="Calibri"/>
        <family val="2"/>
        <scheme val="minor"/>
      </rPr>
      <t xml:space="preserve">Operational Definition: </t>
    </r>
    <r>
      <rPr>
        <sz val="11"/>
        <rFont val="Calibri"/>
        <family val="2"/>
        <scheme val="minor"/>
      </rPr>
      <t xml:space="preserve">The percentage of eligible procedures completed under regional or spinal anesthetic. This measures a shift from the more carbon intensive approach of general anesthesia. If you are only looking at one type of procedure (e.g. breast surgery), you can replace "eligible procedure" with that specific procedure name. 
</t>
    </r>
    <r>
      <rPr>
        <sz val="11"/>
        <color theme="1"/>
        <rFont val="Calibri"/>
        <family val="2"/>
        <scheme val="minor"/>
      </rPr>
      <t>If you are reviewing a proportion (set number each month) of the the eligible procedure cases, add that number to the Sample Size Box.</t>
    </r>
  </si>
  <si>
    <r>
      <rPr>
        <b/>
        <sz val="11"/>
        <color rgb="FF5287A3"/>
        <rFont val="Calibri"/>
        <family val="2"/>
        <scheme val="minor"/>
      </rPr>
      <t xml:space="preserve">Operational Definition: </t>
    </r>
    <r>
      <rPr>
        <sz val="11"/>
        <rFont val="Calibri"/>
        <family val="2"/>
        <scheme val="minor"/>
      </rPr>
      <t xml:space="preserve">The percentage of patients who experience an adverse event.
</t>
    </r>
    <r>
      <rPr>
        <sz val="11"/>
        <color theme="1"/>
        <rFont val="Calibri"/>
        <family val="2"/>
        <scheme val="minor"/>
      </rPr>
      <t>If you are reviewing a proportion (set number each month) of the the surgical patients, add that number to the</t>
    </r>
    <r>
      <rPr>
        <b/>
        <sz val="11"/>
        <color theme="1"/>
        <rFont val="Calibri"/>
        <family val="2"/>
        <scheme val="minor"/>
      </rPr>
      <t xml:space="preserve"> Sample Size Box.</t>
    </r>
  </si>
  <si>
    <r>
      <rPr>
        <b/>
        <sz val="11"/>
        <color rgb="FF5287A3"/>
        <rFont val="Calibri"/>
        <family val="2"/>
        <scheme val="minor"/>
      </rPr>
      <t xml:space="preserve">Operational Definition: </t>
    </r>
    <r>
      <rPr>
        <sz val="11"/>
        <rFont val="Calibri"/>
        <family val="2"/>
        <scheme val="minor"/>
      </rPr>
      <t xml:space="preserve">The percentage of patients who received an eligible procedure and bypassed the PACU. If you are only looking at one type of procedure (e.g. breast surgery), you can replace "eligible procedure" with that specific procedure name. 
</t>
    </r>
    <r>
      <rPr>
        <sz val="11"/>
        <color theme="1"/>
        <rFont val="Calibri"/>
        <family val="2"/>
        <scheme val="minor"/>
      </rPr>
      <t xml:space="preserve">If you are reviewing a proportion (set number each month) of the the patients who had an eligible procedure, add that number to the </t>
    </r>
    <r>
      <rPr>
        <b/>
        <sz val="11"/>
        <color theme="1"/>
        <rFont val="Calibri"/>
        <family val="2"/>
        <scheme val="minor"/>
      </rPr>
      <t xml:space="preserve">Sample Size Box. </t>
    </r>
  </si>
  <si>
    <r>
      <rPr>
        <b/>
        <sz val="11"/>
        <color rgb="FF5287A3"/>
        <rFont val="Calibri"/>
        <family val="2"/>
        <scheme val="minor"/>
      </rPr>
      <t xml:space="preserve">Operational Definition: </t>
    </r>
    <r>
      <rPr>
        <sz val="11"/>
        <rFont val="Calibri"/>
        <family val="2"/>
        <scheme val="minor"/>
      </rPr>
      <t xml:space="preserve">Average time spent in the OR by patients who underwent eligible procedures. If you are only looking at one type of procedure (e.g. breast surgery), you can replace "eligible procedure" with that specific procedure name. 
</t>
    </r>
    <r>
      <rPr>
        <sz val="11"/>
        <color theme="1"/>
        <rFont val="Calibri"/>
        <family val="2"/>
        <scheme val="minor"/>
      </rPr>
      <t>If you are reviewing a proportion (set number each month) of the the patients who had an eligible procedure, add that number to the</t>
    </r>
    <r>
      <rPr>
        <b/>
        <sz val="11"/>
        <color theme="1"/>
        <rFont val="Calibri"/>
        <family val="2"/>
        <scheme val="minor"/>
      </rPr>
      <t xml:space="preserve"> Sample Size Box.</t>
    </r>
  </si>
  <si>
    <r>
      <rPr>
        <b/>
        <sz val="11"/>
        <color rgb="FF5287A3"/>
        <rFont val="Calibri"/>
        <family val="2"/>
        <scheme val="minor"/>
      </rPr>
      <t xml:space="preserve">Operational Definition: </t>
    </r>
    <r>
      <rPr>
        <sz val="11"/>
        <rFont val="Calibri"/>
        <family val="2"/>
        <scheme val="minor"/>
      </rPr>
      <t xml:space="preserve">The average patient self-reported pain using a pain scale after eligible procedures.  If you are only looking at one type of procedure (e.g. breast surgery), you can replace "eligible procedure" with that specific procedure name. 
</t>
    </r>
    <r>
      <rPr>
        <sz val="11"/>
        <color theme="1"/>
        <rFont val="Calibri"/>
        <family val="2"/>
        <scheme val="minor"/>
      </rPr>
      <t xml:space="preserve">If you are reviewing a proportion (set number each month) of the the patients who had an eligible procedure, add that number to the </t>
    </r>
    <r>
      <rPr>
        <b/>
        <sz val="11"/>
        <color theme="1"/>
        <rFont val="Calibri"/>
        <family val="2"/>
        <scheme val="minor"/>
      </rPr>
      <t>Sample Size Box.</t>
    </r>
  </si>
  <si>
    <t>Orthopedics - Humerus ORIF</t>
  </si>
  <si>
    <t>Orthopedics - Radius/ulna ORIF</t>
  </si>
  <si>
    <t>Vascular - Amputations (toe, foot, below knee)</t>
  </si>
  <si>
    <t>Vascular - AV Fistula</t>
  </si>
  <si>
    <t>Orthopedics - Total hip/knee replacement</t>
  </si>
  <si>
    <t>Vascular - Varicose vein strip</t>
  </si>
  <si>
    <t>Spinal Anesthesia</t>
  </si>
  <si>
    <t>Urology - TURBT (Trans urethral resection of bladder tumour)</t>
  </si>
  <si>
    <t>Urology - TURP (Trans urethral resection of the prostate)</t>
  </si>
  <si>
    <t>Vascular - Amputations (above knee)</t>
  </si>
  <si>
    <t>Plastic Surgery - Extremity (ligament, nerve, tendon, ORIF)</t>
  </si>
  <si>
    <t>Inguinal hernia repair</t>
  </si>
  <si>
    <t>Perianal abscess I+D</t>
  </si>
  <si>
    <t>Orthopedics - lower extremity ORIF</t>
  </si>
  <si>
    <t>Readmissions</t>
  </si>
  <si>
    <r>
      <rPr>
        <b/>
        <sz val="11"/>
        <color rgb="FF5287A3"/>
        <rFont val="Calibri"/>
        <family val="2"/>
        <scheme val="minor"/>
      </rPr>
      <t xml:space="preserve">Operational Definition: </t>
    </r>
    <r>
      <rPr>
        <sz val="11"/>
        <rFont val="Calibri"/>
        <family val="2"/>
        <scheme val="minor"/>
      </rPr>
      <t xml:space="preserve">The average length of stay of patients undergoing eligible procedures. If you are only looking at one type of procedure (e.g. breast surgery), you can replace "eligible procedure" with that specific procedure name. 
</t>
    </r>
    <r>
      <rPr>
        <sz val="11"/>
        <color theme="1"/>
        <rFont val="Calibri"/>
        <family val="2"/>
        <scheme val="minor"/>
      </rPr>
      <t xml:space="preserve">Complete the </t>
    </r>
    <r>
      <rPr>
        <b/>
        <sz val="11"/>
        <color theme="1"/>
        <rFont val="Calibri"/>
        <family val="2"/>
        <scheme val="minor"/>
      </rPr>
      <t>Sample Size Box</t>
    </r>
    <r>
      <rPr>
        <sz val="11"/>
        <color theme="1"/>
        <rFont val="Calibri"/>
        <family val="2"/>
        <scheme val="minor"/>
      </rPr>
      <t xml:space="preserve"> if instead of reviewing all surgical patients you are reviewing a set number of cases. </t>
    </r>
  </si>
  <si>
    <r>
      <rPr>
        <b/>
        <sz val="11"/>
        <color rgb="FF5287A3"/>
        <rFont val="Calibri"/>
        <family val="2"/>
        <scheme val="minor"/>
      </rPr>
      <t xml:space="preserve">Operational Definition: </t>
    </r>
    <r>
      <rPr>
        <sz val="11"/>
        <rFont val="Calibri"/>
        <family val="2"/>
        <scheme val="minor"/>
      </rPr>
      <t xml:space="preserve">The percentage of patients who required readmisison after an eligible procedure. If you are only looking at one type of procedure (e.g. breast surgery), you can replace "eligible procedure" with that specific procedure name. 
</t>
    </r>
    <r>
      <rPr>
        <sz val="11"/>
        <color theme="1"/>
        <rFont val="Calibri"/>
        <family val="2"/>
        <scheme val="minor"/>
      </rPr>
      <t xml:space="preserve">Complete the </t>
    </r>
    <r>
      <rPr>
        <b/>
        <sz val="11"/>
        <color theme="1"/>
        <rFont val="Calibri"/>
        <family val="2"/>
        <scheme val="minor"/>
      </rPr>
      <t>Sample Size Box</t>
    </r>
    <r>
      <rPr>
        <sz val="11"/>
        <color theme="1"/>
        <rFont val="Calibri"/>
        <family val="2"/>
        <scheme val="minor"/>
      </rPr>
      <t xml:space="preserve"> if instead of reviewing all surgical patients you are reviewing a set number of cases. </t>
    </r>
  </si>
  <si>
    <t># of patients who required readmission after an eligible procedure</t>
  </si>
  <si>
    <t>O.1. Carbon Emissions from Readmissions</t>
  </si>
  <si>
    <t>% of pateints that required readmission</t>
  </si>
  <si>
    <t>Average Length of Stay for Readmisisons</t>
  </si>
  <si>
    <t xml:space="preserve">Enter the number of readmissions and length of stay information above and the carbon emissions will be automatically updated based on the data in the "reference tables" tab. This estimation is based on days in an acute (non-intensive care) unit. </t>
  </si>
  <si>
    <t>Laster MJ, Fang Z, Eger EI. Specific gravities of desflurane, enflurane, halothane, isoflurane, and sevoflurane. Anesthesiology &amp; Analgesia. 1994 June; 78(6): 1152-3.</t>
  </si>
  <si>
    <r>
      <t xml:space="preserve">Approx. mL used per hour </t>
    </r>
    <r>
      <rPr>
        <sz val="10"/>
        <rFont val="Calibri"/>
        <family val="2"/>
        <scheme val="minor"/>
      </rPr>
      <t>(based on based on 0.5L fresh gas flow rate)</t>
    </r>
  </si>
  <si>
    <r>
      <t>Bottle Size</t>
    </r>
    <r>
      <rPr>
        <sz val="10"/>
        <rFont val="Calibri"/>
        <family val="2"/>
        <scheme val="minor"/>
      </rPr>
      <t xml:space="preserve"> (mL)</t>
    </r>
  </si>
  <si>
    <r>
      <t xml:space="preserve">Carbon Footprint per Hour </t>
    </r>
    <r>
      <rPr>
        <sz val="10"/>
        <rFont val="Calibri"/>
        <family val="2"/>
        <scheme val="minor"/>
      </rPr>
      <t>(gCO</t>
    </r>
    <r>
      <rPr>
        <vertAlign val="subscript"/>
        <sz val="10"/>
        <color theme="1"/>
        <rFont val="Calibri"/>
        <family val="2"/>
        <scheme val="minor"/>
      </rPr>
      <t>2</t>
    </r>
    <r>
      <rPr>
        <sz val="10"/>
        <color theme="1"/>
        <rFont val="Calibri"/>
        <family val="2"/>
        <scheme val="minor"/>
      </rPr>
      <t>e / hr)</t>
    </r>
  </si>
  <si>
    <r>
      <t xml:space="preserve">Carbon Footprint per bottle </t>
    </r>
    <r>
      <rPr>
        <sz val="10"/>
        <rFont val="Calibri"/>
        <family val="2"/>
        <scheme val="minor"/>
      </rPr>
      <t>(based on hourly use)</t>
    </r>
  </si>
  <si>
    <r>
      <t>Global Warming Potential</t>
    </r>
    <r>
      <rPr>
        <sz val="10"/>
        <rFont val="Calibri"/>
        <family val="2"/>
        <scheme val="minor"/>
      </rPr>
      <t xml:space="preserve"> (GWP 100)</t>
    </r>
  </si>
  <si>
    <r>
      <t>Density</t>
    </r>
    <r>
      <rPr>
        <sz val="10"/>
        <rFont val="Calibri"/>
        <family val="2"/>
        <scheme val="minor"/>
      </rPr>
      <t xml:space="preserve"> (g/ml) (8)</t>
    </r>
  </si>
  <si>
    <r>
      <t xml:space="preserve">Carbon Footprint per bottle </t>
    </r>
    <r>
      <rPr>
        <sz val="10"/>
        <rFont val="Calibri"/>
        <family val="2"/>
        <scheme val="minor"/>
      </rPr>
      <t>(gCO2e)</t>
    </r>
  </si>
  <si>
    <r>
      <rPr>
        <b/>
        <sz val="11"/>
        <color theme="1"/>
        <rFont val="Calibri"/>
        <family val="2"/>
        <scheme val="minor"/>
      </rPr>
      <t>Version</t>
    </r>
    <r>
      <rPr>
        <sz val="11"/>
        <color theme="1"/>
        <rFont val="Calibri"/>
        <family val="2"/>
        <scheme val="minor"/>
      </rPr>
      <t>: June 24, 2024</t>
    </r>
  </si>
  <si>
    <t># discarded</t>
  </si>
  <si>
    <t>Carbon Emissions from the Item(s) Used</t>
  </si>
  <si>
    <t>Total Weight of Item(s) Discarded (g)</t>
  </si>
  <si>
    <t>Cost per single item ($)</t>
  </si>
  <si>
    <t>Weight of single item (g)</t>
  </si>
  <si>
    <r>
      <t>Carbon footprint per item (g CO</t>
    </r>
    <r>
      <rPr>
        <b/>
        <vertAlign val="subscript"/>
        <sz val="12"/>
        <color rgb="FF5287A3"/>
        <rFont val="Calibri"/>
        <family val="2"/>
        <scheme val="minor"/>
      </rPr>
      <t>2</t>
    </r>
    <r>
      <rPr>
        <b/>
        <sz val="12"/>
        <color rgb="FF5287A3"/>
        <rFont val="Calibri"/>
        <family val="2"/>
        <scheme val="minor"/>
      </rPr>
      <t>e)</t>
    </r>
  </si>
  <si>
    <t>Number of uses per item</t>
  </si>
  <si>
    <t>Number of items per surgery</t>
  </si>
  <si>
    <r>
      <t>Carbon footprint per surgery (g CO</t>
    </r>
    <r>
      <rPr>
        <b/>
        <vertAlign val="subscript"/>
        <sz val="12"/>
        <color rgb="FF5287A3"/>
        <rFont val="Calibri"/>
        <family val="2"/>
        <scheme val="minor"/>
      </rPr>
      <t>2</t>
    </r>
    <r>
      <rPr>
        <b/>
        <sz val="12"/>
        <color rgb="FF5287A3"/>
        <rFont val="Calibri"/>
        <family val="2"/>
        <scheme val="minor"/>
      </rPr>
      <t>e)</t>
    </r>
  </si>
  <si>
    <t xml:space="preserve">Next complete this table, using the drop down lists. This will populate the charts lower in this tab, but we may need to tweak them based on your specific item(s) and the way you've entered the data. Email us for help! 
If you are unsure how many are being discarded, assume:
- All disposable items used are discarded (e.g. if 50 surgeries take place which each use 1 of this item, 50 items have been discarded)
- 1 reusable item is discarded after a set number of surgeries (e.g. if a reusable item can be used 50 times, every 50 surgeries 1 items is discarded). We recognize this is an over simplification, and there are typically multiple reusable items in rotation. But, in absence of better discarding data this can be used. </t>
  </si>
  <si>
    <t xml:space="preserve"># purchased </t>
  </si>
  <si>
    <r>
      <t>Carbon footprint based on purchasing
(g CO</t>
    </r>
    <r>
      <rPr>
        <b/>
        <vertAlign val="subscript"/>
        <sz val="12"/>
        <color rgb="FF5287A3"/>
        <rFont val="Calibri"/>
        <family val="2"/>
        <scheme val="minor"/>
      </rPr>
      <t>2</t>
    </r>
    <r>
      <rPr>
        <b/>
        <sz val="12"/>
        <color rgb="FF5287A3"/>
        <rFont val="Calibri"/>
        <family val="2"/>
        <scheme val="minor"/>
      </rPr>
      <t>e)</t>
    </r>
  </si>
  <si>
    <r>
      <t>Carbon footprint based on use 
(g CO</t>
    </r>
    <r>
      <rPr>
        <b/>
        <vertAlign val="subscript"/>
        <sz val="12"/>
        <color rgb="FF5287A3"/>
        <rFont val="Calibri"/>
        <family val="2"/>
        <scheme val="minor"/>
      </rPr>
      <t>2</t>
    </r>
    <r>
      <rPr>
        <b/>
        <sz val="12"/>
        <color rgb="FF5287A3"/>
        <rFont val="Calibri"/>
        <family val="2"/>
        <scheme val="minor"/>
      </rPr>
      <t>e)</t>
    </r>
  </si>
  <si>
    <t>Total cost based on purchasing ($)</t>
  </si>
  <si>
    <t>Total cost based on use ($)</t>
  </si>
  <si>
    <t>Total weight of discarded items (g)</t>
  </si>
  <si>
    <t>Cost per item ($)</t>
  </si>
  <si>
    <t>Cost per surgery ($)</t>
  </si>
  <si>
    <r>
      <t>Carbon footprint per surgery 
(g CO</t>
    </r>
    <r>
      <rPr>
        <b/>
        <vertAlign val="subscript"/>
        <sz val="12"/>
        <color rgb="FF5287A3"/>
        <rFont val="Calibri"/>
        <family val="2"/>
        <scheme val="minor"/>
      </rPr>
      <t>2</t>
    </r>
    <r>
      <rPr>
        <b/>
        <sz val="12"/>
        <color rgb="FF5287A3"/>
        <rFont val="Calibri"/>
        <family val="2"/>
        <scheme val="minor"/>
      </rPr>
      <t>e)</t>
    </r>
  </si>
  <si>
    <t>Weight per item (g)</t>
  </si>
  <si>
    <t>Percentage of Surgeries Using the Reusable Item(s)</t>
  </si>
  <si>
    <r>
      <rPr>
        <b/>
        <sz val="11"/>
        <color rgb="FF5287A3"/>
        <rFont val="Calibri"/>
        <family val="2"/>
        <scheme val="minor"/>
      </rPr>
      <t xml:space="preserve">Operational Definition: </t>
    </r>
    <r>
      <rPr>
        <sz val="11"/>
        <rFont val="Calibri"/>
        <family val="2"/>
        <scheme val="minor"/>
      </rPr>
      <t>The percentage of surgeries that use the reusable</t>
    </r>
    <r>
      <rPr>
        <b/>
        <sz val="11"/>
        <rFont val="Calibri"/>
        <family val="2"/>
        <scheme val="minor"/>
      </rPr>
      <t xml:space="preserve"> </t>
    </r>
    <r>
      <rPr>
        <sz val="11"/>
        <rFont val="Calibri"/>
        <family val="2"/>
        <scheme val="minor"/>
      </rPr>
      <t xml:space="preserve">item(s). This change idea will usually be focused around a specific type of item (e.g. breathing circuits). This table will autopopulate when you complete the first two tables above.
</t>
    </r>
  </si>
  <si>
    <t># surgeries using the reusable item(s)</t>
  </si>
  <si>
    <t># surgeries using these item(s)</t>
  </si>
  <si>
    <t>% surgeries using reusable items</t>
  </si>
  <si>
    <t>Average Cost of the Item(s) per Surgery</t>
  </si>
  <si>
    <r>
      <rPr>
        <b/>
        <sz val="11"/>
        <color rgb="FF5287A3"/>
        <rFont val="Calibri"/>
        <family val="2"/>
        <scheme val="minor"/>
      </rPr>
      <t xml:space="preserve">Operational Definition: </t>
    </r>
    <r>
      <rPr>
        <sz val="11"/>
        <rFont val="Calibri"/>
        <family val="2"/>
        <scheme val="minor"/>
      </rPr>
      <t xml:space="preserve">The average cost of the item per surgery. This table will autopopulate when you complete the first two tables above.
</t>
    </r>
  </si>
  <si>
    <t>Total cost of item(s) used</t>
  </si>
  <si>
    <t># of surgeries using this item</t>
  </si>
  <si>
    <t>Average cost per surgery</t>
  </si>
  <si>
    <r>
      <t>Total Carbon Emissions (g CO</t>
    </r>
    <r>
      <rPr>
        <b/>
        <vertAlign val="subscript"/>
        <sz val="12"/>
        <color rgb="FF5287A3"/>
        <rFont val="Calibri"/>
        <family val="2"/>
        <scheme val="minor"/>
      </rPr>
      <t>2</t>
    </r>
    <r>
      <rPr>
        <b/>
        <sz val="12"/>
        <color rgb="FF5287A3"/>
        <rFont val="Calibri"/>
        <family val="2"/>
        <scheme val="minor"/>
      </rPr>
      <t>e)</t>
    </r>
  </si>
  <si>
    <t>Single Use Blue Wrap (45"x55")</t>
  </si>
  <si>
    <t>Reusable Wrap (54"x54")</t>
  </si>
  <si>
    <t xml:space="preserve">For illustrative purposes only! </t>
  </si>
  <si>
    <t>Number of surgeries that used this item</t>
  </si>
  <si>
    <t>Data Tracking Template - Perioperative Practices</t>
  </si>
  <si>
    <r>
      <t xml:space="preserve">This report template will help you develop run charts and estimate carbon emissions from your selected measures.
Each measure is in a separate tab along the bottom of the document, you can delete any tabs that are not relevant to your project. 
</t>
    </r>
    <r>
      <rPr>
        <b/>
        <sz val="11"/>
        <color theme="1"/>
        <rFont val="Calibri"/>
        <family val="2"/>
        <scheme val="minor"/>
      </rPr>
      <t>Open the relevant tabs and add your data into the columns that are blue.</t>
    </r>
    <r>
      <rPr>
        <sz val="11"/>
        <color theme="1"/>
        <rFont val="Calibri"/>
        <family val="2"/>
        <scheme val="minor"/>
      </rPr>
      <t xml:space="preserve"> The charts and carbon emissions will automatically be updated. 
If you are using sampling for any of the measures, make sure to add your sample size in the green box, otherwise leave it empty.
Spreadsheet not working for you? Need different measures? Email lowcarbon@healthqualitybc.ca and we will be more than happy to assist you!</t>
    </r>
  </si>
  <si>
    <t>Volume of Anesthetic Gases Purchased</t>
  </si>
  <si>
    <t>Unnecessary pre-operative, intra-operative or post-operative tests</t>
  </si>
  <si>
    <t>Carbon Emissions from Tests</t>
  </si>
  <si>
    <t>Regional and Spinal Anesthesia</t>
  </si>
  <si>
    <t>Carbon Emissions from Anesthetic Gas from Eligible Procedures</t>
  </si>
  <si>
    <t>Adverse Events</t>
  </si>
  <si>
    <t>PACU Usage</t>
  </si>
  <si>
    <t>Operating Room Usage</t>
  </si>
  <si>
    <t>Post-Operative Pain Control (Pain Scale)</t>
  </si>
  <si>
    <t>Patient Experience</t>
  </si>
  <si>
    <t>Health Care Professional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</si>
</sst>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0.0"/>
    <numFmt numFmtId="166" formatCode="_-* #,##0.0_-;\-* #,##0.0_-;_-* &quot;-&quot;??_-;_-@_-"/>
  </numFmts>
  <fonts count="20"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11"/>
      <color rgb="FF5287A3"/>
      <name val="Calibri"/>
      <family val="2"/>
      <scheme val="minor"/>
    </font>
    <font>
      <sz val="11"/>
      <name val="Calibri"/>
      <family val="2"/>
      <scheme val="minor"/>
    </font>
    <font>
      <b/>
      <sz val="12"/>
      <color rgb="FF5287A3"/>
      <name val="Calibri"/>
      <family val="2"/>
      <scheme val="minor"/>
    </font>
    <font>
      <b/>
      <sz val="18"/>
      <color rgb="FF5287A3"/>
      <name val="Calibri"/>
      <family val="2"/>
      <scheme val="minor"/>
    </font>
    <font>
      <b/>
      <sz val="16"/>
      <color theme="0"/>
      <name val="Calibri"/>
      <family val="2"/>
      <scheme val="minor"/>
    </font>
    <font>
      <b/>
      <sz val="12"/>
      <color rgb="FF41683C"/>
      <name val="Calibri"/>
      <family val="2"/>
      <scheme val="minor"/>
    </font>
    <font>
      <sz val="12"/>
      <color rgb="FF41683C"/>
      <name val="Calibri"/>
      <family val="2"/>
      <scheme val="minor"/>
    </font>
    <font>
      <sz val="8"/>
      <name val="Calibri"/>
      <family val="2"/>
      <scheme val="minor"/>
    </font>
    <font>
      <sz val="10"/>
      <name val="Calibri"/>
      <family val="2"/>
      <scheme val="minor"/>
    </font>
    <font>
      <sz val="10"/>
      <color theme="1"/>
      <name val="Calibri"/>
      <family val="2"/>
      <scheme val="minor"/>
    </font>
    <font>
      <b/>
      <sz val="12"/>
      <name val="Calibri"/>
      <family val="2"/>
      <scheme val="minor"/>
    </font>
    <font>
      <vertAlign val="subscript"/>
      <sz val="11"/>
      <color theme="1"/>
      <name val="Calibri"/>
      <family val="2"/>
      <scheme val="minor"/>
    </font>
    <font>
      <b/>
      <sz val="11"/>
      <name val="Calibri"/>
      <family val="2"/>
      <scheme val="minor"/>
    </font>
    <font>
      <b/>
      <vertAlign val="subscript"/>
      <sz val="12"/>
      <color rgb="FF5287A3"/>
      <name val="Calibri"/>
      <family val="2"/>
      <scheme val="minor"/>
    </font>
    <font>
      <b/>
      <vertAlign val="subscript"/>
      <sz val="11"/>
      <color theme="1"/>
      <name val="Calibri"/>
      <family val="2"/>
      <scheme val="minor"/>
    </font>
    <font>
      <vertAlign val="subscript"/>
      <sz val="10"/>
      <color theme="1"/>
      <name val="Calibri"/>
      <family val="2"/>
      <scheme val="minor"/>
    </font>
  </fonts>
  <fills count="13">
    <fill>
      <patternFill patternType="none"/>
    </fill>
    <fill>
      <patternFill patternType="gray125"/>
    </fill>
    <fill>
      <patternFill patternType="solid">
        <fgColor rgb="FF5287A3"/>
        <bgColor indexed="64"/>
      </patternFill>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
      <patternFill patternType="solid">
        <fgColor rgb="FF41683C"/>
        <bgColor indexed="64"/>
      </patternFill>
    </fill>
    <fill>
      <patternFill patternType="solid">
        <fgColor rgb="FFC5D7E1"/>
        <bgColor indexed="64"/>
      </patternFill>
    </fill>
    <fill>
      <patternFill patternType="solid">
        <fgColor rgb="FF66254A"/>
        <bgColor indexed="64"/>
      </patternFill>
    </fill>
    <fill>
      <patternFill patternType="solid">
        <fgColor rgb="FF41613B"/>
        <bgColor indexed="64"/>
      </patternFill>
    </fill>
    <fill>
      <patternFill patternType="solid">
        <fgColor theme="0" tint="-0.14999847407452621"/>
        <bgColor theme="0" tint="-0.14999847407452621"/>
      </patternFill>
    </fill>
    <fill>
      <patternFill patternType="solid">
        <fgColor theme="0" tint="-0.499984740745262"/>
        <bgColor indexed="64"/>
      </patternFill>
    </fill>
    <fill>
      <patternFill patternType="solid">
        <fgColor rgb="FFC5D7E1"/>
        <bgColor rgb="FF000000"/>
      </patternFill>
    </fill>
  </fills>
  <borders count="29">
    <border>
      <left/>
      <right/>
      <top/>
      <bottom/>
      <diagonal/>
    </border>
    <border>
      <left/>
      <right style="medium">
        <color rgb="FF5287A3"/>
      </right>
      <top style="medium">
        <color rgb="FF5287A3"/>
      </top>
      <bottom style="medium">
        <color rgb="FF5287A3"/>
      </bottom>
      <diagonal/>
    </border>
    <border>
      <left style="medium">
        <color rgb="FF5287A3"/>
      </left>
      <right/>
      <top style="medium">
        <color rgb="FF5287A3"/>
      </top>
      <bottom style="medium">
        <color rgb="FF5287A3"/>
      </bottom>
      <diagonal/>
    </border>
    <border>
      <left/>
      <right/>
      <top style="medium">
        <color rgb="FF5287A3"/>
      </top>
      <bottom style="medium">
        <color rgb="FF5287A3"/>
      </bottom>
      <diagonal/>
    </border>
    <border>
      <left style="thin">
        <color rgb="FF5287A3"/>
      </left>
      <right style="thin">
        <color rgb="FF5287A3"/>
      </right>
      <top style="thin">
        <color rgb="FF5287A3"/>
      </top>
      <bottom style="thin">
        <color rgb="FF5287A3"/>
      </bottom>
      <diagonal/>
    </border>
    <border>
      <left/>
      <right style="thin">
        <color rgb="FF5287A3"/>
      </right>
      <top style="thin">
        <color rgb="FF5287A3"/>
      </top>
      <bottom style="thin">
        <color rgb="FF5287A3"/>
      </bottom>
      <diagonal/>
    </border>
    <border>
      <left style="thin">
        <color rgb="FF5287A3"/>
      </left>
      <right/>
      <top/>
      <bottom/>
      <diagonal/>
    </border>
    <border>
      <left style="thin">
        <color rgb="FF41683C"/>
      </left>
      <right style="thin">
        <color rgb="FF41683C"/>
      </right>
      <top style="thin">
        <color rgb="FF41683C"/>
      </top>
      <bottom style="thin">
        <color rgb="FF41683C"/>
      </bottom>
      <diagonal/>
    </border>
    <border>
      <left style="thin">
        <color rgb="FF5287A3"/>
      </left>
      <right style="thin">
        <color rgb="FF5287A3"/>
      </right>
      <top style="thick">
        <color rgb="FF5287A3"/>
      </top>
      <bottom style="thin">
        <color rgb="FF5287A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theme="1"/>
      </bottom>
      <diagonal/>
    </border>
    <border>
      <left/>
      <right/>
      <top/>
      <bottom style="thick">
        <color rgb="FF5287A3"/>
      </bottom>
      <diagonal/>
    </border>
    <border>
      <left style="thin">
        <color rgb="FF5287A3"/>
      </left>
      <right style="thin">
        <color rgb="FF5287A3"/>
      </right>
      <top/>
      <bottom style="thin">
        <color rgb="FF5287A3"/>
      </bottom>
      <diagonal/>
    </border>
    <border>
      <left style="thin">
        <color rgb="FF5287A3"/>
      </left>
      <right/>
      <top style="thick">
        <color rgb="FF5287A3"/>
      </top>
      <bottom style="thin">
        <color rgb="FF5287A3"/>
      </bottom>
      <diagonal/>
    </border>
    <border>
      <left style="thin">
        <color rgb="FF5287A3"/>
      </left>
      <right/>
      <top style="thin">
        <color rgb="FF5287A3"/>
      </top>
      <bottom style="thin">
        <color rgb="FF5287A3"/>
      </bottom>
      <diagonal/>
    </border>
    <border>
      <left style="thin">
        <color rgb="FF5287A3"/>
      </left>
      <right/>
      <top/>
      <bottom style="thin">
        <color rgb="FF5287A3"/>
      </bottom>
      <diagonal/>
    </border>
    <border>
      <left style="thin">
        <color indexed="64"/>
      </left>
      <right/>
      <top/>
      <bottom/>
      <diagonal/>
    </border>
    <border>
      <left/>
      <right/>
      <top/>
      <bottom style="thin">
        <color indexed="64"/>
      </bottom>
      <diagonal/>
    </border>
    <border>
      <left style="thin">
        <color indexed="64"/>
      </left>
      <right style="thin">
        <color indexed="64"/>
      </right>
      <top/>
      <bottom style="thick">
        <color rgb="FF5287A3"/>
      </bottom>
      <diagonal/>
    </border>
    <border>
      <left style="thin">
        <color indexed="64"/>
      </left>
      <right/>
      <top/>
      <bottom style="thick">
        <color rgb="FF5287A3"/>
      </bottom>
      <diagonal/>
    </border>
    <border>
      <left/>
      <right style="thin">
        <color rgb="FF5287A3"/>
      </right>
      <top style="thick">
        <color rgb="FF5287A3"/>
      </top>
      <bottom style="thin">
        <color rgb="FF5287A3"/>
      </bottom>
      <diagonal/>
    </border>
  </borders>
  <cellStyleXfs count="4">
    <xf numFmtId="0" fontId="0"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179">
    <xf numFmtId="0" fontId="0" fillId="0" borderId="0" xfId="0"/>
    <xf numFmtId="0" fontId="0" fillId="0" borderId="0" xfId="0" applyAlignment="1" applyProtection="1">
      <alignment vertical="top"/>
      <protection locked="0"/>
    </xf>
    <xf numFmtId="0" fontId="0" fillId="0" borderId="6" xfId="0" applyBorder="1" applyAlignment="1" applyProtection="1">
      <alignment vertical="top"/>
      <protection locked="0"/>
    </xf>
    <xf numFmtId="0" fontId="7" fillId="0" borderId="0" xfId="0" applyFont="1"/>
    <xf numFmtId="0" fontId="0" fillId="0" borderId="0" xfId="0" applyAlignment="1">
      <alignment vertical="top"/>
    </xf>
    <xf numFmtId="0" fontId="9" fillId="5" borderId="7" xfId="0" applyFont="1" applyFill="1" applyBorder="1" applyAlignment="1">
      <alignment horizontal="center" vertical="center" wrapText="1"/>
    </xf>
    <xf numFmtId="0" fontId="3" fillId="6" borderId="7" xfId="0" applyFont="1" applyFill="1" applyBorder="1" applyAlignment="1" applyProtection="1">
      <alignment horizontal="center" vertical="center"/>
      <protection locked="0"/>
    </xf>
    <xf numFmtId="0" fontId="6" fillId="5" borderId="0" xfId="0" applyFont="1" applyFill="1" applyAlignment="1">
      <alignment horizontal="center" vertical="center" wrapText="1"/>
    </xf>
    <xf numFmtId="9" fontId="5" fillId="4" borderId="4" xfId="1" applyFont="1" applyFill="1" applyBorder="1" applyAlignment="1">
      <alignment horizontal="center"/>
    </xf>
    <xf numFmtId="0" fontId="5" fillId="7" borderId="4" xfId="0" applyFont="1" applyFill="1" applyBorder="1" applyAlignment="1" applyProtection="1">
      <alignment horizontal="center"/>
      <protection locked="0"/>
    </xf>
    <xf numFmtId="0" fontId="6" fillId="5" borderId="0" xfId="0" applyFont="1" applyFill="1" applyAlignment="1">
      <alignment horizontal="center" vertical="center"/>
    </xf>
    <xf numFmtId="49" fontId="0" fillId="4" borderId="8" xfId="0" applyNumberFormat="1" applyFill="1" applyBorder="1" applyAlignment="1">
      <alignment horizontal="left"/>
    </xf>
    <xf numFmtId="0" fontId="5" fillId="7" borderId="8" xfId="0" applyFont="1" applyFill="1" applyBorder="1" applyAlignment="1" applyProtection="1">
      <alignment horizontal="center"/>
      <protection locked="0"/>
    </xf>
    <xf numFmtId="9" fontId="5" fillId="4" borderId="8" xfId="1" applyFont="1" applyFill="1" applyBorder="1" applyAlignment="1">
      <alignment horizontal="center"/>
    </xf>
    <xf numFmtId="49" fontId="0" fillId="4" borderId="4" xfId="0" applyNumberFormat="1" applyFill="1" applyBorder="1" applyAlignment="1">
      <alignment horizontal="left"/>
    </xf>
    <xf numFmtId="0" fontId="5" fillId="0" borderId="0" xfId="0" applyFont="1"/>
    <xf numFmtId="0" fontId="5" fillId="0" borderId="0" xfId="0" applyFont="1" applyAlignment="1">
      <alignment horizontal="left"/>
    </xf>
    <xf numFmtId="49" fontId="0" fillId="4" borderId="9" xfId="0" applyNumberFormat="1" applyFill="1" applyBorder="1" applyAlignment="1">
      <alignment horizontal="left"/>
    </xf>
    <xf numFmtId="1" fontId="5" fillId="7" borderId="9" xfId="1" applyNumberFormat="1" applyFont="1" applyFill="1" applyBorder="1" applyAlignment="1" applyProtection="1">
      <alignment horizontal="center"/>
      <protection locked="0"/>
    </xf>
    <xf numFmtId="164" fontId="0" fillId="0" borderId="9" xfId="2" applyNumberFormat="1" applyFont="1" applyBorder="1"/>
    <xf numFmtId="164" fontId="13" fillId="0" borderId="9" xfId="2" applyNumberFormat="1" applyFont="1" applyBorder="1" applyAlignment="1">
      <alignment vertical="center" wrapText="1"/>
    </xf>
    <xf numFmtId="0" fontId="12" fillId="0" borderId="0" xfId="0" applyFont="1" applyAlignment="1">
      <alignment horizontal="left" vertical="center" wrapText="1"/>
    </xf>
    <xf numFmtId="1" fontId="12" fillId="0" borderId="0" xfId="0" applyNumberFormat="1" applyFont="1" applyAlignment="1">
      <alignment horizontal="left" vertical="center" wrapText="1"/>
    </xf>
    <xf numFmtId="0" fontId="12"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1" fontId="13" fillId="0" borderId="9" xfId="0" applyNumberFormat="1" applyFont="1" applyBorder="1" applyAlignment="1">
      <alignment vertical="center" wrapText="1"/>
    </xf>
    <xf numFmtId="0" fontId="12" fillId="0" borderId="9" xfId="0" applyFont="1" applyBorder="1" applyAlignment="1">
      <alignment vertical="center" wrapText="1"/>
    </xf>
    <xf numFmtId="0" fontId="12" fillId="0" borderId="16" xfId="0" applyFont="1" applyBorder="1" applyAlignment="1">
      <alignment vertical="center" wrapText="1"/>
    </xf>
    <xf numFmtId="0" fontId="12" fillId="0" borderId="11" xfId="0" applyFont="1" applyBorder="1" applyAlignment="1">
      <alignment horizontal="center" vertical="center" wrapText="1"/>
    </xf>
    <xf numFmtId="0" fontId="12" fillId="0" borderId="15" xfId="0" applyFont="1" applyBorder="1" applyAlignment="1">
      <alignment horizontal="left" vertical="center" wrapText="1"/>
    </xf>
    <xf numFmtId="164" fontId="13" fillId="0" borderId="16" xfId="2" applyNumberFormat="1" applyFont="1" applyBorder="1" applyAlignment="1">
      <alignment vertical="center" wrapText="1"/>
    </xf>
    <xf numFmtId="0" fontId="12" fillId="0" borderId="17" xfId="0" applyFont="1" applyBorder="1" applyAlignment="1">
      <alignment horizontal="center" vertical="center" wrapText="1"/>
    </xf>
    <xf numFmtId="0" fontId="14" fillId="0" borderId="14" xfId="0" applyFont="1" applyBorder="1" applyAlignment="1">
      <alignment horizontal="left" vertical="center" wrapText="1"/>
    </xf>
    <xf numFmtId="49" fontId="0" fillId="7" borderId="9" xfId="0" applyNumberFormat="1" applyFill="1" applyBorder="1" applyAlignment="1">
      <alignment horizontal="left"/>
    </xf>
    <xf numFmtId="1" fontId="5" fillId="7" borderId="9" xfId="1" applyNumberFormat="1" applyFont="1" applyFill="1" applyBorder="1" applyAlignment="1" applyProtection="1">
      <alignment horizontal="left"/>
      <protection locked="0"/>
    </xf>
    <xf numFmtId="1" fontId="12" fillId="0" borderId="11" xfId="2" applyNumberFormat="1" applyFont="1" applyFill="1" applyBorder="1" applyAlignment="1">
      <alignment horizontal="left" vertical="center" wrapText="1"/>
    </xf>
    <xf numFmtId="1" fontId="12" fillId="0" borderId="14" xfId="2" applyNumberFormat="1" applyFont="1" applyFill="1" applyBorder="1" applyAlignment="1">
      <alignment horizontal="left" vertical="center" wrapText="1"/>
    </xf>
    <xf numFmtId="1" fontId="12" fillId="0" borderId="17" xfId="2" applyNumberFormat="1" applyFont="1" applyFill="1" applyBorder="1" applyAlignment="1">
      <alignment horizontal="left" vertical="center" wrapText="1"/>
    </xf>
    <xf numFmtId="164" fontId="5" fillId="0" borderId="9" xfId="2" applyNumberFormat="1" applyFont="1" applyFill="1" applyBorder="1" applyAlignment="1" applyProtection="1">
      <alignment horizontal="center"/>
    </xf>
    <xf numFmtId="164" fontId="0" fillId="0" borderId="9" xfId="0" applyNumberFormat="1" applyBorder="1"/>
    <xf numFmtId="1" fontId="12" fillId="0" borderId="14" xfId="2" applyNumberFormat="1" applyFont="1" applyFill="1" applyBorder="1" applyAlignment="1">
      <alignment vertical="center" wrapText="1"/>
    </xf>
    <xf numFmtId="1" fontId="12" fillId="0" borderId="0" xfId="2" applyNumberFormat="1" applyFont="1" applyFill="1" applyBorder="1" applyAlignment="1">
      <alignment horizontal="left" vertical="center" wrapText="1"/>
    </xf>
    <xf numFmtId="0" fontId="12" fillId="0" borderId="0" xfId="0" applyFont="1" applyAlignment="1">
      <alignment vertical="center" wrapText="1"/>
    </xf>
    <xf numFmtId="1" fontId="12" fillId="0" borderId="0" xfId="2" applyNumberFormat="1" applyFont="1" applyFill="1" applyBorder="1" applyAlignment="1">
      <alignment vertical="center" wrapText="1"/>
    </xf>
    <xf numFmtId="164" fontId="12" fillId="0" borderId="14" xfId="2" applyNumberFormat="1" applyFont="1" applyFill="1" applyBorder="1" applyAlignment="1">
      <alignment vertical="center" wrapText="1"/>
    </xf>
    <xf numFmtId="0" fontId="14" fillId="0" borderId="9" xfId="0" applyFont="1" applyBorder="1" applyAlignment="1">
      <alignment horizontal="left" vertical="center" wrapText="1"/>
    </xf>
    <xf numFmtId="1" fontId="12" fillId="10" borderId="0" xfId="2" applyNumberFormat="1" applyFont="1" applyFill="1" applyBorder="1" applyAlignment="1">
      <alignment horizontal="left"/>
    </xf>
    <xf numFmtId="1" fontId="5" fillId="7" borderId="8" xfId="0" applyNumberFormat="1" applyFont="1" applyFill="1" applyBorder="1" applyAlignment="1" applyProtection="1">
      <alignment horizontal="center"/>
      <protection locked="0"/>
    </xf>
    <xf numFmtId="1" fontId="5" fillId="7" borderId="4" xfId="0" applyNumberFormat="1" applyFont="1" applyFill="1" applyBorder="1" applyAlignment="1" applyProtection="1">
      <alignment horizontal="center"/>
      <protection locked="0"/>
    </xf>
    <xf numFmtId="0" fontId="14" fillId="0" borderId="0" xfId="0" applyFont="1" applyAlignment="1">
      <alignment horizontal="left" vertical="center" wrapText="1"/>
    </xf>
    <xf numFmtId="164" fontId="12" fillId="0" borderId="0" xfId="2" applyNumberFormat="1" applyFont="1" applyFill="1" applyBorder="1" applyAlignment="1">
      <alignment vertical="center" wrapText="1"/>
    </xf>
    <xf numFmtId="164" fontId="12" fillId="0" borderId="9" xfId="2" applyNumberFormat="1" applyFont="1" applyBorder="1" applyAlignment="1">
      <alignment horizontal="left"/>
    </xf>
    <xf numFmtId="164" fontId="12" fillId="0" borderId="13" xfId="2" applyNumberFormat="1" applyFont="1" applyBorder="1" applyAlignment="1">
      <alignment horizontal="left"/>
    </xf>
    <xf numFmtId="164" fontId="12" fillId="0" borderId="16" xfId="2" applyNumberFormat="1" applyFont="1" applyBorder="1" applyAlignment="1">
      <alignment horizontal="left"/>
    </xf>
    <xf numFmtId="0" fontId="6" fillId="0" borderId="0" xfId="0" applyFont="1" applyAlignment="1">
      <alignment horizontal="center" vertical="center" wrapText="1"/>
    </xf>
    <xf numFmtId="1" fontId="5" fillId="0" borderId="0" xfId="1" applyNumberFormat="1" applyFont="1" applyFill="1" applyBorder="1" applyAlignment="1" applyProtection="1">
      <alignment horizontal="center"/>
      <protection locked="0"/>
    </xf>
    <xf numFmtId="164" fontId="12" fillId="0" borderId="13" xfId="2" applyNumberFormat="1" applyFont="1" applyFill="1" applyBorder="1" applyAlignment="1">
      <alignment vertical="center" wrapText="1"/>
    </xf>
    <xf numFmtId="164" fontId="12" fillId="0" borderId="9" xfId="2" applyNumberFormat="1" applyFont="1" applyFill="1" applyBorder="1" applyAlignment="1">
      <alignment vertical="center" wrapText="1"/>
    </xf>
    <xf numFmtId="164" fontId="12" fillId="0" borderId="16" xfId="2" applyNumberFormat="1" applyFont="1" applyFill="1" applyBorder="1" applyAlignment="1">
      <alignment vertical="center" wrapText="1"/>
    </xf>
    <xf numFmtId="49" fontId="0" fillId="4" borderId="16" xfId="0" applyNumberFormat="1" applyFill="1" applyBorder="1" applyAlignment="1">
      <alignment horizontal="left"/>
    </xf>
    <xf numFmtId="165" fontId="5" fillId="4" borderId="8" xfId="1" applyNumberFormat="1" applyFont="1" applyFill="1" applyBorder="1" applyAlignment="1">
      <alignment horizontal="center"/>
    </xf>
    <xf numFmtId="165" fontId="5" fillId="4" borderId="4" xfId="1" applyNumberFormat="1" applyFont="1" applyFill="1" applyBorder="1" applyAlignment="1">
      <alignment horizontal="center"/>
    </xf>
    <xf numFmtId="0" fontId="0" fillId="0" borderId="0" xfId="0" applyAlignment="1">
      <alignment horizontal="left"/>
    </xf>
    <xf numFmtId="0" fontId="6" fillId="5" borderId="19" xfId="0" applyFont="1" applyFill="1" applyBorder="1" applyAlignment="1">
      <alignment horizontal="left" vertical="center" wrapText="1"/>
    </xf>
    <xf numFmtId="0" fontId="12" fillId="7" borderId="8" xfId="0" applyFont="1" applyFill="1" applyBorder="1" applyAlignment="1">
      <alignment horizontal="left" vertical="center" wrapText="1"/>
    </xf>
    <xf numFmtId="164" fontId="12" fillId="7" borderId="8" xfId="2" applyNumberFormat="1" applyFont="1" applyFill="1" applyBorder="1" applyAlignment="1">
      <alignment horizontal="left"/>
    </xf>
    <xf numFmtId="0" fontId="12" fillId="7" borderId="4" xfId="0" applyFont="1" applyFill="1" applyBorder="1" applyAlignment="1">
      <alignment horizontal="left" vertical="center" wrapText="1"/>
    </xf>
    <xf numFmtId="164" fontId="12" fillId="7" borderId="4" xfId="2" applyNumberFormat="1" applyFont="1" applyFill="1" applyBorder="1" applyAlignment="1">
      <alignment horizontal="left"/>
    </xf>
    <xf numFmtId="164" fontId="12" fillId="7" borderId="4" xfId="2" applyNumberFormat="1" applyFont="1" applyFill="1" applyBorder="1" applyAlignment="1">
      <alignment vertical="center" wrapText="1"/>
    </xf>
    <xf numFmtId="49" fontId="0" fillId="7" borderId="8" xfId="0" applyNumberFormat="1" applyFill="1" applyBorder="1" applyAlignment="1">
      <alignment horizontal="left"/>
    </xf>
    <xf numFmtId="1" fontId="5" fillId="7" borderId="8" xfId="1" applyNumberFormat="1" applyFont="1" applyFill="1" applyBorder="1" applyAlignment="1" applyProtection="1">
      <alignment horizontal="left"/>
      <protection locked="0"/>
    </xf>
    <xf numFmtId="1" fontId="5" fillId="7" borderId="8" xfId="1" applyNumberFormat="1" applyFont="1" applyFill="1" applyBorder="1" applyAlignment="1" applyProtection="1">
      <alignment horizontal="center"/>
      <protection locked="0"/>
    </xf>
    <xf numFmtId="164" fontId="0" fillId="0" borderId="8" xfId="2" applyNumberFormat="1" applyFont="1" applyBorder="1"/>
    <xf numFmtId="49" fontId="0" fillId="7" borderId="4" xfId="0" applyNumberFormat="1" applyFill="1" applyBorder="1" applyAlignment="1">
      <alignment horizontal="left"/>
    </xf>
    <xf numFmtId="1" fontId="5" fillId="7" borderId="4" xfId="1" applyNumberFormat="1" applyFont="1" applyFill="1" applyBorder="1" applyAlignment="1" applyProtection="1">
      <alignment horizontal="left"/>
      <protection locked="0"/>
    </xf>
    <xf numFmtId="1" fontId="5" fillId="7" borderId="4" xfId="1" applyNumberFormat="1" applyFont="1" applyFill="1" applyBorder="1" applyAlignment="1" applyProtection="1">
      <alignment horizontal="center"/>
      <protection locked="0"/>
    </xf>
    <xf numFmtId="164" fontId="0" fillId="0" borderId="4" xfId="2" applyNumberFormat="1" applyFont="1" applyBorder="1"/>
    <xf numFmtId="44" fontId="12" fillId="7" borderId="8" xfId="3" applyFont="1" applyFill="1" applyBorder="1" applyAlignment="1">
      <alignment horizontal="center" vertical="center" wrapText="1"/>
    </xf>
    <xf numFmtId="44" fontId="12" fillId="7" borderId="4" xfId="3" applyFont="1" applyFill="1" applyBorder="1" applyAlignment="1">
      <alignment horizontal="center" vertical="center" wrapText="1"/>
    </xf>
    <xf numFmtId="44" fontId="0" fillId="0" borderId="8" xfId="3" applyFont="1" applyBorder="1"/>
    <xf numFmtId="44" fontId="0" fillId="0" borderId="4" xfId="3" applyFont="1" applyBorder="1"/>
    <xf numFmtId="0" fontId="8" fillId="0" borderId="0" xfId="0" applyFont="1" applyAlignment="1">
      <alignment horizontal="center" vertical="top"/>
    </xf>
    <xf numFmtId="1" fontId="0" fillId="0" borderId="8" xfId="3" applyNumberFormat="1" applyFont="1" applyBorder="1"/>
    <xf numFmtId="0" fontId="6" fillId="5" borderId="18" xfId="0" applyFont="1" applyFill="1" applyBorder="1" applyAlignment="1">
      <alignment horizontal="center" vertical="center"/>
    </xf>
    <xf numFmtId="1" fontId="0" fillId="0" borderId="4" xfId="3" applyNumberFormat="1" applyFont="1" applyBorder="1"/>
    <xf numFmtId="0" fontId="6" fillId="5" borderId="19" xfId="0" applyFont="1" applyFill="1" applyBorder="1" applyAlignment="1">
      <alignment horizontal="center" vertical="center" wrapText="1"/>
    </xf>
    <xf numFmtId="0" fontId="6" fillId="5" borderId="19" xfId="0" applyFont="1" applyFill="1" applyBorder="1" applyAlignment="1">
      <alignment horizontal="center" vertical="center"/>
    </xf>
    <xf numFmtId="9" fontId="5" fillId="0" borderId="4" xfId="1" applyFont="1" applyFill="1" applyBorder="1" applyAlignment="1" applyProtection="1">
      <alignment horizontal="center"/>
    </xf>
    <xf numFmtId="164" fontId="13" fillId="7" borderId="21" xfId="2" applyNumberFormat="1" applyFont="1" applyFill="1" applyBorder="1" applyAlignment="1">
      <alignment vertical="center" wrapText="1"/>
    </xf>
    <xf numFmtId="164" fontId="13" fillId="7" borderId="23" xfId="2" applyNumberFormat="1" applyFont="1" applyFill="1" applyBorder="1" applyAlignment="1">
      <alignment vertical="center" wrapText="1"/>
    </xf>
    <xf numFmtId="0" fontId="6" fillId="0" borderId="0" xfId="0" applyFont="1" applyAlignment="1">
      <alignment horizontal="left" vertical="center" wrapText="1"/>
    </xf>
    <xf numFmtId="0" fontId="8" fillId="0" borderId="0" xfId="0" applyFont="1" applyAlignment="1">
      <alignment vertical="top"/>
    </xf>
    <xf numFmtId="0" fontId="0" fillId="0" borderId="0" xfId="0" applyAlignment="1">
      <alignment wrapText="1"/>
    </xf>
    <xf numFmtId="1" fontId="5" fillId="0" borderId="4" xfId="1" applyNumberFormat="1" applyFont="1" applyFill="1" applyBorder="1" applyAlignment="1" applyProtection="1">
      <alignment horizontal="center"/>
    </xf>
    <xf numFmtId="44" fontId="0" fillId="0" borderId="8" xfId="0" applyNumberFormat="1" applyBorder="1"/>
    <xf numFmtId="44" fontId="0" fillId="0" borderId="4" xfId="0" applyNumberFormat="1" applyBorder="1"/>
    <xf numFmtId="44" fontId="5" fillId="0" borderId="4" xfId="3" applyFont="1" applyFill="1" applyBorder="1" applyAlignment="1" applyProtection="1">
      <alignment horizontal="center"/>
    </xf>
    <xf numFmtId="1" fontId="5" fillId="0" borderId="0" xfId="1" applyNumberFormat="1" applyFont="1" applyFill="1" applyBorder="1" applyAlignment="1" applyProtection="1">
      <alignment horizontal="center"/>
    </xf>
    <xf numFmtId="44" fontId="5" fillId="0" borderId="0" xfId="3" applyFont="1" applyFill="1" applyBorder="1" applyAlignment="1" applyProtection="1">
      <alignment horizontal="center"/>
    </xf>
    <xf numFmtId="164" fontId="5" fillId="0" borderId="22" xfId="2" applyNumberFormat="1" applyFont="1" applyFill="1" applyBorder="1" applyAlignment="1" applyProtection="1">
      <alignment horizontal="center"/>
    </xf>
    <xf numFmtId="1" fontId="5" fillId="7" borderId="22" xfId="3" applyNumberFormat="1" applyFont="1" applyFill="1" applyBorder="1" applyAlignment="1" applyProtection="1">
      <alignment horizontal="center"/>
    </xf>
    <xf numFmtId="1" fontId="12" fillId="0" borderId="9" xfId="2" applyNumberFormat="1" applyFont="1" applyFill="1" applyBorder="1" applyAlignment="1">
      <alignment vertical="center" wrapText="1"/>
    </xf>
    <xf numFmtId="1" fontId="12" fillId="0" borderId="16" xfId="2" applyNumberFormat="1" applyFont="1" applyFill="1" applyBorder="1" applyAlignment="1">
      <alignment vertical="center" wrapText="1"/>
    </xf>
    <xf numFmtId="164" fontId="5" fillId="0" borderId="0" xfId="2" applyNumberFormat="1" applyFont="1" applyFill="1" applyBorder="1" applyAlignment="1" applyProtection="1">
      <alignment horizontal="center"/>
    </xf>
    <xf numFmtId="0" fontId="6" fillId="0" borderId="0" xfId="0" applyFont="1" applyAlignment="1">
      <alignment horizontal="center" vertical="center"/>
    </xf>
    <xf numFmtId="49" fontId="0" fillId="0" borderId="0" xfId="0" applyNumberFormat="1" applyAlignment="1">
      <alignment horizontal="left"/>
    </xf>
    <xf numFmtId="164" fontId="12" fillId="0" borderId="9" xfId="2" applyNumberFormat="1" applyFont="1" applyBorder="1" applyAlignment="1">
      <alignment vertical="center" wrapText="1"/>
    </xf>
    <xf numFmtId="164" fontId="12" fillId="0" borderId="16" xfId="2" applyNumberFormat="1" applyFont="1" applyBorder="1" applyAlignment="1">
      <alignment vertical="center" wrapText="1"/>
    </xf>
    <xf numFmtId="164" fontId="13" fillId="0" borderId="11" xfId="2" applyNumberFormat="1" applyFont="1" applyBorder="1" applyAlignment="1">
      <alignment vertical="center" wrapText="1"/>
    </xf>
    <xf numFmtId="164" fontId="13" fillId="0" borderId="0" xfId="2" applyNumberFormat="1" applyFont="1" applyFill="1" applyBorder="1" applyAlignment="1">
      <alignment vertical="center" wrapText="1"/>
    </xf>
    <xf numFmtId="1" fontId="14" fillId="0" borderId="13" xfId="2" applyNumberFormat="1" applyFont="1" applyFill="1" applyBorder="1" applyAlignment="1">
      <alignment horizontal="left" vertical="center" wrapText="1"/>
    </xf>
    <xf numFmtId="1" fontId="5" fillId="7" borderId="21" xfId="0" applyNumberFormat="1" applyFont="1" applyFill="1" applyBorder="1" applyAlignment="1" applyProtection="1">
      <alignment horizontal="center"/>
      <protection locked="0"/>
    </xf>
    <xf numFmtId="1" fontId="5" fillId="7" borderId="22" xfId="0" applyNumberFormat="1" applyFont="1" applyFill="1" applyBorder="1" applyAlignment="1" applyProtection="1">
      <alignment horizontal="center"/>
      <protection locked="0"/>
    </xf>
    <xf numFmtId="164" fontId="13" fillId="0" borderId="9" xfId="2" applyNumberFormat="1" applyFont="1" applyFill="1" applyBorder="1" applyAlignment="1">
      <alignment vertical="center" wrapText="1"/>
    </xf>
    <xf numFmtId="0" fontId="5" fillId="0" borderId="9" xfId="0" applyFont="1" applyBorder="1"/>
    <xf numFmtId="1" fontId="5" fillId="0" borderId="8" xfId="1" applyNumberFormat="1" applyFont="1" applyFill="1" applyBorder="1" applyAlignment="1">
      <alignment horizontal="center"/>
    </xf>
    <xf numFmtId="1" fontId="5" fillId="0" borderId="4" xfId="1" applyNumberFormat="1" applyFont="1" applyFill="1" applyBorder="1" applyAlignment="1">
      <alignment horizontal="center"/>
    </xf>
    <xf numFmtId="43" fontId="12" fillId="0" borderId="14" xfId="2" applyFont="1" applyFill="1" applyBorder="1" applyAlignment="1">
      <alignment horizontal="left"/>
    </xf>
    <xf numFmtId="0" fontId="5" fillId="7" borderId="8" xfId="0" applyFont="1" applyFill="1" applyBorder="1" applyAlignment="1">
      <alignment horizontal="left" vertical="center" wrapText="1"/>
    </xf>
    <xf numFmtId="164" fontId="5" fillId="7" borderId="8" xfId="2" applyNumberFormat="1" applyFont="1" applyFill="1" applyBorder="1" applyAlignment="1">
      <alignment horizontal="left"/>
    </xf>
    <xf numFmtId="44" fontId="5" fillId="7" borderId="8" xfId="3" applyFont="1" applyFill="1" applyBorder="1" applyAlignment="1">
      <alignment horizontal="center" vertical="center" wrapText="1"/>
    </xf>
    <xf numFmtId="164" fontId="5" fillId="7" borderId="20" xfId="2" applyNumberFormat="1" applyFont="1" applyFill="1" applyBorder="1" applyAlignment="1">
      <alignment vertical="center" wrapText="1"/>
    </xf>
    <xf numFmtId="164" fontId="0" fillId="7" borderId="21" xfId="2" applyNumberFormat="1" applyFont="1" applyFill="1" applyBorder="1" applyAlignment="1">
      <alignment vertical="center" wrapText="1"/>
    </xf>
    <xf numFmtId="0" fontId="5" fillId="7" borderId="4" xfId="0" applyFont="1" applyFill="1" applyBorder="1" applyAlignment="1">
      <alignment horizontal="left" vertical="center" wrapText="1"/>
    </xf>
    <xf numFmtId="164" fontId="5" fillId="7" borderId="4" xfId="2" applyNumberFormat="1" applyFont="1" applyFill="1" applyBorder="1" applyAlignment="1">
      <alignment horizontal="left"/>
    </xf>
    <xf numFmtId="44" fontId="5" fillId="7" borderId="4" xfId="3" applyFont="1" applyFill="1" applyBorder="1" applyAlignment="1">
      <alignment horizontal="center" vertical="center" wrapText="1"/>
    </xf>
    <xf numFmtId="164" fontId="5" fillId="7" borderId="4" xfId="2" applyNumberFormat="1" applyFont="1" applyFill="1" applyBorder="1" applyAlignment="1">
      <alignment vertical="center" wrapText="1"/>
    </xf>
    <xf numFmtId="164" fontId="0" fillId="7" borderId="23" xfId="2" applyNumberFormat="1" applyFont="1" applyFill="1" applyBorder="1" applyAlignment="1">
      <alignment vertical="center" wrapText="1"/>
    </xf>
    <xf numFmtId="164" fontId="0" fillId="7" borderId="22" xfId="2" applyNumberFormat="1" applyFont="1" applyFill="1" applyBorder="1" applyAlignment="1">
      <alignment vertical="center" wrapText="1"/>
    </xf>
    <xf numFmtId="1" fontId="12" fillId="0" borderId="13" xfId="2" applyNumberFormat="1" applyFont="1" applyFill="1" applyBorder="1" applyAlignment="1">
      <alignment vertical="center" wrapText="1"/>
    </xf>
    <xf numFmtId="164" fontId="12" fillId="0" borderId="25" xfId="2" applyNumberFormat="1" applyFont="1" applyFill="1" applyBorder="1" applyAlignment="1">
      <alignment vertical="center" wrapText="1"/>
    </xf>
    <xf numFmtId="1" fontId="12" fillId="10" borderId="9" xfId="2" applyNumberFormat="1" applyFont="1" applyFill="1" applyBorder="1" applyAlignment="1">
      <alignment horizontal="left"/>
    </xf>
    <xf numFmtId="43" fontId="12" fillId="0" borderId="24" xfId="2" applyFont="1" applyFill="1" applyBorder="1" applyAlignment="1">
      <alignment horizontal="left"/>
    </xf>
    <xf numFmtId="0" fontId="5" fillId="7" borderId="20" xfId="0" applyFont="1" applyFill="1" applyBorder="1" applyAlignment="1" applyProtection="1">
      <alignment horizontal="center"/>
      <protection locked="0"/>
    </xf>
    <xf numFmtId="166" fontId="12" fillId="7" borderId="20" xfId="2" applyNumberFormat="1" applyFont="1" applyFill="1" applyBorder="1" applyAlignment="1">
      <alignment vertical="center" wrapText="1"/>
    </xf>
    <xf numFmtId="166" fontId="12" fillId="7" borderId="4" xfId="2" applyNumberFormat="1" applyFont="1" applyFill="1" applyBorder="1" applyAlignment="1">
      <alignment vertical="center" wrapText="1"/>
    </xf>
    <xf numFmtId="164" fontId="13" fillId="12" borderId="21" xfId="2" applyNumberFormat="1" applyFont="1" applyFill="1" applyBorder="1" applyAlignment="1">
      <alignment vertical="center" wrapText="1"/>
    </xf>
    <xf numFmtId="164" fontId="13" fillId="12" borderId="23" xfId="2" applyNumberFormat="1" applyFont="1" applyFill="1" applyBorder="1" applyAlignment="1">
      <alignment vertical="center" wrapText="1"/>
    </xf>
    <xf numFmtId="165" fontId="0" fillId="0" borderId="8" xfId="3" applyNumberFormat="1" applyFont="1" applyBorder="1"/>
    <xf numFmtId="165" fontId="0" fillId="0" borderId="4" xfId="3" applyNumberFormat="1" applyFont="1" applyBorder="1"/>
    <xf numFmtId="164" fontId="0" fillId="12" borderId="21" xfId="2" applyNumberFormat="1" applyFont="1" applyFill="1" applyBorder="1" applyAlignment="1">
      <alignment vertical="center" wrapText="1"/>
    </xf>
    <xf numFmtId="164" fontId="0" fillId="12" borderId="22" xfId="2" applyNumberFormat="1" applyFont="1" applyFill="1" applyBorder="1" applyAlignment="1">
      <alignment vertical="center" wrapText="1"/>
    </xf>
    <xf numFmtId="0" fontId="6" fillId="5" borderId="26" xfId="0" applyFont="1" applyFill="1" applyBorder="1" applyAlignment="1">
      <alignment horizontal="center"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2" fillId="0" borderId="9" xfId="0" applyFont="1" applyBorder="1"/>
    <xf numFmtId="164" fontId="12" fillId="0" borderId="9" xfId="0" applyNumberFormat="1" applyFont="1" applyBorder="1"/>
    <xf numFmtId="0" fontId="6" fillId="5" borderId="27" xfId="0" applyFont="1" applyFill="1" applyBorder="1" applyAlignment="1">
      <alignment horizontal="center" vertical="center" wrapText="1"/>
    </xf>
    <xf numFmtId="166" fontId="5" fillId="4" borderId="28" xfId="2" applyNumberFormat="1" applyFont="1" applyFill="1" applyBorder="1" applyAlignment="1">
      <alignment horizontal="center" vertical="center" wrapText="1"/>
    </xf>
    <xf numFmtId="166" fontId="5" fillId="4" borderId="5" xfId="2" applyNumberFormat="1" applyFont="1" applyFill="1" applyBorder="1" applyAlignment="1">
      <alignment horizontal="center" vertical="center" wrapText="1"/>
    </xf>
    <xf numFmtId="1" fontId="5" fillId="0" borderId="4" xfId="3" applyNumberFormat="1" applyFont="1" applyFill="1" applyBorder="1" applyAlignment="1" applyProtection="1">
      <alignment horizontal="center"/>
    </xf>
    <xf numFmtId="166" fontId="5" fillId="7" borderId="20" xfId="2" applyNumberFormat="1" applyFont="1" applyFill="1" applyBorder="1" applyAlignment="1">
      <alignment vertical="center" wrapText="1"/>
    </xf>
    <xf numFmtId="166" fontId="5" fillId="7" borderId="4" xfId="2" applyNumberFormat="1" applyFont="1" applyFill="1" applyBorder="1" applyAlignment="1">
      <alignment vertical="center" wrapText="1"/>
    </xf>
    <xf numFmtId="164" fontId="5" fillId="0" borderId="0" xfId="2" applyNumberFormat="1" applyFont="1" applyFill="1" applyBorder="1" applyAlignment="1">
      <alignment vertical="center" wrapText="1"/>
    </xf>
    <xf numFmtId="1" fontId="0" fillId="0" borderId="0" xfId="0" applyNumberFormat="1"/>
    <xf numFmtId="164" fontId="12" fillId="7" borderId="20" xfId="2" applyNumberFormat="1" applyFont="1" applyFill="1" applyBorder="1" applyAlignment="1">
      <alignment vertical="center" wrapText="1"/>
    </xf>
    <xf numFmtId="0" fontId="4" fillId="3" borderId="4" xfId="0" applyFont="1" applyFill="1" applyBorder="1" applyAlignment="1">
      <alignmen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4" fillId="3" borderId="4" xfId="0" applyFont="1" applyFill="1" applyBorder="1" applyAlignment="1">
      <alignment vertical="center"/>
    </xf>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5" fillId="3" borderId="2" xfId="0" applyFont="1" applyFill="1" applyBorder="1" applyAlignment="1">
      <alignment horizontal="left" vertical="top" wrapText="1"/>
    </xf>
    <xf numFmtId="0" fontId="0" fillId="3" borderId="3" xfId="0" applyFill="1" applyBorder="1" applyAlignment="1">
      <alignment horizontal="left" vertical="top" wrapText="1"/>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8" fillId="9" borderId="2" xfId="0" applyFont="1" applyFill="1" applyBorder="1" applyAlignment="1">
      <alignment horizontal="center" vertical="top"/>
    </xf>
    <xf numFmtId="0" fontId="8" fillId="9" borderId="3" xfId="0" applyFont="1" applyFill="1" applyBorder="1" applyAlignment="1">
      <alignment horizontal="center" vertical="top"/>
    </xf>
    <xf numFmtId="0" fontId="8" fillId="9" borderId="1" xfId="0" applyFont="1" applyFill="1" applyBorder="1" applyAlignment="1">
      <alignment horizontal="center" vertical="top"/>
    </xf>
    <xf numFmtId="0" fontId="8" fillId="2" borderId="2" xfId="0" applyFont="1" applyFill="1" applyBorder="1" applyAlignment="1">
      <alignment horizontal="center" vertical="top"/>
    </xf>
    <xf numFmtId="0" fontId="8" fillId="2" borderId="3" xfId="0" applyFont="1" applyFill="1" applyBorder="1" applyAlignment="1">
      <alignment horizontal="center" vertical="top"/>
    </xf>
    <xf numFmtId="0" fontId="8" fillId="2" borderId="1" xfId="0" applyFont="1" applyFill="1" applyBorder="1" applyAlignment="1">
      <alignment horizontal="center" vertical="top"/>
    </xf>
    <xf numFmtId="0" fontId="8" fillId="8" borderId="0" xfId="0" applyFont="1" applyFill="1" applyAlignment="1">
      <alignment horizontal="center" vertical="top"/>
    </xf>
    <xf numFmtId="0" fontId="5" fillId="3" borderId="3" xfId="0" applyFont="1" applyFill="1" applyBorder="1" applyAlignment="1">
      <alignment horizontal="left" vertical="top" wrapText="1"/>
    </xf>
    <xf numFmtId="0" fontId="5" fillId="3" borderId="1" xfId="0" applyFont="1" applyFill="1" applyBorder="1" applyAlignment="1">
      <alignment horizontal="left" vertical="top" wrapText="1"/>
    </xf>
    <xf numFmtId="0" fontId="8" fillId="11" borderId="2" xfId="0" applyFont="1" applyFill="1" applyBorder="1" applyAlignment="1">
      <alignment horizontal="center" vertical="top"/>
    </xf>
    <xf numFmtId="0" fontId="8" fillId="11" borderId="3" xfId="0" applyFont="1" applyFill="1" applyBorder="1" applyAlignment="1">
      <alignment horizontal="center" vertical="top"/>
    </xf>
  </cellXfs>
  <cellStyles count="4">
    <cellStyle name="Comma" xfId="2" builtinId="3"/>
    <cellStyle name="Currency" xfId="3" builtinId="4"/>
    <cellStyle name="Normal" xfId="0" builtinId="0"/>
    <cellStyle name="Percent" xfId="1" builtinId="5"/>
  </cellStyles>
  <dxfs count="78">
    <dxf>
      <font>
        <color auto="1"/>
      </font>
      <fill>
        <patternFill>
          <bgColor theme="9" tint="0.59996337778862885"/>
        </patternFill>
      </fill>
    </dxf>
    <dxf>
      <font>
        <color auto="1"/>
      </font>
      <fill>
        <patternFill>
          <bgColor theme="9" tint="0.59996337778862885"/>
        </patternFill>
      </fill>
    </dxf>
    <dxf>
      <font>
        <color auto="1"/>
      </font>
      <fill>
        <patternFill>
          <bgColor theme="9" tint="0.59996337778862885"/>
        </patternFill>
      </fill>
    </dxf>
    <dxf>
      <font>
        <b val="0"/>
        <i val="0"/>
        <strike val="0"/>
        <condense val="0"/>
        <extend val="0"/>
        <outline val="0"/>
        <shadow val="0"/>
        <u val="none"/>
        <vertAlign val="baseline"/>
        <sz val="10"/>
        <color auto="1"/>
        <name val="Calibri"/>
        <family val="2"/>
        <scheme val="minor"/>
      </font>
      <numFmt numFmtId="164" formatCode="_-* #,##0_-;\-* #,##0_-;_-*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top style="thin">
          <color theme="1"/>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dxf>
    <dxf>
      <border outline="0">
        <bottom style="thin">
          <color theme="1"/>
        </bottom>
      </border>
    </dxf>
    <dxf>
      <font>
        <b/>
        <i val="0"/>
        <strike val="0"/>
        <condense val="0"/>
        <extend val="0"/>
        <outline val="0"/>
        <shadow val="0"/>
        <u val="none"/>
        <vertAlign val="baseline"/>
        <sz val="12"/>
        <color rgb="FF5287A3"/>
        <name val="Calibri"/>
        <family val="2"/>
        <scheme val="minor"/>
      </font>
      <fill>
        <patternFill patternType="solid">
          <fgColor indexed="64"/>
          <bgColor rgb="FFD9D9D9"/>
        </patternFill>
      </fill>
      <alignment horizontal="center" vertical="center" textRotation="0" wrapText="0" indent="0" justifyLastLine="0" shrinkToFit="0" readingOrder="0"/>
    </dxf>
    <dxf>
      <numFmt numFmtId="30" formatCode="@"/>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rgb="FF5287A3"/>
        <name val="Calibri"/>
        <family val="2"/>
        <scheme val="minor"/>
      </font>
      <fill>
        <patternFill patternType="solid">
          <fgColor indexed="64"/>
          <bgColor rgb="FFD9D9D9"/>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Calibri"/>
        <family val="2"/>
        <scheme val="minor"/>
      </font>
      <numFmt numFmtId="35" formatCode="_-* #,##0.00_-;\-* #,##0.00_-;_-* &quot;-&quot;??_-;_-@_-"/>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scheme val="minor"/>
      </font>
      <numFmt numFmtId="164" formatCode="_-* #,##0_-;\-* #,##0_-;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_-* #,##0_-;\-* #,##0_-;_-*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164" formatCode="_-* #,##0_-;\-* #,##0_-;_-*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_-* #,##0_-;\-* #,##0_-;_-*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164" formatCode="_-* #,##0_-;\-* #,##0_-;_-*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numFmt numFmtId="164" formatCode="_-* #,##0_-;\-* #,##0_-;_-* &quot;-&quot;??_-;_-@_-"/>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minor"/>
      </font>
      <numFmt numFmtId="164" formatCode="_-* #,##0_-;\-* #,##0_-;_-* &quot;-&quot;??_-;_-@_-"/>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family val="2"/>
        <scheme val="minor"/>
      </font>
      <numFmt numFmtId="166" formatCode="_-* #,##0.0_-;\-* #,##0.0_-;_-* &quot;-&quot;??_-;_-@_-"/>
      <fill>
        <patternFill patternType="solid">
          <fgColor indexed="64"/>
          <bgColor theme="0"/>
        </patternFill>
      </fill>
      <border diagonalUp="0" diagonalDown="0">
        <left/>
        <right style="thin">
          <color rgb="FF5287A3"/>
        </right>
        <top style="thin">
          <color rgb="FF5287A3"/>
        </top>
        <bottom style="thin">
          <color rgb="FF5287A3"/>
        </bottom>
      </border>
    </dxf>
    <dxf>
      <font>
        <strike val="0"/>
        <outline val="0"/>
        <shadow val="0"/>
        <u val="none"/>
        <vertAlign val="baseline"/>
        <sz val="11"/>
        <name val="Calibri"/>
        <family val="2"/>
        <scheme val="minor"/>
      </font>
      <fill>
        <patternFill patternType="solid">
          <fgColor rgb="FF000000"/>
          <bgColor rgb="FFC5D7E1"/>
        </patternFill>
      </fill>
      <border diagonalUp="0" diagonalDown="0" outline="0">
        <left style="thin">
          <color rgb="FF5287A3"/>
        </left>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fill>
        <patternFill patternType="solid">
          <fgColor indexed="64"/>
          <bgColor rgb="FFC5D7E1"/>
        </patternFill>
      </fill>
      <alignment horizontal="center" vertical="center" textRotation="0" wrapText="1" indent="0" justifyLastLine="0" shrinkToFit="0" readingOrder="0"/>
      <border diagonalUp="0" diagonalDown="0" outline="0">
        <left style="thin">
          <color rgb="FF5287A3"/>
        </left>
        <right style="thin">
          <color rgb="FF5287A3"/>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numFmt numFmtId="164" formatCode="_-* #,##0_-;\-* #,##0_-;_-* &quot;-&quot;??_-;_-@_-"/>
      <fill>
        <patternFill patternType="solid">
          <fgColor indexed="64"/>
          <bgColor rgb="FFC5D7E1"/>
        </patternFill>
      </fill>
      <alignment horizontal="general" vertical="center" textRotation="0" wrapText="1" indent="0" justifyLastLine="0" shrinkToFit="0" readingOrder="0"/>
      <border diagonalUp="0" diagonalDown="0" outline="0">
        <left style="thin">
          <color rgb="FF5287A3"/>
        </left>
        <right style="thin">
          <color rgb="FF5287A3"/>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numFmt numFmtId="166" formatCode="_-* #,##0.0_-;\-* #,##0.0_-;_-* &quot;-&quot;??_-;_-@_-"/>
      <fill>
        <patternFill patternType="solid">
          <fgColor indexed="64"/>
          <bgColor rgb="FFC5D7E1"/>
        </patternFill>
      </fill>
      <alignment horizontal="general" vertical="center" textRotation="0" wrapText="1" indent="0" justifyLastLine="0" shrinkToFit="0" readingOrder="0"/>
      <border diagonalUp="0" diagonalDown="0" outline="0">
        <left style="thin">
          <color rgb="FF5287A3"/>
        </left>
        <right style="thin">
          <color rgb="FF5287A3"/>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fill>
        <patternFill patternType="solid">
          <fgColor indexed="64"/>
          <bgColor rgb="FFC5D7E1"/>
        </patternFill>
      </fill>
      <alignment horizontal="center" vertical="center" textRotation="0" wrapText="1" indent="0" justifyLastLine="0" shrinkToFit="0" readingOrder="0"/>
      <border diagonalUp="0" diagonalDown="0" outline="0">
        <left style="thin">
          <color rgb="FF5287A3"/>
        </left>
        <right style="thin">
          <color rgb="FF5287A3"/>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numFmt numFmtId="164" formatCode="_-* #,##0_-;\-* #,##0_-;_-* &quot;-&quot;??_-;_-@_-"/>
      <fill>
        <patternFill patternType="solid">
          <fgColor indexed="64"/>
          <bgColor rgb="FFC5D7E1"/>
        </patternFill>
      </fill>
      <alignment horizontal="left" vertical="bottom" textRotation="0" wrapText="0" indent="0" justifyLastLine="0" shrinkToFit="0" readingOrder="0"/>
      <border diagonalUp="0" diagonalDown="0" outline="0">
        <left style="thin">
          <color rgb="FF5287A3"/>
        </left>
        <right style="thin">
          <color rgb="FF5287A3"/>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fill>
        <patternFill patternType="solid">
          <fgColor indexed="64"/>
          <bgColor rgb="FFC5D7E1"/>
        </patternFill>
      </fill>
      <alignment horizontal="left" vertical="center" textRotation="0" wrapText="1" indent="0" justifyLastLine="0" shrinkToFit="0" readingOrder="0"/>
      <border diagonalUp="0" diagonalDown="0" outline="0">
        <left style="thin">
          <color rgb="FF5287A3"/>
        </left>
        <right style="thin">
          <color rgb="FF5287A3"/>
        </right>
        <top style="thin">
          <color rgb="FF5287A3"/>
        </top>
        <bottom style="thin">
          <color rgb="FF5287A3"/>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none"/>
      </font>
      <fill>
        <patternFill patternType="solid">
          <fgColor rgb="FF000000"/>
          <bgColor rgb="FFC5D7E1"/>
        </patternFill>
      </fill>
    </dxf>
    <dxf>
      <border>
        <bottom style="thick">
          <color rgb="FF5287A3"/>
        </bottom>
      </border>
    </dxf>
    <dxf>
      <font>
        <b/>
        <i val="0"/>
        <strike val="0"/>
        <condense val="0"/>
        <extend val="0"/>
        <outline val="0"/>
        <shadow val="0"/>
        <u val="none"/>
        <vertAlign val="baseline"/>
        <sz val="12"/>
        <color rgb="FF5287A3"/>
        <name val="Calibri"/>
        <family val="2"/>
        <scheme val="minor"/>
      </font>
      <fill>
        <patternFill patternType="solid">
          <fgColor indexed="64"/>
          <bgColor rgb="FFD9D9D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family val="2"/>
        <scheme val="minor"/>
      </font>
      <numFmt numFmtId="166" formatCode="_-* #,##0.0_-;\-* #,##0.0_-;_-* &quot;-&quot;??_-;_-@_-"/>
      <fill>
        <patternFill patternType="solid">
          <fgColor indexed="64"/>
          <bgColor theme="0"/>
        </patternFill>
      </fill>
      <border diagonalUp="0" diagonalDown="0">
        <left/>
        <right style="thin">
          <color rgb="FF5287A3"/>
        </right>
        <top style="thin">
          <color rgb="FF5287A3"/>
        </top>
        <bottom style="thin">
          <color rgb="FF5287A3"/>
        </bottom>
      </border>
    </dxf>
    <dxf>
      <font>
        <strike val="0"/>
        <outline val="0"/>
        <shadow val="0"/>
        <u val="none"/>
        <vertAlign val="baseline"/>
        <sz val="11"/>
        <name val="Calibri"/>
        <family val="2"/>
        <scheme val="minor"/>
      </font>
      <fill>
        <patternFill patternType="solid">
          <fgColor rgb="FF000000"/>
          <bgColor rgb="FFC5D7E1"/>
        </patternFill>
      </fill>
      <border diagonalUp="0" diagonalDown="0" outline="0">
        <left style="thin">
          <color rgb="FF5287A3"/>
        </left>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fill>
        <patternFill patternType="solid">
          <fgColor indexed="64"/>
          <bgColor rgb="FFC5D7E1"/>
        </patternFill>
      </fill>
      <alignment horizontal="center" vertical="center" textRotation="0" wrapText="1" indent="0" justifyLastLine="0" shrinkToFit="0" readingOrder="0"/>
      <border diagonalUp="0" diagonalDown="0" outline="0">
        <left style="thin">
          <color rgb="FF5287A3"/>
        </left>
        <right style="thin">
          <color rgb="FF5287A3"/>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numFmt numFmtId="164" formatCode="_-* #,##0_-;\-* #,##0_-;_-* &quot;-&quot;??_-;_-@_-"/>
      <fill>
        <patternFill patternType="solid">
          <fgColor indexed="64"/>
          <bgColor rgb="FFC5D7E1"/>
        </patternFill>
      </fill>
      <alignment horizontal="general" vertical="center" textRotation="0" wrapText="1" indent="0" justifyLastLine="0" shrinkToFit="0" readingOrder="0"/>
      <border diagonalUp="0" diagonalDown="0" outline="0">
        <left style="thin">
          <color rgb="FF5287A3"/>
        </left>
        <right style="thin">
          <color rgb="FF5287A3"/>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numFmt numFmtId="166" formatCode="_-* #,##0.0_-;\-* #,##0.0_-;_-* &quot;-&quot;??_-;_-@_-"/>
      <fill>
        <patternFill patternType="solid">
          <fgColor indexed="64"/>
          <bgColor rgb="FFC5D7E1"/>
        </patternFill>
      </fill>
      <alignment horizontal="general" vertical="center" textRotation="0" wrapText="1" indent="0" justifyLastLine="0" shrinkToFit="0" readingOrder="0"/>
      <border diagonalUp="0" diagonalDown="0" outline="0">
        <left style="thin">
          <color rgb="FF5287A3"/>
        </left>
        <right style="thin">
          <color rgb="FF5287A3"/>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fill>
        <patternFill patternType="solid">
          <fgColor indexed="64"/>
          <bgColor rgb="FFC5D7E1"/>
        </patternFill>
      </fill>
      <alignment horizontal="center" vertical="center" textRotation="0" wrapText="1" indent="0" justifyLastLine="0" shrinkToFit="0" readingOrder="0"/>
      <border diagonalUp="0" diagonalDown="0" outline="0">
        <left style="thin">
          <color rgb="FF5287A3"/>
        </left>
        <right style="thin">
          <color rgb="FF5287A3"/>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numFmt numFmtId="164" formatCode="_-* #,##0_-;\-* #,##0_-;_-* &quot;-&quot;??_-;_-@_-"/>
      <fill>
        <patternFill patternType="solid">
          <fgColor indexed="64"/>
          <bgColor rgb="FFC5D7E1"/>
        </patternFill>
      </fill>
      <alignment horizontal="left" vertical="bottom" textRotation="0" wrapText="0" indent="0" justifyLastLine="0" shrinkToFit="0" readingOrder="0"/>
      <border diagonalUp="0" diagonalDown="0" outline="0">
        <left style="thin">
          <color rgb="FF5287A3"/>
        </left>
        <right style="thin">
          <color rgb="FF5287A3"/>
        </right>
        <top style="thin">
          <color rgb="FF5287A3"/>
        </top>
        <bottom style="thin">
          <color rgb="FF5287A3"/>
        </bottom>
      </border>
    </dxf>
    <dxf>
      <font>
        <b val="0"/>
        <i val="0"/>
        <strike val="0"/>
        <condense val="0"/>
        <extend val="0"/>
        <outline val="0"/>
        <shadow val="0"/>
        <u val="none"/>
        <vertAlign val="baseline"/>
        <sz val="11"/>
        <color auto="1"/>
        <name val="Calibri"/>
        <family val="2"/>
        <scheme val="minor"/>
      </font>
      <fill>
        <patternFill patternType="solid">
          <fgColor indexed="64"/>
          <bgColor rgb="FFC5D7E1"/>
        </patternFill>
      </fill>
      <alignment horizontal="left" vertical="center" textRotation="0" wrapText="1" indent="0" justifyLastLine="0" shrinkToFit="0" readingOrder="0"/>
      <border diagonalUp="0" diagonalDown="0" outline="0">
        <left style="thin">
          <color rgb="FF5287A3"/>
        </left>
        <right style="thin">
          <color rgb="FF5287A3"/>
        </right>
        <top style="thin">
          <color rgb="FF5287A3"/>
        </top>
        <bottom style="thin">
          <color rgb="FF5287A3"/>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fill>
        <patternFill patternType="solid">
          <fgColor rgb="FF000000"/>
          <bgColor rgb="FFC5D7E1"/>
        </patternFill>
      </fill>
    </dxf>
    <dxf>
      <border>
        <bottom style="thick">
          <color rgb="FF5287A3"/>
        </bottom>
      </border>
    </dxf>
    <dxf>
      <font>
        <b/>
        <i val="0"/>
        <strike val="0"/>
        <condense val="0"/>
        <extend val="0"/>
        <outline val="0"/>
        <shadow val="0"/>
        <u val="none"/>
        <vertAlign val="baseline"/>
        <sz val="12"/>
        <color rgb="FF5287A3"/>
        <name val="Calibri"/>
        <family val="2"/>
        <scheme val="minor"/>
      </font>
      <fill>
        <patternFill patternType="solid">
          <fgColor indexed="64"/>
          <bgColor rgb="FFD9D9D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5D7E1"/>
      <color rgb="FF41613B"/>
      <color rgb="FF41683C"/>
      <color rgb="FF5287A3"/>
      <color rgb="FFD9D9D9"/>
      <color rgb="FFCDD3C7"/>
      <color rgb="FFE4E8E2"/>
      <color rgb="FFD4BFC5"/>
      <color rgb="FF66254A"/>
      <color rgb="FFE2E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anesthetic gas purchased that is desflurane</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'Anesthetic Gases'!$F$7</c:f>
              <c:strCache>
                <c:ptCount val="1"/>
                <c:pt idx="0">
                  <c:v>% </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'Anesthetic Gases'!$B$8:$B$17</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'Anesthetic Gases'!$F$8:$F$17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305-4962-A02F-BAEAC38D4B7D}"/>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Average post-operative pain control for eligible procedures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'Post-Op Pain'!$E$9</c:f>
              <c:strCache>
                <c:ptCount val="1"/>
                <c:pt idx="0">
                  <c:v>Average</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'Post-Op Pain'!$B$10:$B$19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'Post-Op Pain'!$E$10:$E$19</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CBD-48DD-88B2-60541C6AD1C2}"/>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Average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patients who experienced a high self-reported level of care</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'Patient Experience'!$E$7</c:f>
              <c:strCache>
                <c:ptCount val="1"/>
                <c:pt idx="0">
                  <c:v>% </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'Patient Experience'!$B$8:$B$17</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'Patient Experience'!$E$8:$E$17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B1E-4783-8D92-AB5A378BD81C}"/>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providers and staff that are satisfied with the level of care they are able to provide</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'HCP Experience'!$E$7</c:f>
              <c:strCache>
                <c:ptCount val="1"/>
                <c:pt idx="0">
                  <c:v>% </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'HCP Experience'!$B$8:$B$17</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'HCP Experience'!$E$8:$E$17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EA3-4322-A1F6-B0F5DC578D9D}"/>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Average Length</a:t>
            </a:r>
            <a:r>
              <a:rPr lang="en-US" b="1" baseline="0">
                <a:solidFill>
                  <a:srgbClr val="5287A3"/>
                </a:solidFill>
              </a:rPr>
              <a:t> of Stay for Eligible Procedures</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'Length of Stay'!$E$9</c:f>
              <c:strCache>
                <c:ptCount val="1"/>
                <c:pt idx="0">
                  <c:v>Average Length of Stay</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'Length of Stay'!$B$10:$B$19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'Length of Stay'!$E$10:$E$19</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361-486F-9E21-AF5FC430045D}"/>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Average Length of Stay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Carbon Emissions</a:t>
            </a:r>
            <a:r>
              <a:rPr lang="en-US" b="1" baseline="0">
                <a:solidFill>
                  <a:srgbClr val="5287A3"/>
                </a:solidFill>
              </a:rPr>
              <a:t> from Length of Stay</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'Length of Stay'!$C$28</c:f>
              <c:strCache>
                <c:ptCount val="1"/>
                <c:pt idx="0">
                  <c:v>Carbon Emissions from Length of Stay</c:v>
                </c:pt>
              </c:strCache>
            </c:strRef>
          </c:tx>
          <c:spPr>
            <a:ln w="28575" cap="rnd">
              <a:solidFill>
                <a:srgbClr val="41613B"/>
              </a:solidFill>
              <a:round/>
            </a:ln>
            <a:effectLst/>
          </c:spPr>
          <c:marker>
            <c:symbol val="none"/>
          </c:marker>
          <c:cat>
            <c:strRef>
              <c:f>'Length of Stay'!$B$29:$B$38</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'Length of Stay'!$C$29:$C$38</c:f>
              <c:numCache>
                <c:formatCode>_-* #,##0_-;\-* #,##0_-;_-*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6E9-498F-B7AE-4430F8B46072}"/>
            </c:ext>
          </c:extLst>
        </c:ser>
        <c:dLbls>
          <c:showLegendKey val="0"/>
          <c:showVal val="0"/>
          <c:showCatName val="0"/>
          <c:showSerName val="0"/>
          <c:showPercent val="0"/>
          <c:showBubbleSize val="0"/>
        </c:dLbls>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Carbon Emissions (g CO</a:t>
                </a:r>
                <a:r>
                  <a:rPr lang="en-CA" baseline="-25000"/>
                  <a:t>2</a:t>
                </a:r>
                <a:r>
                  <a:rPr lang="en-CA"/>
                  <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 of Surgeries Using the Reusable</a:t>
            </a:r>
            <a:r>
              <a:rPr lang="en-US" b="1" baseline="0">
                <a:solidFill>
                  <a:srgbClr val="5287A3"/>
                </a:solidFill>
              </a:rPr>
              <a:t> Item(s)</a:t>
            </a:r>
            <a:endParaRPr lang="en-US" b="1">
              <a:solidFill>
                <a:srgbClr val="5287A3"/>
              </a:solidFill>
            </a:endParaRPr>
          </a:p>
        </c:rich>
      </c:tx>
      <c:layout>
        <c:manualLayout>
          <c:xMode val="edge"/>
          <c:yMode val="edge"/>
          <c:x val="0.14982635941117795"/>
          <c:y val="2.5062644276713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manualLayout>
          <c:layoutTarget val="inner"/>
          <c:xMode val="edge"/>
          <c:yMode val="edge"/>
          <c:x val="0.2008243739407051"/>
          <c:y val="0.22135984017432425"/>
          <c:w val="0.77386309974851475"/>
          <c:h val="0.51447762929415963"/>
        </c:manualLayout>
      </c:layout>
      <c:lineChart>
        <c:grouping val="standard"/>
        <c:varyColors val="0"/>
        <c:ser>
          <c:idx val="0"/>
          <c:order val="0"/>
          <c:spPr>
            <a:ln w="28575" cap="rnd">
              <a:solidFill>
                <a:srgbClr val="41613B"/>
              </a:solidFill>
              <a:round/>
            </a:ln>
            <a:effectLst/>
          </c:spPr>
          <c:marker>
            <c:symbol val="circle"/>
            <c:size val="5"/>
            <c:spPr>
              <a:solidFill>
                <a:srgbClr val="41683C"/>
              </a:solidFill>
              <a:ln w="9525">
                <a:solidFill>
                  <a:srgbClr val="41613B"/>
                </a:solidFill>
              </a:ln>
              <a:effectLst/>
            </c:spPr>
          </c:marker>
          <c:cat>
            <c:strRef>
              <c:f>'Waste Reduction'!$B$41:$B$50</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'Waste Reduction'!$E$41:$E$50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14D-481B-8569-5E35A986D546}"/>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Average Cost of the Items per Surgery</a:t>
            </a:r>
          </a:p>
        </c:rich>
      </c:tx>
      <c:layout>
        <c:manualLayout>
          <c:xMode val="edge"/>
          <c:yMode val="edge"/>
          <c:x val="0.21006735603832655"/>
          <c:y val="2.506246719160104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manualLayout>
          <c:layoutTarget val="inner"/>
          <c:xMode val="edge"/>
          <c:yMode val="edge"/>
          <c:x val="0.2008243739407051"/>
          <c:y val="0.22135984017432425"/>
          <c:w val="0.77386309974851475"/>
          <c:h val="0.51447762929415963"/>
        </c:manualLayout>
      </c:layout>
      <c:lineChart>
        <c:grouping val="standard"/>
        <c:varyColors val="0"/>
        <c:ser>
          <c:idx val="0"/>
          <c:order val="0"/>
          <c:spPr>
            <a:ln w="28575" cap="rnd">
              <a:solidFill>
                <a:srgbClr val="41613B"/>
              </a:solidFill>
              <a:round/>
            </a:ln>
            <a:effectLst/>
          </c:spPr>
          <c:marker>
            <c:symbol val="circle"/>
            <c:size val="5"/>
            <c:spPr>
              <a:solidFill>
                <a:srgbClr val="41683C"/>
              </a:solidFill>
              <a:ln w="9525">
                <a:solidFill>
                  <a:srgbClr val="41613B"/>
                </a:solidFill>
              </a:ln>
              <a:effectLst/>
            </c:spPr>
          </c:marker>
          <c:cat>
            <c:strRef>
              <c:f>'Waste Reduction'!$B$59:$B$68</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'Waste Reduction'!$E$59:$E$68</c:f>
              <c:numCache>
                <c:formatCode>_("$"* #,##0.00_);_("$"* \(#,##0.00\);_("$"*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7AD-40C6-9B8E-B31216DBE93A}"/>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Average Cost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Carbon Emissions</a:t>
            </a:r>
            <a:r>
              <a:rPr lang="en-US" b="1" baseline="0">
                <a:solidFill>
                  <a:srgbClr val="5287A3"/>
                </a:solidFill>
              </a:rPr>
              <a:t> from the Item(s) Used</a:t>
            </a:r>
            <a:endParaRPr lang="en-US" b="1">
              <a:solidFill>
                <a:srgbClr val="5287A3"/>
              </a:solidFill>
            </a:endParaRPr>
          </a:p>
        </c:rich>
      </c:tx>
      <c:layout>
        <c:manualLayout>
          <c:xMode val="edge"/>
          <c:yMode val="edge"/>
          <c:x val="0.31727257914750184"/>
          <c:y val="2.50623153237920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manualLayout>
          <c:layoutTarget val="inner"/>
          <c:xMode val="edge"/>
          <c:yMode val="edge"/>
          <c:x val="0.17838601326666628"/>
          <c:y val="0.22135984017432425"/>
          <c:w val="0.79630131312120012"/>
          <c:h val="0.51447762929415963"/>
        </c:manualLayout>
      </c:layout>
      <c:lineChart>
        <c:grouping val="standard"/>
        <c:varyColors val="0"/>
        <c:ser>
          <c:idx val="0"/>
          <c:order val="0"/>
          <c:tx>
            <c:strRef>
              <c:f>'Waste Reduction'!$B$71:$H$71</c:f>
              <c:strCache>
                <c:ptCount val="1"/>
                <c:pt idx="0">
                  <c:v>Carbon Emissions from the Item(s) Used</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'Waste Reduction'!$B$77:$B$86</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'Waste Reduction'!$C$77:$C$86</c:f>
              <c:numCache>
                <c:formatCode>_-* #,##0_-;\-* #,##0_-;_-*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DE20-45D7-A7F0-E90E5753C88D}"/>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Carbon Emissions (g CO</a:t>
                </a:r>
                <a:r>
                  <a:rPr lang="en-CA" baseline="-25000"/>
                  <a:t>2</a:t>
                </a:r>
                <a:r>
                  <a:rPr lang="en-CA"/>
                  <a:t>e)</a:t>
                </a:r>
              </a:p>
            </c:rich>
          </c:tx>
          <c:layout>
            <c:manualLayout>
              <c:xMode val="edge"/>
              <c:yMode val="edge"/>
              <c:x val="4.1439584449849527E-2"/>
              <c:y val="0.2213597121114577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Number of Bags of Waste</a:t>
            </a:r>
          </a:p>
        </c:rich>
      </c:tx>
      <c:layout>
        <c:manualLayout>
          <c:xMode val="edge"/>
          <c:yMode val="edge"/>
          <c:x val="0.39581795596161173"/>
          <c:y val="2.506248152428045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manualLayout>
          <c:layoutTarget val="inner"/>
          <c:xMode val="edge"/>
          <c:yMode val="edge"/>
          <c:x val="0.2008243739407051"/>
          <c:y val="0.22135984017432425"/>
          <c:w val="0.77386309974851475"/>
          <c:h val="0.51447762929415963"/>
        </c:manualLayout>
      </c:layout>
      <c:lineChart>
        <c:grouping val="standard"/>
        <c:varyColors val="0"/>
        <c:ser>
          <c:idx val="0"/>
          <c:order val="0"/>
          <c:tx>
            <c:strRef>
              <c:f>'Waste Reduction'!$C$112</c:f>
              <c:strCache>
                <c:ptCount val="1"/>
                <c:pt idx="0">
                  <c:v># of bags</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'Waste Reduction'!$B$113:$B$122</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'Waste Reduction'!$C$113:$C$122</c:f>
              <c:numCache>
                <c:formatCode>0</c:formatCode>
                <c:ptCount val="10"/>
              </c:numCache>
            </c:numRef>
          </c:val>
          <c:smooth val="0"/>
          <c:extLst>
            <c:ext xmlns:c16="http://schemas.microsoft.com/office/drawing/2014/chart" uri="{C3380CC4-5D6E-409C-BE32-E72D297353CC}">
              <c16:uniqueId val="{00000000-E207-4206-8C0D-8148E98552CE}"/>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Bags</a:t>
                </a:r>
              </a:p>
            </c:rich>
          </c:tx>
          <c:layout>
            <c:manualLayout>
              <c:xMode val="edge"/>
              <c:yMode val="edge"/>
              <c:x val="5.0686622187493736E-2"/>
              <c:y val="0.298407728897369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Total</a:t>
            </a:r>
            <a:r>
              <a:rPr lang="en-US" b="1" baseline="0">
                <a:solidFill>
                  <a:srgbClr val="5287A3"/>
                </a:solidFill>
              </a:rPr>
              <a:t> Weight of Item(s) Discarded</a:t>
            </a:r>
            <a:endParaRPr lang="en-US" b="1">
              <a:solidFill>
                <a:srgbClr val="5287A3"/>
              </a:solidFill>
            </a:endParaRPr>
          </a:p>
        </c:rich>
      </c:tx>
      <c:layout>
        <c:manualLayout>
          <c:xMode val="edge"/>
          <c:yMode val="edge"/>
          <c:x val="0.31727257914750184"/>
          <c:y val="2.50623153237920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manualLayout>
          <c:layoutTarget val="inner"/>
          <c:xMode val="edge"/>
          <c:yMode val="edge"/>
          <c:x val="0.17838601326666628"/>
          <c:y val="0.22135984017432425"/>
          <c:w val="0.79630131312120012"/>
          <c:h val="0.51447762929415963"/>
        </c:manualLayout>
      </c:layout>
      <c:lineChart>
        <c:grouping val="standard"/>
        <c:varyColors val="0"/>
        <c:ser>
          <c:idx val="0"/>
          <c:order val="0"/>
          <c:tx>
            <c:strRef>
              <c:f>'Waste Reduction'!$C$94</c:f>
              <c:strCache>
                <c:ptCount val="1"/>
                <c:pt idx="0">
                  <c:v>Total Weight of Item(s) Discarded (g)</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'Waste Reduction'!$B$95:$B$104</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'Waste Reduction'!$C$95:$C$104</c:f>
              <c:numCache>
                <c:formatCode>_-* #,##0_-;\-* #,##0_-;_-*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0AB4-4AF5-9808-29FF16D35C2B}"/>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Waste</a:t>
                </a:r>
                <a:r>
                  <a:rPr lang="en-CA" baseline="0"/>
                  <a:t> </a:t>
                </a:r>
                <a:r>
                  <a:rPr lang="en-CA"/>
                  <a:t>(g)</a:t>
                </a:r>
              </a:p>
            </c:rich>
          </c:tx>
          <c:layout>
            <c:manualLayout>
              <c:xMode val="edge"/>
              <c:yMode val="edge"/>
              <c:x val="4.1439584449849527E-2"/>
              <c:y val="0.3523869657802208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Carbon Emissions</a:t>
            </a:r>
            <a:r>
              <a:rPr lang="en-US" b="1" baseline="0">
                <a:solidFill>
                  <a:srgbClr val="5287A3"/>
                </a:solidFill>
              </a:rPr>
              <a:t> from Anesthetic Gases</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v>Carbon Emissions</c:v>
          </c:tx>
          <c:spPr>
            <a:ln w="28575" cap="rnd">
              <a:solidFill>
                <a:srgbClr val="41613B"/>
              </a:solidFill>
              <a:round/>
            </a:ln>
            <a:effectLst/>
          </c:spPr>
          <c:marker>
            <c:symbol val="none"/>
          </c:marker>
          <c:cat>
            <c:strRef>
              <c:f>'Anesthetic Gases'!$B$27:$B$36</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'Anesthetic Gases'!$C$27:$C$36</c:f>
              <c:numCache>
                <c:formatCode>_-* #,##0_-;\-* #,##0_-;_-*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FE7-4909-B91A-F7FA7133BB1C}"/>
            </c:ext>
          </c:extLst>
        </c:ser>
        <c:dLbls>
          <c:showLegendKey val="0"/>
          <c:showVal val="0"/>
          <c:showCatName val="0"/>
          <c:showSerName val="0"/>
          <c:showPercent val="0"/>
          <c:showBubbleSize val="0"/>
        </c:dLbls>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Carbon Emissions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Patients that Required Readmission</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Readmissions!$F$9</c:f>
              <c:strCache>
                <c:ptCount val="1"/>
                <c:pt idx="0">
                  <c:v>% of pateints that required readmission</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Readmissions!$B$10:$B$19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Readmissions!$F$10:$F$19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A4C-42FB-8A33-20BA7A0C9CAD}"/>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 of patients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Carbon Emissions</a:t>
            </a:r>
            <a:r>
              <a:rPr lang="en-US" b="1" baseline="0">
                <a:solidFill>
                  <a:srgbClr val="5287A3"/>
                </a:solidFill>
              </a:rPr>
              <a:t> from Length of Stay</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Readmissions!$C$28</c:f>
              <c:strCache>
                <c:ptCount val="1"/>
                <c:pt idx="0">
                  <c:v>Carbon Emissions from Length of Stay</c:v>
                </c:pt>
              </c:strCache>
            </c:strRef>
          </c:tx>
          <c:spPr>
            <a:ln w="28575" cap="rnd">
              <a:solidFill>
                <a:srgbClr val="41613B"/>
              </a:solidFill>
              <a:round/>
            </a:ln>
            <a:effectLst/>
          </c:spPr>
          <c:marker>
            <c:symbol val="none"/>
          </c:marker>
          <c:cat>
            <c:strRef>
              <c:f>Readmissions!$B$29:$B$38</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Readmissions!$C$29:$C$38</c:f>
              <c:numCache>
                <c:formatCode>_-* #,##0_-;\-* #,##0_-;_-*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6ED-4D4F-9DE1-B9CC0DBB0A14}"/>
            </c:ext>
          </c:extLst>
        </c:ser>
        <c:dLbls>
          <c:showLegendKey val="0"/>
          <c:showVal val="0"/>
          <c:showCatName val="0"/>
          <c:showSerName val="0"/>
          <c:showPercent val="0"/>
          <c:showBubbleSize val="0"/>
        </c:dLbls>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Carbon Emissions (g CO</a:t>
                </a:r>
                <a:r>
                  <a:rPr lang="en-CA" baseline="-25000"/>
                  <a:t>2</a:t>
                </a:r>
                <a:r>
                  <a:rPr lang="en-CA"/>
                  <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 of </a:t>
            </a:r>
            <a:r>
              <a:rPr lang="en-US" b="1" baseline="0">
                <a:solidFill>
                  <a:srgbClr val="5287A3"/>
                </a:solidFill>
              </a:rPr>
              <a:t>Visits</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Visits!$E$8</c:f>
              <c:strCache>
                <c:ptCount val="1"/>
                <c:pt idx="0">
                  <c:v>Total Visits</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Visits!$B$9:$B$18</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Visits!$E$9:$E$18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41C5-48FB-8E38-475644A299BE}"/>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 of visits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Carbon Emissions</a:t>
            </a:r>
            <a:r>
              <a:rPr lang="en-US" b="1" baseline="0">
                <a:solidFill>
                  <a:srgbClr val="5287A3"/>
                </a:solidFill>
              </a:rPr>
              <a:t> from Visits</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Visits!$C$26</c:f>
              <c:strCache>
                <c:ptCount val="1"/>
                <c:pt idx="0">
                  <c:v>Carbon Emissions from Visits</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Visits!$B$27:$B$36</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Visits!$C$27:$C$36</c:f>
              <c:numCache>
                <c:formatCode>_-* #,##0_-;\-* #,##0_-;_-*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E3A-4A85-B5A8-F890519565B7}"/>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Carbon Emissions (g CO</a:t>
                </a:r>
                <a:r>
                  <a:rPr lang="en-CA" baseline="-25000"/>
                  <a:t>2</a:t>
                </a:r>
                <a:r>
                  <a:rPr lang="en-CA"/>
                  <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 of Surgeries Using the Reusable</a:t>
            </a:r>
            <a:r>
              <a:rPr lang="en-US" b="1" baseline="0">
                <a:solidFill>
                  <a:srgbClr val="5287A3"/>
                </a:solidFill>
              </a:rPr>
              <a:t> Item(s)</a:t>
            </a:r>
            <a:endParaRPr lang="en-US" b="1">
              <a:solidFill>
                <a:srgbClr val="5287A3"/>
              </a:solidFill>
            </a:endParaRPr>
          </a:p>
        </c:rich>
      </c:tx>
      <c:layout>
        <c:manualLayout>
          <c:xMode val="edge"/>
          <c:yMode val="edge"/>
          <c:x val="0.14982635941117795"/>
          <c:y val="2.5062644276713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manualLayout>
          <c:layoutTarget val="inner"/>
          <c:xMode val="edge"/>
          <c:yMode val="edge"/>
          <c:x val="0.2008243739407051"/>
          <c:y val="0.22135984017432425"/>
          <c:w val="0.77386309974851475"/>
          <c:h val="0.51447762929415963"/>
        </c:manualLayout>
      </c:layout>
      <c:lineChart>
        <c:grouping val="standard"/>
        <c:varyColors val="0"/>
        <c:ser>
          <c:idx val="0"/>
          <c:order val="0"/>
          <c:spPr>
            <a:ln w="28575" cap="rnd">
              <a:solidFill>
                <a:srgbClr val="41613B"/>
              </a:solidFill>
              <a:round/>
            </a:ln>
            <a:effectLst/>
          </c:spPr>
          <c:marker>
            <c:symbol val="circle"/>
            <c:size val="5"/>
            <c:spPr>
              <a:solidFill>
                <a:srgbClr val="41683C"/>
              </a:solidFill>
              <a:ln w="9525">
                <a:solidFill>
                  <a:srgbClr val="41613B"/>
                </a:solidFill>
              </a:ln>
              <a:effectLst/>
            </c:spPr>
          </c:marker>
          <c:cat>
            <c:strRef>
              <c:f>'Waste Reduction - Example'!$B$41:$B$50</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'Waste Reduction - Example'!$E$41:$E$50</c:f>
              <c:numCache>
                <c:formatCode>0%</c:formatCode>
                <c:ptCount val="10"/>
                <c:pt idx="0">
                  <c:v>0</c:v>
                </c:pt>
                <c:pt idx="1">
                  <c:v>0.5</c:v>
                </c:pt>
                <c:pt idx="2">
                  <c:v>0.9</c:v>
                </c:pt>
                <c:pt idx="3">
                  <c:v>0.8571428571428571</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FE6-49B0-BDC6-26F26ABF8C3B}"/>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Average Cost of the Items per Surgery</a:t>
            </a:r>
          </a:p>
        </c:rich>
      </c:tx>
      <c:layout>
        <c:manualLayout>
          <c:xMode val="edge"/>
          <c:yMode val="edge"/>
          <c:x val="0.21006735603832655"/>
          <c:y val="2.506246719160104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manualLayout>
          <c:layoutTarget val="inner"/>
          <c:xMode val="edge"/>
          <c:yMode val="edge"/>
          <c:x val="0.2008243739407051"/>
          <c:y val="0.22135984017432425"/>
          <c:w val="0.77386309974851475"/>
          <c:h val="0.51447762929415963"/>
        </c:manualLayout>
      </c:layout>
      <c:lineChart>
        <c:grouping val="standard"/>
        <c:varyColors val="0"/>
        <c:ser>
          <c:idx val="0"/>
          <c:order val="0"/>
          <c:spPr>
            <a:ln w="28575" cap="rnd">
              <a:solidFill>
                <a:srgbClr val="41613B"/>
              </a:solidFill>
              <a:round/>
            </a:ln>
            <a:effectLst/>
          </c:spPr>
          <c:marker>
            <c:symbol val="circle"/>
            <c:size val="5"/>
            <c:spPr>
              <a:solidFill>
                <a:srgbClr val="41683C"/>
              </a:solidFill>
              <a:ln w="9525">
                <a:solidFill>
                  <a:srgbClr val="41613B"/>
                </a:solidFill>
              </a:ln>
              <a:effectLst/>
            </c:spPr>
          </c:marker>
          <c:cat>
            <c:strRef>
              <c:f>'Waste Reduction - Example'!$B$59:$B$68</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'Waste Reduction - Example'!$E$59:$E$68</c:f>
              <c:numCache>
                <c:formatCode>_("$"* #,##0.00_);_("$"* \(#,##0.00\);_("$"* "-"??_);_(@_)</c:formatCode>
                <c:ptCount val="10"/>
                <c:pt idx="0">
                  <c:v>4.32</c:v>
                </c:pt>
                <c:pt idx="1">
                  <c:v>2.2263999999999999</c:v>
                </c:pt>
                <c:pt idx="2">
                  <c:v>0.55152000000000001</c:v>
                </c:pt>
                <c:pt idx="3">
                  <c:v>0.73097142857142872</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D42-40D0-958E-159B2CF9F152}"/>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Average Cost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Carbon Emissions</a:t>
            </a:r>
            <a:r>
              <a:rPr lang="en-US" b="1" baseline="0">
                <a:solidFill>
                  <a:srgbClr val="5287A3"/>
                </a:solidFill>
              </a:rPr>
              <a:t> from the Item(s) Used</a:t>
            </a:r>
            <a:endParaRPr lang="en-US" b="1">
              <a:solidFill>
                <a:srgbClr val="5287A3"/>
              </a:solidFill>
            </a:endParaRPr>
          </a:p>
        </c:rich>
      </c:tx>
      <c:layout>
        <c:manualLayout>
          <c:xMode val="edge"/>
          <c:yMode val="edge"/>
          <c:x val="0.31727257914750184"/>
          <c:y val="2.50623153237920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manualLayout>
          <c:layoutTarget val="inner"/>
          <c:xMode val="edge"/>
          <c:yMode val="edge"/>
          <c:x val="0.17838601326666628"/>
          <c:y val="0.22135984017432425"/>
          <c:w val="0.79630131312120012"/>
          <c:h val="0.51447762929415963"/>
        </c:manualLayout>
      </c:layout>
      <c:lineChart>
        <c:grouping val="standard"/>
        <c:varyColors val="0"/>
        <c:ser>
          <c:idx val="0"/>
          <c:order val="0"/>
          <c:tx>
            <c:strRef>
              <c:f>'Waste Reduction - Example'!$B$71:$H$71</c:f>
              <c:strCache>
                <c:ptCount val="1"/>
                <c:pt idx="0">
                  <c:v>Carbon Emissions from the Item(s) Used</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'Waste Reduction - Example'!$B$77:$B$86</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'Waste Reduction - Example'!$C$77:$C$86</c:f>
              <c:numCache>
                <c:formatCode>_-* #,##0_-;\-* #,##0_-;_-* "-"??_-;_-@_-</c:formatCode>
                <c:ptCount val="10"/>
                <c:pt idx="0">
                  <c:v>74800</c:v>
                </c:pt>
                <c:pt idx="1">
                  <c:v>49752</c:v>
                </c:pt>
                <c:pt idx="2">
                  <c:v>29713.599999999999</c:v>
                </c:pt>
                <c:pt idx="3">
                  <c:v>33453.599999999999</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51F-41DF-9327-55183920BD7D}"/>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Carbon Emissions (g CO</a:t>
                </a:r>
                <a:r>
                  <a:rPr lang="en-CA" baseline="-25000"/>
                  <a:t>2</a:t>
                </a:r>
                <a:r>
                  <a:rPr lang="en-CA"/>
                  <a:t>e)</a:t>
                </a:r>
              </a:p>
            </c:rich>
          </c:tx>
          <c:layout>
            <c:manualLayout>
              <c:xMode val="edge"/>
              <c:yMode val="edge"/>
              <c:x val="4.1439584449849527E-2"/>
              <c:y val="0.2213597121114577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Number of Bags of Waste</a:t>
            </a:r>
          </a:p>
        </c:rich>
      </c:tx>
      <c:layout>
        <c:manualLayout>
          <c:xMode val="edge"/>
          <c:yMode val="edge"/>
          <c:x val="0.39581795596161173"/>
          <c:y val="2.506248152428045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manualLayout>
          <c:layoutTarget val="inner"/>
          <c:xMode val="edge"/>
          <c:yMode val="edge"/>
          <c:x val="0.2008243739407051"/>
          <c:y val="0.22135984017432425"/>
          <c:w val="0.77386309974851475"/>
          <c:h val="0.51447762929415963"/>
        </c:manualLayout>
      </c:layout>
      <c:lineChart>
        <c:grouping val="standard"/>
        <c:varyColors val="0"/>
        <c:ser>
          <c:idx val="0"/>
          <c:order val="0"/>
          <c:tx>
            <c:strRef>
              <c:f>'Waste Reduction - Example'!$C$112</c:f>
              <c:strCache>
                <c:ptCount val="1"/>
                <c:pt idx="0">
                  <c:v># of bags</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'Waste Reduction - Example'!$B$113:$B$122</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'Waste Reduction - Example'!$C$113:$C$122</c:f>
              <c:numCache>
                <c:formatCode>0</c:formatCode>
                <c:ptCount val="10"/>
                <c:pt idx="0">
                  <c:v>250</c:v>
                </c:pt>
                <c:pt idx="1">
                  <c:v>240</c:v>
                </c:pt>
                <c:pt idx="2">
                  <c:v>255</c:v>
                </c:pt>
                <c:pt idx="3">
                  <c:v>235</c:v>
                </c:pt>
                <c:pt idx="4">
                  <c:v>230</c:v>
                </c:pt>
                <c:pt idx="5">
                  <c:v>232</c:v>
                </c:pt>
                <c:pt idx="6">
                  <c:v>200</c:v>
                </c:pt>
                <c:pt idx="7">
                  <c:v>205</c:v>
                </c:pt>
              </c:numCache>
            </c:numRef>
          </c:val>
          <c:smooth val="0"/>
          <c:extLst>
            <c:ext xmlns:c16="http://schemas.microsoft.com/office/drawing/2014/chart" uri="{C3380CC4-5D6E-409C-BE32-E72D297353CC}">
              <c16:uniqueId val="{00000000-EF80-4D5E-A4C8-25A6D0E5EF46}"/>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Bags</a:t>
                </a:r>
              </a:p>
            </c:rich>
          </c:tx>
          <c:layout>
            <c:manualLayout>
              <c:xMode val="edge"/>
              <c:yMode val="edge"/>
              <c:x val="5.0686622187493736E-2"/>
              <c:y val="0.298407728897369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Total</a:t>
            </a:r>
            <a:r>
              <a:rPr lang="en-US" b="1" baseline="0">
                <a:solidFill>
                  <a:srgbClr val="5287A3"/>
                </a:solidFill>
              </a:rPr>
              <a:t> Weight of Item(s) Discarded</a:t>
            </a:r>
            <a:endParaRPr lang="en-US" b="1">
              <a:solidFill>
                <a:srgbClr val="5287A3"/>
              </a:solidFill>
            </a:endParaRPr>
          </a:p>
        </c:rich>
      </c:tx>
      <c:layout>
        <c:manualLayout>
          <c:xMode val="edge"/>
          <c:yMode val="edge"/>
          <c:x val="0.31727257914750184"/>
          <c:y val="2.50623153237920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manualLayout>
          <c:layoutTarget val="inner"/>
          <c:xMode val="edge"/>
          <c:yMode val="edge"/>
          <c:x val="0.17838601326666628"/>
          <c:y val="0.22135984017432425"/>
          <c:w val="0.79630131312120012"/>
          <c:h val="0.51447762929415963"/>
        </c:manualLayout>
      </c:layout>
      <c:lineChart>
        <c:grouping val="standard"/>
        <c:varyColors val="0"/>
        <c:ser>
          <c:idx val="0"/>
          <c:order val="0"/>
          <c:tx>
            <c:strRef>
              <c:f>'Waste Reduction - Example'!$C$94</c:f>
              <c:strCache>
                <c:ptCount val="1"/>
                <c:pt idx="0">
                  <c:v>Total Weight of Item(s) Discarded (g)</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'Waste Reduction - Example'!$B$95:$B$104</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'Waste Reduction - Example'!$C$95:$C$104</c:f>
              <c:numCache>
                <c:formatCode>_-* #,##0_-;\-* #,##0_-;_-* "-"??_-;_-@_-</c:formatCode>
                <c:ptCount val="10"/>
                <c:pt idx="0">
                  <c:v>36200</c:v>
                </c:pt>
                <c:pt idx="1">
                  <c:v>19370</c:v>
                </c:pt>
                <c:pt idx="2">
                  <c:v>4255</c:v>
                </c:pt>
                <c:pt idx="3">
                  <c:v>6700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7C1-431B-816F-990BA5E60C7C}"/>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Waste</a:t>
                </a:r>
                <a:r>
                  <a:rPr lang="en-CA" baseline="0"/>
                  <a:t> </a:t>
                </a:r>
                <a:r>
                  <a:rPr lang="en-CA"/>
                  <a:t>(g)</a:t>
                </a:r>
              </a:p>
            </c:rich>
          </c:tx>
          <c:layout>
            <c:manualLayout>
              <c:xMode val="edge"/>
              <c:yMode val="edge"/>
              <c:x val="4.1439584449849527E-2"/>
              <c:y val="0.3523869657802208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low-risk patients who received 1+ unnecessary tests</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'Unnecessary Tests'!$E$9</c:f>
              <c:strCache>
                <c:ptCount val="1"/>
                <c:pt idx="0">
                  <c:v>% </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'Unnecessary Tests'!$B$10:$B$19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'Unnecessary Tests'!$E$10:$E$19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3D9-4969-9205-42B3A56B5BD6}"/>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Carbon Emissions</a:t>
            </a:r>
            <a:r>
              <a:rPr lang="en-US" b="1" baseline="0">
                <a:solidFill>
                  <a:srgbClr val="5287A3"/>
                </a:solidFill>
              </a:rPr>
              <a:t> from Tests</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spPr>
            <a:ln w="28575" cap="rnd">
              <a:solidFill>
                <a:srgbClr val="41613B"/>
              </a:solidFill>
              <a:round/>
            </a:ln>
            <a:effectLst/>
          </c:spPr>
          <c:marker>
            <c:symbol val="none"/>
          </c:marker>
          <c:cat>
            <c:strRef>
              <c:f>'Unnecessary Tests'!$I$27:$I$36</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'Unnecessary Tests'!$J$27:$J$36</c:f>
              <c:numCache>
                <c:formatCode>_-* #,##0_-;\-* #,##0_-;_-*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289-40FC-BD6C-25E3231C763D}"/>
            </c:ext>
          </c:extLst>
        </c:ser>
        <c:dLbls>
          <c:showLegendKey val="0"/>
          <c:showVal val="0"/>
          <c:showCatName val="0"/>
          <c:showSerName val="0"/>
          <c:showPercent val="0"/>
          <c:showBubbleSize val="0"/>
        </c:dLbls>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Carbon Emissions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eligible procedures completed under regional anesthesia</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'Regional Blocks'!$E$9</c:f>
              <c:strCache>
                <c:ptCount val="1"/>
                <c:pt idx="0">
                  <c:v>% </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'Regional Blocks'!$B$10:$B$19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'Regional Blocks'!$E$10:$E$19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C4D-411D-A816-BFC099B04A87}"/>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Anesthetic Gas Carbon Emissions</a:t>
            </a:r>
            <a:r>
              <a:rPr lang="en-US" b="1" baseline="0">
                <a:solidFill>
                  <a:srgbClr val="5287A3"/>
                </a:solidFill>
              </a:rPr>
              <a:t> from Eligible Procedures</a:t>
            </a:r>
            <a:endParaRPr lang="en-US" b="1">
              <a:solidFill>
                <a:srgbClr val="5287A3"/>
              </a:solidFill>
            </a:endParaRPr>
          </a:p>
        </c:rich>
      </c:tx>
      <c:layout>
        <c:manualLayout>
          <c:xMode val="edge"/>
          <c:yMode val="edge"/>
          <c:x val="0.17147655031786016"/>
          <c:y val="4.0700040700040697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manualLayout>
          <c:layoutTarget val="inner"/>
          <c:xMode val="edge"/>
          <c:yMode val="edge"/>
          <c:x val="0.16148405178166289"/>
          <c:y val="0.15095645095645097"/>
          <c:w val="0.8168787322067973"/>
          <c:h val="0.62361275353401335"/>
        </c:manualLayout>
      </c:layout>
      <c:lineChart>
        <c:grouping val="standard"/>
        <c:varyColors val="0"/>
        <c:ser>
          <c:idx val="0"/>
          <c:order val="0"/>
          <c:spPr>
            <a:ln w="28575" cap="rnd">
              <a:solidFill>
                <a:schemeClr val="accent1"/>
              </a:solidFill>
              <a:round/>
            </a:ln>
            <a:effectLst/>
          </c:spPr>
          <c:marker>
            <c:symbol val="none"/>
          </c:marker>
          <c:cat>
            <c:strRef>
              <c:f>'Regional Blocks'!$B$45:$B$54</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'Regional Blocks'!$C$45:$C$54</c:f>
              <c:numCache>
                <c:formatCode>_-* #,##0_-;\-* #,##0_-;_-*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662-402A-889E-2446915B9CC8}"/>
            </c:ext>
          </c:extLst>
        </c:ser>
        <c:dLbls>
          <c:showLegendKey val="0"/>
          <c:showVal val="0"/>
          <c:showCatName val="0"/>
          <c:showSerName val="0"/>
          <c:showPercent val="0"/>
          <c:showBubbleSize val="0"/>
        </c:dLbls>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2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Carbon Emissions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2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patients who experience an adverse event</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'Adverse Events'!$E$9</c:f>
              <c:strCache>
                <c:ptCount val="1"/>
                <c:pt idx="0">
                  <c:v>% </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'Adverse Events'!$B$10:$B$19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'Adverse Events'!$E$10:$E$19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0A84-4A35-9435-DCBAD6F40446}"/>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patients who bypassed PACU</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'PACU Usage'!$E$9</c:f>
              <c:strCache>
                <c:ptCount val="1"/>
                <c:pt idx="0">
                  <c:v>% </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'PACU Usage'!$B$10:$B$19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'PACU Usage'!$E$10:$E$19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F96-41FE-8F84-721BE6E9D710}"/>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Average time in the OR</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'OR Usage'!$E$9</c:f>
              <c:strCache>
                <c:ptCount val="1"/>
                <c:pt idx="0">
                  <c:v>Average (min)</c:v>
                </c:pt>
              </c:strCache>
            </c:strRef>
          </c:tx>
          <c:spPr>
            <a:ln w="28575" cap="rnd">
              <a:solidFill>
                <a:srgbClr val="41613B"/>
              </a:solidFill>
              <a:round/>
            </a:ln>
            <a:effectLst/>
          </c:spPr>
          <c:marker>
            <c:symbol val="circle"/>
            <c:size val="5"/>
            <c:spPr>
              <a:solidFill>
                <a:srgbClr val="41683C"/>
              </a:solidFill>
              <a:ln w="9525">
                <a:solidFill>
                  <a:srgbClr val="41613B"/>
                </a:solidFill>
              </a:ln>
              <a:effectLst/>
            </c:spPr>
          </c:marker>
          <c:cat>
            <c:strRef>
              <c:f>'OR Usage'!$B$10:$B$19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'OR Usage'!$E$10:$E$19</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2B5-439C-AED4-B623E575EC30}"/>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Average Time (min)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5" Type="http://schemas.openxmlformats.org/officeDocument/2006/relationships/chart" Target="../charts/chart28.xml"/><Relationship Id="rId4"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129540</xdr:colOff>
      <xdr:row>4</xdr:row>
      <xdr:rowOff>152400</xdr:rowOff>
    </xdr:from>
    <xdr:to>
      <xdr:col>12</xdr:col>
      <xdr:colOff>0</xdr:colOff>
      <xdr:row>18</xdr:row>
      <xdr:rowOff>87630</xdr:rowOff>
    </xdr:to>
    <xdr:graphicFrame macro="">
      <xdr:nvGraphicFramePr>
        <xdr:cNvPr id="6" name="Chart 5">
          <a:extLst>
            <a:ext uri="{FF2B5EF4-FFF2-40B4-BE49-F238E27FC236}">
              <a16:creationId xmlns:a16="http://schemas.microsoft.com/office/drawing/2014/main" id="{5A124217-42BE-8640-01B0-688CCAA8C4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238124</xdr:colOff>
      <xdr:row>3</xdr:row>
      <xdr:rowOff>502920</xdr:rowOff>
    </xdr:from>
    <xdr:to>
      <xdr:col>6</xdr:col>
      <xdr:colOff>516255</xdr:colOff>
      <xdr:row>3</xdr:row>
      <xdr:rowOff>1045302</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86AA79E2-B694-41E3-84D6-32B2E4B7A80F}"/>
                </a:ext>
              </a:extLst>
            </xdr:cNvPr>
            <xdr:cNvSpPr txBox="1"/>
          </xdr:nvSpPr>
          <xdr:spPr>
            <a:xfrm>
              <a:off x="714374" y="1169670"/>
              <a:ext cx="5069206" cy="542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m:rPr>
                          <m:sty m:val="p"/>
                        </m:rPr>
                        <a:rPr lang="en-US" sz="1600" b="0" i="0">
                          <a:solidFill>
                            <a:srgbClr val="41683C"/>
                          </a:solidFill>
                          <a:latin typeface="Cambria Math" panose="02040503050406030204" pitchFamily="18" charset="0"/>
                        </a:rPr>
                        <m:t>Volume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desflurane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purchased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mL</m:t>
                      </m:r>
                      <m:r>
                        <a:rPr lang="en-US" sz="1600" b="0" i="0">
                          <a:solidFill>
                            <a:srgbClr val="41683C"/>
                          </a:solidFill>
                          <a:latin typeface="Cambria Math" panose="02040503050406030204" pitchFamily="18" charset="0"/>
                        </a:rPr>
                        <m:t>)</m:t>
                      </m:r>
                    </m:num>
                    <m:den>
                      <m:r>
                        <m:rPr>
                          <m:sty m:val="p"/>
                        </m:rPr>
                        <a:rPr lang="en-US" sz="1600" b="0" i="0">
                          <a:solidFill>
                            <a:srgbClr val="41683C"/>
                          </a:solidFill>
                          <a:latin typeface="Cambria Math" panose="02040503050406030204" pitchFamily="18" charset="0"/>
                        </a:rPr>
                        <m:t>Total</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volume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anesthetic</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gases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purchased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mL</m:t>
                      </m:r>
                      <m:r>
                        <a:rPr lang="en-US" sz="1600" b="0" i="0">
                          <a:solidFill>
                            <a:srgbClr val="41683C"/>
                          </a:solidFill>
                          <a:latin typeface="Cambria Math" panose="02040503050406030204" pitchFamily="18" charset="0"/>
                        </a:rPr>
                        <m:t>)</m:t>
                      </m:r>
                    </m:den>
                  </m:f>
                </m:oMath>
              </a14:m>
              <a:r>
                <a:rPr lang="en-US" sz="1600" b="0" i="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x  100%</a:t>
              </a:r>
              <a:endParaRPr lang="en-US" sz="1600" b="0" i="0">
                <a:solidFill>
                  <a:srgbClr val="41683C"/>
                </a:solidFill>
                <a:latin typeface="+mn-lt"/>
                <a:cs typeface="Poppins" panose="00000500000000000000" pitchFamily="2" charset="0"/>
              </a:endParaRPr>
            </a:p>
          </xdr:txBody>
        </xdr:sp>
      </mc:Choice>
      <mc:Fallback xmlns="">
        <xdr:sp macro="" textlink="">
          <xdr:nvSpPr>
            <xdr:cNvPr id="2" name="TextBox 1">
              <a:extLst>
                <a:ext uri="{FF2B5EF4-FFF2-40B4-BE49-F238E27FC236}">
                  <a16:creationId xmlns:a16="http://schemas.microsoft.com/office/drawing/2014/main" id="{86AA79E2-B694-41E3-84D6-32B2E4B7A80F}"/>
                </a:ext>
              </a:extLst>
            </xdr:cNvPr>
            <xdr:cNvSpPr txBox="1"/>
          </xdr:nvSpPr>
          <xdr:spPr>
            <a:xfrm>
              <a:off x="714374" y="1169670"/>
              <a:ext cx="5069206" cy="542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(Volume of desflurane purchased (mL))/(Total volume of anesthetic gases purchased (mL))</a:t>
              </a:r>
              <a:r>
                <a:rPr lang="en-US" sz="1600" b="0" i="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x  100%</a:t>
              </a:r>
              <a:endParaRPr lang="en-US" sz="1600" b="0" i="0">
                <a:solidFill>
                  <a:srgbClr val="41683C"/>
                </a:solidFill>
                <a:latin typeface="+mn-lt"/>
                <a:cs typeface="Poppins" panose="00000500000000000000" pitchFamily="2" charset="0"/>
              </a:endParaRPr>
            </a:p>
          </xdr:txBody>
        </xdr:sp>
      </mc:Fallback>
    </mc:AlternateContent>
    <xdr:clientData/>
  </xdr:twoCellAnchor>
  <xdr:twoCellAnchor>
    <xdr:from>
      <xdr:col>4</xdr:col>
      <xdr:colOff>1905</xdr:colOff>
      <xdr:row>25</xdr:row>
      <xdr:rowOff>19050</xdr:rowOff>
    </xdr:from>
    <xdr:to>
      <xdr:col>10</xdr:col>
      <xdr:colOff>857250</xdr:colOff>
      <xdr:row>37</xdr:row>
      <xdr:rowOff>97155</xdr:rowOff>
    </xdr:to>
    <xdr:graphicFrame macro="">
      <xdr:nvGraphicFramePr>
        <xdr:cNvPr id="4" name="Chart 3">
          <a:extLst>
            <a:ext uri="{FF2B5EF4-FFF2-40B4-BE49-F238E27FC236}">
              <a16:creationId xmlns:a16="http://schemas.microsoft.com/office/drawing/2014/main" id="{46461890-D37D-4FE1-BEDD-B300C86818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49530</xdr:colOff>
      <xdr:row>6</xdr:row>
      <xdr:rowOff>85725</xdr:rowOff>
    </xdr:from>
    <xdr:to>
      <xdr:col>10</xdr:col>
      <xdr:colOff>895350</xdr:colOff>
      <xdr:row>18</xdr:row>
      <xdr:rowOff>171450</xdr:rowOff>
    </xdr:to>
    <xdr:graphicFrame macro="">
      <xdr:nvGraphicFramePr>
        <xdr:cNvPr id="2" name="Chart 1">
          <a:extLst>
            <a:ext uri="{FF2B5EF4-FFF2-40B4-BE49-F238E27FC236}">
              <a16:creationId xmlns:a16="http://schemas.microsoft.com/office/drawing/2014/main" id="{B37C5EEE-E024-4FEF-B636-1E60A6C986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156209</xdr:colOff>
      <xdr:row>3</xdr:row>
      <xdr:rowOff>468630</xdr:rowOff>
    </xdr:from>
    <xdr:to>
      <xdr:col>8</xdr:col>
      <xdr:colOff>36195</xdr:colOff>
      <xdr:row>3</xdr:row>
      <xdr:rowOff>1016727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D42C6A0B-00E6-43C1-AB1D-513D4CC303B6}"/>
                </a:ext>
              </a:extLst>
            </xdr:cNvPr>
            <xdr:cNvSpPr txBox="1"/>
          </xdr:nvSpPr>
          <xdr:spPr>
            <a:xfrm>
              <a:off x="632459" y="1125855"/>
              <a:ext cx="6623686" cy="548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m:rPr>
                          <m:sty m:val="p"/>
                        </m:rPr>
                        <a:rPr lang="en-US" sz="1600" b="0" i="0">
                          <a:solidFill>
                            <a:srgbClr val="41683C"/>
                          </a:solidFill>
                          <a:latin typeface="Cambria Math" panose="02040503050406030204" pitchFamily="18" charset="0"/>
                        </a:rPr>
                        <m:t>Sum</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length</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stay</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for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all</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receiving</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eligible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procedures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days</m:t>
                      </m:r>
                      <m:r>
                        <a:rPr lang="en-US" sz="1600" b="0" i="0">
                          <a:solidFill>
                            <a:srgbClr val="41683C"/>
                          </a:solidFill>
                          <a:latin typeface="Cambria Math" panose="02040503050406030204" pitchFamily="18" charset="0"/>
                        </a:rPr>
                        <m:t>) </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who</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had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eligible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procedure</m:t>
                      </m:r>
                    </m:den>
                  </m:f>
                </m:oMath>
              </a14:m>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D42C6A0B-00E6-43C1-AB1D-513D4CC303B6}"/>
                </a:ext>
              </a:extLst>
            </xdr:cNvPr>
            <xdr:cNvSpPr txBox="1"/>
          </xdr:nvSpPr>
          <xdr:spPr>
            <a:xfrm>
              <a:off x="632459" y="1125855"/>
              <a:ext cx="6623686" cy="548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(Sum of length of stay for all patients receiving eligible procedures (days) )/(</a:t>
              </a:r>
              <a:r>
                <a:rPr lang="en-CA" sz="1600" b="0" i="0">
                  <a:solidFill>
                    <a:srgbClr val="41683C"/>
                  </a:solidFill>
                  <a:latin typeface="Cambria Math" panose="02040503050406030204" pitchFamily="18" charset="0"/>
                </a:rPr>
                <a:t># of</a:t>
              </a:r>
              <a:r>
                <a:rPr lang="en-US" sz="1600" b="0" i="0">
                  <a:solidFill>
                    <a:srgbClr val="41683C"/>
                  </a:solidFill>
                  <a:latin typeface="Cambria Math" panose="02040503050406030204" pitchFamily="18" charset="0"/>
                </a:rPr>
                <a:t> patients who had an eligible procedure)</a:t>
              </a:r>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Fallback>
    </mc:AlternateContent>
    <xdr:clientData/>
  </xdr:twoCellAnchor>
  <xdr:twoCellAnchor>
    <xdr:from>
      <xdr:col>3</xdr:col>
      <xdr:colOff>838200</xdr:colOff>
      <xdr:row>27</xdr:row>
      <xdr:rowOff>15240</xdr:rowOff>
    </xdr:from>
    <xdr:to>
      <xdr:col>10</xdr:col>
      <xdr:colOff>853440</xdr:colOff>
      <xdr:row>39</xdr:row>
      <xdr:rowOff>93345</xdr:rowOff>
    </xdr:to>
    <xdr:graphicFrame macro="">
      <xdr:nvGraphicFramePr>
        <xdr:cNvPr id="5" name="Chart 4">
          <a:extLst>
            <a:ext uri="{FF2B5EF4-FFF2-40B4-BE49-F238E27FC236}">
              <a16:creationId xmlns:a16="http://schemas.microsoft.com/office/drawing/2014/main" id="{11F2E034-3AA6-471C-9EAF-0D088D78C3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243840</xdr:colOff>
      <xdr:row>38</xdr:row>
      <xdr:rowOff>76199</xdr:rowOff>
    </xdr:from>
    <xdr:to>
      <xdr:col>7</xdr:col>
      <xdr:colOff>1123950</xdr:colOff>
      <xdr:row>50</xdr:row>
      <xdr:rowOff>99059</xdr:rowOff>
    </xdr:to>
    <xdr:graphicFrame macro="">
      <xdr:nvGraphicFramePr>
        <xdr:cNvPr id="2" name="Chart 1">
          <a:extLst>
            <a:ext uri="{FF2B5EF4-FFF2-40B4-BE49-F238E27FC236}">
              <a16:creationId xmlns:a16="http://schemas.microsoft.com/office/drawing/2014/main" id="{55E33CE5-DCFD-4116-959D-820AF0D3D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226695</xdr:colOff>
      <xdr:row>36</xdr:row>
      <xdr:rowOff>495300</xdr:rowOff>
    </xdr:from>
    <xdr:to>
      <xdr:col>5</xdr:col>
      <xdr:colOff>238125</xdr:colOff>
      <xdr:row>36</xdr:row>
      <xdr:rowOff>967740</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CDE47311-4FFD-48C1-8E35-0A3D91ED1133}"/>
                </a:ext>
              </a:extLst>
            </xdr:cNvPr>
            <xdr:cNvSpPr txBox="1"/>
          </xdr:nvSpPr>
          <xdr:spPr>
            <a:xfrm>
              <a:off x="706755" y="11010900"/>
              <a:ext cx="5878830" cy="472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surgeries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using</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reusable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item</m:t>
                      </m:r>
                      <m:r>
                        <a:rPr lang="en-US" sz="1600" b="0" i="0">
                          <a:solidFill>
                            <a:srgbClr val="41683C"/>
                          </a:solidFill>
                          <a:latin typeface="Cambria Math" panose="02040503050406030204" pitchFamily="18" charset="0"/>
                        </a:rPr>
                        <m:t>(</m:t>
                      </m:r>
                      <m:r>
                        <m:rPr>
                          <m:sty m:val="p"/>
                        </m:rPr>
                        <a:rPr lang="en-US" sz="1600" b="0" i="0">
                          <a:solidFill>
                            <a:srgbClr val="41683C"/>
                          </a:solidFill>
                          <a:latin typeface="Cambria Math" panose="02040503050406030204" pitchFamily="18" charset="0"/>
                        </a:rPr>
                        <m:t>s</m:t>
                      </m:r>
                      <m:r>
                        <a:rPr lang="en-US" sz="1600" b="0" i="0">
                          <a:solidFill>
                            <a:srgbClr val="41683C"/>
                          </a:solidFill>
                          <a:latin typeface="Cambria Math" panose="02040503050406030204" pitchFamily="18" charset="0"/>
                        </a:rPr>
                        <m:t>)</m:t>
                      </m:r>
                    </m:num>
                    <m:den>
                      <m:r>
                        <m:rPr>
                          <m:sty m:val="p"/>
                        </m:rPr>
                        <a:rPr lang="en-US" sz="1600" b="0" i="0">
                          <a:solidFill>
                            <a:srgbClr val="41683C"/>
                          </a:solidFill>
                          <a:latin typeface="Cambria Math" panose="02040503050406030204" pitchFamily="18" charset="0"/>
                        </a:rPr>
                        <m:t>total</m:t>
                      </m:r>
                      <m:r>
                        <a:rPr lang="en-US" sz="1600" b="0" i="0">
                          <a:solidFill>
                            <a:srgbClr val="41683C"/>
                          </a:solidFill>
                          <a:latin typeface="Cambria Math" panose="02040503050406030204" pitchFamily="18" charset="0"/>
                        </a:rPr>
                        <m:t> #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surgeries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using</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these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item</m:t>
                      </m:r>
                      <m:d>
                        <m:dPr>
                          <m:ctrlPr>
                            <a:rPr lang="en-US" sz="1600" b="0" i="1">
                              <a:solidFill>
                                <a:srgbClr val="41683C"/>
                              </a:solidFill>
                              <a:latin typeface="Cambria Math" panose="02040503050406030204" pitchFamily="18" charset="0"/>
                            </a:rPr>
                          </m:ctrlPr>
                        </m:dPr>
                        <m:e>
                          <m:r>
                            <m:rPr>
                              <m:sty m:val="p"/>
                            </m:rPr>
                            <a:rPr lang="en-US" sz="1600" b="0" i="0">
                              <a:solidFill>
                                <a:srgbClr val="41683C"/>
                              </a:solidFill>
                              <a:latin typeface="Cambria Math" panose="02040503050406030204" pitchFamily="18" charset="0"/>
                            </a:rPr>
                            <m:t>s</m:t>
                          </m:r>
                        </m:e>
                      </m:d>
                      <m:r>
                        <a:rPr lang="en-US" sz="1600" b="0" i="0">
                          <a:solidFill>
                            <a:srgbClr val="41683C"/>
                          </a:solidFill>
                          <a:latin typeface="Cambria Math" panose="02040503050406030204" pitchFamily="18" charset="0"/>
                        </a:rPr>
                        <m:t>(</m:t>
                      </m:r>
                      <m:r>
                        <m:rPr>
                          <m:sty m:val="p"/>
                        </m:rPr>
                        <a:rPr lang="en-US" sz="1600" b="0" i="0">
                          <a:solidFill>
                            <a:srgbClr val="41683C"/>
                          </a:solidFill>
                          <a:latin typeface="Cambria Math" panose="02040503050406030204" pitchFamily="18" charset="0"/>
                        </a:rPr>
                        <m:t>disposable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reusable</m:t>
                      </m:r>
                      <m:r>
                        <a:rPr lang="en-US" sz="1600" b="0" i="0">
                          <a:solidFill>
                            <a:srgbClr val="41683C"/>
                          </a:solidFill>
                          <a:latin typeface="Cambria Math" panose="02040503050406030204" pitchFamily="18" charset="0"/>
                        </a:rPr>
                        <m:t>)</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CDE47311-4FFD-48C1-8E35-0A3D91ED1133}"/>
                </a:ext>
              </a:extLst>
            </xdr:cNvPr>
            <xdr:cNvSpPr txBox="1"/>
          </xdr:nvSpPr>
          <xdr:spPr>
            <a:xfrm>
              <a:off x="706755" y="11010900"/>
              <a:ext cx="5878830" cy="472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surgeries using the reusable item(s))/(total # </a:t>
              </a:r>
              <a:r>
                <a:rPr lang="en-CA" sz="1600" b="0" i="0">
                  <a:solidFill>
                    <a:srgbClr val="41683C"/>
                  </a:solidFill>
                  <a:latin typeface="Cambria Math" panose="02040503050406030204" pitchFamily="18" charset="0"/>
                </a:rPr>
                <a:t>of </a:t>
              </a:r>
              <a:r>
                <a:rPr lang="en-US" sz="1600" b="0" i="0">
                  <a:solidFill>
                    <a:srgbClr val="41683C"/>
                  </a:solidFill>
                  <a:latin typeface="Cambria Math" panose="02040503050406030204" pitchFamily="18" charset="0"/>
                </a:rPr>
                <a:t>surgeries using these item(s)(disposable or reusable))</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twoCellAnchor>
    <xdr:from>
      <xdr:col>5</xdr:col>
      <xdr:colOff>243840</xdr:colOff>
      <xdr:row>56</xdr:row>
      <xdr:rowOff>76199</xdr:rowOff>
    </xdr:from>
    <xdr:to>
      <xdr:col>7</xdr:col>
      <xdr:colOff>1104900</xdr:colOff>
      <xdr:row>68</xdr:row>
      <xdr:rowOff>99059</xdr:rowOff>
    </xdr:to>
    <xdr:graphicFrame macro="">
      <xdr:nvGraphicFramePr>
        <xdr:cNvPr id="4" name="Chart 3">
          <a:extLst>
            <a:ext uri="{FF2B5EF4-FFF2-40B4-BE49-F238E27FC236}">
              <a16:creationId xmlns:a16="http://schemas.microsoft.com/office/drawing/2014/main" id="{A06B84A0-35C6-41F2-8CED-56E20BE135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182880</xdr:colOff>
      <xdr:row>54</xdr:row>
      <xdr:rowOff>285750</xdr:rowOff>
    </xdr:from>
    <xdr:to>
      <xdr:col>3</xdr:col>
      <xdr:colOff>691516</xdr:colOff>
      <xdr:row>54</xdr:row>
      <xdr:rowOff>762000</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411B1E82-C6AA-4F75-9812-C9C3474D816E}"/>
                </a:ext>
              </a:extLst>
            </xdr:cNvPr>
            <xdr:cNvSpPr txBox="1"/>
          </xdr:nvSpPr>
          <xdr:spPr>
            <a:xfrm>
              <a:off x="662940" y="15601950"/>
              <a:ext cx="4090036"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m:rPr>
                          <m:sty m:val="p"/>
                        </m:rPr>
                        <a:rPr lang="en-US" sz="1600" b="0" i="0">
                          <a:solidFill>
                            <a:srgbClr val="41683C"/>
                          </a:solidFill>
                          <a:latin typeface="Cambria Math" panose="02040503050406030204" pitchFamily="18" charset="0"/>
                        </a:rPr>
                        <m:t>total</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cost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item</m:t>
                      </m:r>
                      <m:r>
                        <a:rPr lang="en-US" sz="1600" b="0" i="0">
                          <a:solidFill>
                            <a:srgbClr val="41683C"/>
                          </a:solidFill>
                          <a:latin typeface="Cambria Math" panose="02040503050406030204" pitchFamily="18" charset="0"/>
                        </a:rPr>
                        <m:t>(</m:t>
                      </m:r>
                      <m:r>
                        <m:rPr>
                          <m:sty m:val="p"/>
                        </m:rPr>
                        <a:rPr lang="en-US" sz="1600" b="0" i="0">
                          <a:solidFill>
                            <a:srgbClr val="41683C"/>
                          </a:solidFill>
                          <a:latin typeface="Cambria Math" panose="02040503050406030204" pitchFamily="18" charset="0"/>
                        </a:rPr>
                        <m:t>s</m:t>
                      </m:r>
                      <m:r>
                        <a:rPr lang="en-US" sz="1600" b="0" i="0">
                          <a:solidFill>
                            <a:srgbClr val="41683C"/>
                          </a:solidFill>
                          <a:latin typeface="Cambria Math" panose="02040503050406030204" pitchFamily="18" charset="0"/>
                        </a:rPr>
                        <m:t>)</m:t>
                      </m:r>
                    </m:num>
                    <m:den>
                      <m:r>
                        <m:rPr>
                          <m:sty m:val="p"/>
                        </m:rPr>
                        <a:rPr lang="en-US" sz="1600" b="0" i="0">
                          <a:solidFill>
                            <a:srgbClr val="41683C"/>
                          </a:solidFill>
                          <a:latin typeface="Cambria Math" panose="02040503050406030204" pitchFamily="18" charset="0"/>
                        </a:rPr>
                        <m:t>total</m:t>
                      </m:r>
                      <m:r>
                        <a:rPr lang="en-US" sz="1600" b="0" i="0">
                          <a:solidFill>
                            <a:srgbClr val="41683C"/>
                          </a:solidFill>
                          <a:latin typeface="Cambria Math" panose="02040503050406030204" pitchFamily="18" charset="0"/>
                        </a:rPr>
                        <m:t> #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surgeries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using</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item</m:t>
                      </m:r>
                      <m:r>
                        <a:rPr lang="en-US" sz="1600" b="0" i="0">
                          <a:solidFill>
                            <a:srgbClr val="41683C"/>
                          </a:solidFill>
                          <a:latin typeface="Cambria Math" panose="02040503050406030204" pitchFamily="18" charset="0"/>
                        </a:rPr>
                        <m:t>(</m:t>
                      </m:r>
                      <m:r>
                        <m:rPr>
                          <m:sty m:val="p"/>
                        </m:rPr>
                        <a:rPr lang="en-US" sz="1600" b="0" i="0">
                          <a:solidFill>
                            <a:srgbClr val="41683C"/>
                          </a:solidFill>
                          <a:latin typeface="Cambria Math" panose="02040503050406030204" pitchFamily="18" charset="0"/>
                        </a:rPr>
                        <m:t>s</m:t>
                      </m:r>
                      <m:r>
                        <a:rPr lang="en-US" sz="1600" b="0" i="0">
                          <a:solidFill>
                            <a:srgbClr val="41683C"/>
                          </a:solidFill>
                          <a:latin typeface="Cambria Math" panose="02040503050406030204" pitchFamily="18" charset="0"/>
                        </a:rPr>
                        <m:t>) </m:t>
                      </m:r>
                    </m:den>
                  </m:f>
                </m:oMath>
              </a14:m>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Choice>
      <mc:Fallback xmlns="">
        <xdr:sp macro="" textlink="">
          <xdr:nvSpPr>
            <xdr:cNvPr id="5" name="TextBox 4">
              <a:extLst>
                <a:ext uri="{FF2B5EF4-FFF2-40B4-BE49-F238E27FC236}">
                  <a16:creationId xmlns:a16="http://schemas.microsoft.com/office/drawing/2014/main" id="{411B1E82-C6AA-4F75-9812-C9C3474D816E}"/>
                </a:ext>
              </a:extLst>
            </xdr:cNvPr>
            <xdr:cNvSpPr txBox="1"/>
          </xdr:nvSpPr>
          <xdr:spPr>
            <a:xfrm>
              <a:off x="662940" y="15601950"/>
              <a:ext cx="4090036"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(total cost of the item(s))/(total # </a:t>
              </a:r>
              <a:r>
                <a:rPr lang="en-CA" sz="1600" b="0" i="0">
                  <a:solidFill>
                    <a:srgbClr val="41683C"/>
                  </a:solidFill>
                  <a:latin typeface="Cambria Math" panose="02040503050406030204" pitchFamily="18" charset="0"/>
                </a:rPr>
                <a:t>of </a:t>
              </a:r>
              <a:r>
                <a:rPr lang="en-US" sz="1600" b="0" i="0">
                  <a:solidFill>
                    <a:srgbClr val="41683C"/>
                  </a:solidFill>
                  <a:latin typeface="Cambria Math" panose="02040503050406030204" pitchFamily="18" charset="0"/>
                </a:rPr>
                <a:t>surgeries using the item(s) )</a:t>
              </a:r>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Fallback>
    </mc:AlternateContent>
    <xdr:clientData/>
  </xdr:twoCellAnchor>
  <xdr:twoCellAnchor>
    <xdr:from>
      <xdr:col>3</xdr:col>
      <xdr:colOff>619125</xdr:colOff>
      <xdr:row>74</xdr:row>
      <xdr:rowOff>76199</xdr:rowOff>
    </xdr:from>
    <xdr:to>
      <xdr:col>7</xdr:col>
      <xdr:colOff>1104900</xdr:colOff>
      <xdr:row>86</xdr:row>
      <xdr:rowOff>95249</xdr:rowOff>
    </xdr:to>
    <xdr:graphicFrame macro="">
      <xdr:nvGraphicFramePr>
        <xdr:cNvPr id="6" name="Chart 5">
          <a:extLst>
            <a:ext uri="{FF2B5EF4-FFF2-40B4-BE49-F238E27FC236}">
              <a16:creationId xmlns:a16="http://schemas.microsoft.com/office/drawing/2014/main" id="{E0A056BE-7EBE-420A-946C-493E1959DD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723900</xdr:colOff>
      <xdr:row>110</xdr:row>
      <xdr:rowOff>76199</xdr:rowOff>
    </xdr:from>
    <xdr:to>
      <xdr:col>7</xdr:col>
      <xdr:colOff>1104900</xdr:colOff>
      <xdr:row>122</xdr:row>
      <xdr:rowOff>95249</xdr:rowOff>
    </xdr:to>
    <xdr:graphicFrame macro="">
      <xdr:nvGraphicFramePr>
        <xdr:cNvPr id="7" name="Chart 6">
          <a:extLst>
            <a:ext uri="{FF2B5EF4-FFF2-40B4-BE49-F238E27FC236}">
              <a16:creationId xmlns:a16="http://schemas.microsoft.com/office/drawing/2014/main" id="{F501EB8A-725F-45FE-B378-4A4E6E49F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619125</xdr:colOff>
      <xdr:row>92</xdr:row>
      <xdr:rowOff>76199</xdr:rowOff>
    </xdr:from>
    <xdr:to>
      <xdr:col>7</xdr:col>
      <xdr:colOff>1104900</xdr:colOff>
      <xdr:row>104</xdr:row>
      <xdr:rowOff>95249</xdr:rowOff>
    </xdr:to>
    <xdr:graphicFrame macro="">
      <xdr:nvGraphicFramePr>
        <xdr:cNvPr id="8" name="Chart 7">
          <a:extLst>
            <a:ext uri="{FF2B5EF4-FFF2-40B4-BE49-F238E27FC236}">
              <a16:creationId xmlns:a16="http://schemas.microsoft.com/office/drawing/2014/main" id="{F4E7E3D2-9989-4BF8-A671-9CA15A63D6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49530</xdr:colOff>
      <xdr:row>6</xdr:row>
      <xdr:rowOff>85725</xdr:rowOff>
    </xdr:from>
    <xdr:to>
      <xdr:col>11</xdr:col>
      <xdr:colOff>895350</xdr:colOff>
      <xdr:row>18</xdr:row>
      <xdr:rowOff>171450</xdr:rowOff>
    </xdr:to>
    <xdr:graphicFrame macro="">
      <xdr:nvGraphicFramePr>
        <xdr:cNvPr id="2" name="Chart 1">
          <a:extLst>
            <a:ext uri="{FF2B5EF4-FFF2-40B4-BE49-F238E27FC236}">
              <a16:creationId xmlns:a16="http://schemas.microsoft.com/office/drawing/2014/main" id="{7E01B52F-0F8A-4A3B-9398-ED37201D9F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156209</xdr:colOff>
      <xdr:row>3</xdr:row>
      <xdr:rowOff>468630</xdr:rowOff>
    </xdr:from>
    <xdr:to>
      <xdr:col>9</xdr:col>
      <xdr:colOff>36195</xdr:colOff>
      <xdr:row>3</xdr:row>
      <xdr:rowOff>1016727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D3C7B10D-6DA5-4CFE-9701-BFC5598C6505}"/>
                </a:ext>
              </a:extLst>
            </xdr:cNvPr>
            <xdr:cNvSpPr txBox="1"/>
          </xdr:nvSpPr>
          <xdr:spPr>
            <a:xfrm>
              <a:off x="636269" y="1131570"/>
              <a:ext cx="6631306" cy="548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required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readmission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after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elgiible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procedure</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who</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had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eligible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procedure</m:t>
                      </m:r>
                    </m:den>
                  </m:f>
                </m:oMath>
              </a14:m>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D3C7B10D-6DA5-4CFE-9701-BFC5598C6505}"/>
                </a:ext>
              </a:extLst>
            </xdr:cNvPr>
            <xdr:cNvSpPr txBox="1"/>
          </xdr:nvSpPr>
          <xdr:spPr>
            <a:xfrm>
              <a:off x="636269" y="1131570"/>
              <a:ext cx="6631306" cy="548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patients required readmission after an elgiible procedure)/(</a:t>
              </a:r>
              <a:r>
                <a:rPr lang="en-CA" sz="1600" b="0" i="0">
                  <a:solidFill>
                    <a:srgbClr val="41683C"/>
                  </a:solidFill>
                  <a:latin typeface="Cambria Math" panose="02040503050406030204" pitchFamily="18" charset="0"/>
                </a:rPr>
                <a:t># of</a:t>
              </a:r>
              <a:r>
                <a:rPr lang="en-US" sz="1600" b="0" i="0">
                  <a:solidFill>
                    <a:srgbClr val="41683C"/>
                  </a:solidFill>
                  <a:latin typeface="Cambria Math" panose="02040503050406030204" pitchFamily="18" charset="0"/>
                </a:rPr>
                <a:t> patients who had an eligible procedure)</a:t>
              </a:r>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Fallback>
    </mc:AlternateContent>
    <xdr:clientData/>
  </xdr:twoCellAnchor>
  <xdr:twoCellAnchor>
    <xdr:from>
      <xdr:col>3</xdr:col>
      <xdr:colOff>838200</xdr:colOff>
      <xdr:row>27</xdr:row>
      <xdr:rowOff>15240</xdr:rowOff>
    </xdr:from>
    <xdr:to>
      <xdr:col>11</xdr:col>
      <xdr:colOff>853440</xdr:colOff>
      <xdr:row>39</xdr:row>
      <xdr:rowOff>93345</xdr:rowOff>
    </xdr:to>
    <xdr:graphicFrame macro="">
      <xdr:nvGraphicFramePr>
        <xdr:cNvPr id="4" name="Chart 3">
          <a:extLst>
            <a:ext uri="{FF2B5EF4-FFF2-40B4-BE49-F238E27FC236}">
              <a16:creationId xmlns:a16="http://schemas.microsoft.com/office/drawing/2014/main" id="{A7DB92CE-DA30-4CE0-B34C-8A2260DF94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333375</xdr:colOff>
      <xdr:row>5</xdr:row>
      <xdr:rowOff>112395</xdr:rowOff>
    </xdr:from>
    <xdr:to>
      <xdr:col>10</xdr:col>
      <xdr:colOff>466725</xdr:colOff>
      <xdr:row>19</xdr:row>
      <xdr:rowOff>59055</xdr:rowOff>
    </xdr:to>
    <xdr:graphicFrame macro="">
      <xdr:nvGraphicFramePr>
        <xdr:cNvPr id="2" name="Chart 1">
          <a:extLst>
            <a:ext uri="{FF2B5EF4-FFF2-40B4-BE49-F238E27FC236}">
              <a16:creationId xmlns:a16="http://schemas.microsoft.com/office/drawing/2014/main" id="{C4F28678-3D94-435F-A149-E2A89DA9D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1097280</xdr:colOff>
      <xdr:row>25</xdr:row>
      <xdr:rowOff>34290</xdr:rowOff>
    </xdr:from>
    <xdr:to>
      <xdr:col>11</xdr:col>
      <xdr:colOff>188595</xdr:colOff>
      <xdr:row>37</xdr:row>
      <xdr:rowOff>116205</xdr:rowOff>
    </xdr:to>
    <xdr:graphicFrame macro="">
      <xdr:nvGraphicFramePr>
        <xdr:cNvPr id="4" name="Chart 3">
          <a:extLst>
            <a:ext uri="{FF2B5EF4-FFF2-40B4-BE49-F238E27FC236}">
              <a16:creationId xmlns:a16="http://schemas.microsoft.com/office/drawing/2014/main" id="{4A94DBA7-52C4-439E-A356-DA99ED064F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243840</xdr:colOff>
      <xdr:row>38</xdr:row>
      <xdr:rowOff>76199</xdr:rowOff>
    </xdr:from>
    <xdr:to>
      <xdr:col>7</xdr:col>
      <xdr:colOff>1123950</xdr:colOff>
      <xdr:row>50</xdr:row>
      <xdr:rowOff>99059</xdr:rowOff>
    </xdr:to>
    <xdr:graphicFrame macro="">
      <xdr:nvGraphicFramePr>
        <xdr:cNvPr id="2" name="Chart 1">
          <a:extLst>
            <a:ext uri="{FF2B5EF4-FFF2-40B4-BE49-F238E27FC236}">
              <a16:creationId xmlns:a16="http://schemas.microsoft.com/office/drawing/2014/main" id="{0066BDC2-99C5-4DF2-9DD7-92DC877483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226695</xdr:colOff>
      <xdr:row>36</xdr:row>
      <xdr:rowOff>495300</xdr:rowOff>
    </xdr:from>
    <xdr:to>
      <xdr:col>5</xdr:col>
      <xdr:colOff>238125</xdr:colOff>
      <xdr:row>36</xdr:row>
      <xdr:rowOff>967740</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1E207BB9-2D63-4C01-9F54-ABA798528FA4}"/>
                </a:ext>
              </a:extLst>
            </xdr:cNvPr>
            <xdr:cNvSpPr txBox="1"/>
          </xdr:nvSpPr>
          <xdr:spPr>
            <a:xfrm>
              <a:off x="702945" y="10953750"/>
              <a:ext cx="588073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surgeries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using</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reusable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item</m:t>
                      </m:r>
                      <m:r>
                        <a:rPr lang="en-US" sz="1600" b="0" i="0">
                          <a:solidFill>
                            <a:srgbClr val="41683C"/>
                          </a:solidFill>
                          <a:latin typeface="Cambria Math" panose="02040503050406030204" pitchFamily="18" charset="0"/>
                        </a:rPr>
                        <m:t>(</m:t>
                      </m:r>
                      <m:r>
                        <m:rPr>
                          <m:sty m:val="p"/>
                        </m:rPr>
                        <a:rPr lang="en-US" sz="1600" b="0" i="0">
                          <a:solidFill>
                            <a:srgbClr val="41683C"/>
                          </a:solidFill>
                          <a:latin typeface="Cambria Math" panose="02040503050406030204" pitchFamily="18" charset="0"/>
                        </a:rPr>
                        <m:t>s</m:t>
                      </m:r>
                      <m:r>
                        <a:rPr lang="en-US" sz="1600" b="0" i="0">
                          <a:solidFill>
                            <a:srgbClr val="41683C"/>
                          </a:solidFill>
                          <a:latin typeface="Cambria Math" panose="02040503050406030204" pitchFamily="18" charset="0"/>
                        </a:rPr>
                        <m:t>)</m:t>
                      </m:r>
                    </m:num>
                    <m:den>
                      <m:r>
                        <m:rPr>
                          <m:sty m:val="p"/>
                        </m:rPr>
                        <a:rPr lang="en-US" sz="1600" b="0" i="0">
                          <a:solidFill>
                            <a:srgbClr val="41683C"/>
                          </a:solidFill>
                          <a:latin typeface="Cambria Math" panose="02040503050406030204" pitchFamily="18" charset="0"/>
                        </a:rPr>
                        <m:t>total</m:t>
                      </m:r>
                      <m:r>
                        <a:rPr lang="en-US" sz="1600" b="0" i="0">
                          <a:solidFill>
                            <a:srgbClr val="41683C"/>
                          </a:solidFill>
                          <a:latin typeface="Cambria Math" panose="02040503050406030204" pitchFamily="18" charset="0"/>
                        </a:rPr>
                        <m:t> #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surgeries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using</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these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item</m:t>
                      </m:r>
                      <m:d>
                        <m:dPr>
                          <m:ctrlPr>
                            <a:rPr lang="en-US" sz="1600" b="0" i="1">
                              <a:solidFill>
                                <a:srgbClr val="41683C"/>
                              </a:solidFill>
                              <a:latin typeface="Cambria Math" panose="02040503050406030204" pitchFamily="18" charset="0"/>
                            </a:rPr>
                          </m:ctrlPr>
                        </m:dPr>
                        <m:e>
                          <m:r>
                            <m:rPr>
                              <m:sty m:val="p"/>
                            </m:rPr>
                            <a:rPr lang="en-US" sz="1600" b="0" i="0">
                              <a:solidFill>
                                <a:srgbClr val="41683C"/>
                              </a:solidFill>
                              <a:latin typeface="Cambria Math" panose="02040503050406030204" pitchFamily="18" charset="0"/>
                            </a:rPr>
                            <m:t>s</m:t>
                          </m:r>
                        </m:e>
                      </m:d>
                      <m:r>
                        <a:rPr lang="en-US" sz="1600" b="0" i="0">
                          <a:solidFill>
                            <a:srgbClr val="41683C"/>
                          </a:solidFill>
                          <a:latin typeface="Cambria Math" panose="02040503050406030204" pitchFamily="18" charset="0"/>
                        </a:rPr>
                        <m:t>(</m:t>
                      </m:r>
                      <m:r>
                        <m:rPr>
                          <m:sty m:val="p"/>
                        </m:rPr>
                        <a:rPr lang="en-US" sz="1600" b="0" i="0">
                          <a:solidFill>
                            <a:srgbClr val="41683C"/>
                          </a:solidFill>
                          <a:latin typeface="Cambria Math" panose="02040503050406030204" pitchFamily="18" charset="0"/>
                        </a:rPr>
                        <m:t>disposable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reusable</m:t>
                      </m:r>
                      <m:r>
                        <a:rPr lang="en-US" sz="1600" b="0" i="0">
                          <a:solidFill>
                            <a:srgbClr val="41683C"/>
                          </a:solidFill>
                          <a:latin typeface="Cambria Math" panose="02040503050406030204" pitchFamily="18" charset="0"/>
                        </a:rPr>
                        <m:t>)</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1E207BB9-2D63-4C01-9F54-ABA798528FA4}"/>
                </a:ext>
              </a:extLst>
            </xdr:cNvPr>
            <xdr:cNvSpPr txBox="1"/>
          </xdr:nvSpPr>
          <xdr:spPr>
            <a:xfrm>
              <a:off x="702945" y="10953750"/>
              <a:ext cx="588073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surgeries using the reusable item(s))/(total # </a:t>
              </a:r>
              <a:r>
                <a:rPr lang="en-CA" sz="1600" b="0" i="0">
                  <a:solidFill>
                    <a:srgbClr val="41683C"/>
                  </a:solidFill>
                  <a:latin typeface="Cambria Math" panose="02040503050406030204" pitchFamily="18" charset="0"/>
                </a:rPr>
                <a:t>of </a:t>
              </a:r>
              <a:r>
                <a:rPr lang="en-US" sz="1600" b="0" i="0">
                  <a:solidFill>
                    <a:srgbClr val="41683C"/>
                  </a:solidFill>
                  <a:latin typeface="Cambria Math" panose="02040503050406030204" pitchFamily="18" charset="0"/>
                </a:rPr>
                <a:t>surgeries using these item(s)(disposable or reusable))</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twoCellAnchor>
    <xdr:from>
      <xdr:col>5</xdr:col>
      <xdr:colOff>243840</xdr:colOff>
      <xdr:row>56</xdr:row>
      <xdr:rowOff>76199</xdr:rowOff>
    </xdr:from>
    <xdr:to>
      <xdr:col>7</xdr:col>
      <xdr:colOff>1104900</xdr:colOff>
      <xdr:row>68</xdr:row>
      <xdr:rowOff>99059</xdr:rowOff>
    </xdr:to>
    <xdr:graphicFrame macro="">
      <xdr:nvGraphicFramePr>
        <xdr:cNvPr id="4" name="Chart 3">
          <a:extLst>
            <a:ext uri="{FF2B5EF4-FFF2-40B4-BE49-F238E27FC236}">
              <a16:creationId xmlns:a16="http://schemas.microsoft.com/office/drawing/2014/main" id="{A39EF50A-0E0B-4E8D-B84F-9A3B4F40DB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182880</xdr:colOff>
      <xdr:row>54</xdr:row>
      <xdr:rowOff>285750</xdr:rowOff>
    </xdr:from>
    <xdr:to>
      <xdr:col>3</xdr:col>
      <xdr:colOff>691516</xdr:colOff>
      <xdr:row>54</xdr:row>
      <xdr:rowOff>762000</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B714BFA-F9C8-4725-83D3-B33AE1CD375C}"/>
                </a:ext>
              </a:extLst>
            </xdr:cNvPr>
            <xdr:cNvSpPr txBox="1"/>
          </xdr:nvSpPr>
          <xdr:spPr>
            <a:xfrm>
              <a:off x="657225" y="15512415"/>
              <a:ext cx="4093846" cy="480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m:rPr>
                          <m:sty m:val="p"/>
                        </m:rPr>
                        <a:rPr lang="en-US" sz="1600" b="0" i="0">
                          <a:solidFill>
                            <a:srgbClr val="41683C"/>
                          </a:solidFill>
                          <a:latin typeface="Cambria Math" panose="02040503050406030204" pitchFamily="18" charset="0"/>
                        </a:rPr>
                        <m:t>total</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cost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item</m:t>
                      </m:r>
                      <m:r>
                        <a:rPr lang="en-US" sz="1600" b="0" i="0">
                          <a:solidFill>
                            <a:srgbClr val="41683C"/>
                          </a:solidFill>
                          <a:latin typeface="Cambria Math" panose="02040503050406030204" pitchFamily="18" charset="0"/>
                        </a:rPr>
                        <m:t>(</m:t>
                      </m:r>
                      <m:r>
                        <m:rPr>
                          <m:sty m:val="p"/>
                        </m:rPr>
                        <a:rPr lang="en-US" sz="1600" b="0" i="0">
                          <a:solidFill>
                            <a:srgbClr val="41683C"/>
                          </a:solidFill>
                          <a:latin typeface="Cambria Math" panose="02040503050406030204" pitchFamily="18" charset="0"/>
                        </a:rPr>
                        <m:t>s</m:t>
                      </m:r>
                      <m:r>
                        <a:rPr lang="en-US" sz="1600" b="0" i="0">
                          <a:solidFill>
                            <a:srgbClr val="41683C"/>
                          </a:solidFill>
                          <a:latin typeface="Cambria Math" panose="02040503050406030204" pitchFamily="18" charset="0"/>
                        </a:rPr>
                        <m:t>)</m:t>
                      </m:r>
                    </m:num>
                    <m:den>
                      <m:r>
                        <m:rPr>
                          <m:sty m:val="p"/>
                        </m:rPr>
                        <a:rPr lang="en-US" sz="1600" b="0" i="0">
                          <a:solidFill>
                            <a:srgbClr val="41683C"/>
                          </a:solidFill>
                          <a:latin typeface="Cambria Math" panose="02040503050406030204" pitchFamily="18" charset="0"/>
                        </a:rPr>
                        <m:t>total</m:t>
                      </m:r>
                      <m:r>
                        <a:rPr lang="en-US" sz="1600" b="0" i="0">
                          <a:solidFill>
                            <a:srgbClr val="41683C"/>
                          </a:solidFill>
                          <a:latin typeface="Cambria Math" panose="02040503050406030204" pitchFamily="18" charset="0"/>
                        </a:rPr>
                        <m:t> #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surgeries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using</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item</m:t>
                      </m:r>
                      <m:r>
                        <a:rPr lang="en-US" sz="1600" b="0" i="0">
                          <a:solidFill>
                            <a:srgbClr val="41683C"/>
                          </a:solidFill>
                          <a:latin typeface="Cambria Math" panose="02040503050406030204" pitchFamily="18" charset="0"/>
                        </a:rPr>
                        <m:t>(</m:t>
                      </m:r>
                      <m:r>
                        <m:rPr>
                          <m:sty m:val="p"/>
                        </m:rPr>
                        <a:rPr lang="en-US" sz="1600" b="0" i="0">
                          <a:solidFill>
                            <a:srgbClr val="41683C"/>
                          </a:solidFill>
                          <a:latin typeface="Cambria Math" panose="02040503050406030204" pitchFamily="18" charset="0"/>
                        </a:rPr>
                        <m:t>s</m:t>
                      </m:r>
                      <m:r>
                        <a:rPr lang="en-US" sz="1600" b="0" i="0">
                          <a:solidFill>
                            <a:srgbClr val="41683C"/>
                          </a:solidFill>
                          <a:latin typeface="Cambria Math" panose="02040503050406030204" pitchFamily="18" charset="0"/>
                        </a:rPr>
                        <m:t>) </m:t>
                      </m:r>
                    </m:den>
                  </m:f>
                </m:oMath>
              </a14:m>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Choice>
      <mc:Fallback xmlns="">
        <xdr:sp macro="" textlink="">
          <xdr:nvSpPr>
            <xdr:cNvPr id="5" name="TextBox 4">
              <a:extLst>
                <a:ext uri="{FF2B5EF4-FFF2-40B4-BE49-F238E27FC236}">
                  <a16:creationId xmlns:a16="http://schemas.microsoft.com/office/drawing/2014/main" id="{FB714BFA-F9C8-4725-83D3-B33AE1CD375C}"/>
                </a:ext>
              </a:extLst>
            </xdr:cNvPr>
            <xdr:cNvSpPr txBox="1"/>
          </xdr:nvSpPr>
          <xdr:spPr>
            <a:xfrm>
              <a:off x="657225" y="15512415"/>
              <a:ext cx="4093846" cy="480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(total cost of the item(s))/(total # </a:t>
              </a:r>
              <a:r>
                <a:rPr lang="en-CA" sz="1600" b="0" i="0">
                  <a:solidFill>
                    <a:srgbClr val="41683C"/>
                  </a:solidFill>
                  <a:latin typeface="Cambria Math" panose="02040503050406030204" pitchFamily="18" charset="0"/>
                </a:rPr>
                <a:t>of </a:t>
              </a:r>
              <a:r>
                <a:rPr lang="en-US" sz="1600" b="0" i="0">
                  <a:solidFill>
                    <a:srgbClr val="41683C"/>
                  </a:solidFill>
                  <a:latin typeface="Cambria Math" panose="02040503050406030204" pitchFamily="18" charset="0"/>
                </a:rPr>
                <a:t>surgeries using the item(s) )</a:t>
              </a:r>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Fallback>
    </mc:AlternateContent>
    <xdr:clientData/>
  </xdr:twoCellAnchor>
  <xdr:twoCellAnchor>
    <xdr:from>
      <xdr:col>3</xdr:col>
      <xdr:colOff>619125</xdr:colOff>
      <xdr:row>74</xdr:row>
      <xdr:rowOff>76199</xdr:rowOff>
    </xdr:from>
    <xdr:to>
      <xdr:col>7</xdr:col>
      <xdr:colOff>1104900</xdr:colOff>
      <xdr:row>86</xdr:row>
      <xdr:rowOff>95249</xdr:rowOff>
    </xdr:to>
    <xdr:graphicFrame macro="">
      <xdr:nvGraphicFramePr>
        <xdr:cNvPr id="6" name="Chart 5">
          <a:extLst>
            <a:ext uri="{FF2B5EF4-FFF2-40B4-BE49-F238E27FC236}">
              <a16:creationId xmlns:a16="http://schemas.microsoft.com/office/drawing/2014/main" id="{31138D7F-CE79-4A78-8DA1-C8802E87DD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723900</xdr:colOff>
      <xdr:row>110</xdr:row>
      <xdr:rowOff>76199</xdr:rowOff>
    </xdr:from>
    <xdr:to>
      <xdr:col>7</xdr:col>
      <xdr:colOff>1104900</xdr:colOff>
      <xdr:row>122</xdr:row>
      <xdr:rowOff>95249</xdr:rowOff>
    </xdr:to>
    <xdr:graphicFrame macro="">
      <xdr:nvGraphicFramePr>
        <xdr:cNvPr id="7" name="Chart 6">
          <a:extLst>
            <a:ext uri="{FF2B5EF4-FFF2-40B4-BE49-F238E27FC236}">
              <a16:creationId xmlns:a16="http://schemas.microsoft.com/office/drawing/2014/main" id="{63F74DC0-724D-4B74-B1CC-F0B890649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619125</xdr:colOff>
      <xdr:row>92</xdr:row>
      <xdr:rowOff>76199</xdr:rowOff>
    </xdr:from>
    <xdr:to>
      <xdr:col>7</xdr:col>
      <xdr:colOff>1104900</xdr:colOff>
      <xdr:row>104</xdr:row>
      <xdr:rowOff>95249</xdr:rowOff>
    </xdr:to>
    <xdr:graphicFrame macro="">
      <xdr:nvGraphicFramePr>
        <xdr:cNvPr id="8" name="Chart 7">
          <a:extLst>
            <a:ext uri="{FF2B5EF4-FFF2-40B4-BE49-F238E27FC236}">
              <a16:creationId xmlns:a16="http://schemas.microsoft.com/office/drawing/2014/main" id="{E42232BE-10BE-4B18-B0ED-F70D72A36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723899</xdr:colOff>
      <xdr:row>6</xdr:row>
      <xdr:rowOff>87630</xdr:rowOff>
    </xdr:from>
    <xdr:to>
      <xdr:col>10</xdr:col>
      <xdr:colOff>914399</xdr:colOff>
      <xdr:row>19</xdr:row>
      <xdr:rowOff>0</xdr:rowOff>
    </xdr:to>
    <xdr:graphicFrame macro="">
      <xdr:nvGraphicFramePr>
        <xdr:cNvPr id="2" name="Chart 1">
          <a:extLst>
            <a:ext uri="{FF2B5EF4-FFF2-40B4-BE49-F238E27FC236}">
              <a16:creationId xmlns:a16="http://schemas.microsoft.com/office/drawing/2014/main" id="{2D2823A1-B81A-40D7-9C74-1143B38F4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135253</xdr:colOff>
      <xdr:row>3</xdr:row>
      <xdr:rowOff>419100</xdr:rowOff>
    </xdr:from>
    <xdr:to>
      <xdr:col>6</xdr:col>
      <xdr:colOff>933449</xdr:colOff>
      <xdr:row>3</xdr:row>
      <xdr:rowOff>971007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155B7B17-A467-4880-98FE-3E4F7777A950}"/>
                </a:ext>
              </a:extLst>
            </xdr:cNvPr>
            <xdr:cNvSpPr txBox="1"/>
          </xdr:nvSpPr>
          <xdr:spPr>
            <a:xfrm>
              <a:off x="611503" y="1085850"/>
              <a:ext cx="633222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low</m:t>
                      </m:r>
                      <m:r>
                        <a:rPr lang="en-CA" sz="1600" b="0" i="0">
                          <a:solidFill>
                            <a:srgbClr val="41683C"/>
                          </a:solidFill>
                          <a:latin typeface="Cambria Math" panose="02040503050406030204" pitchFamily="18" charset="0"/>
                        </a:rPr>
                        <m:t>−</m:t>
                      </m:r>
                      <m:r>
                        <m:rPr>
                          <m:sty m:val="p"/>
                        </m:rPr>
                        <a:rPr lang="en-CA" sz="1600" b="0" i="0">
                          <a:solidFill>
                            <a:srgbClr val="41683C"/>
                          </a:solidFill>
                          <a:latin typeface="Cambria Math" panose="02040503050406030204" pitchFamily="18" charset="0"/>
                        </a:rPr>
                        <m:t>risk</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surgical</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patients</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who</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had</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unnecessary</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tests</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low</m:t>
                      </m:r>
                      <m:r>
                        <a:rPr lang="en-CA" sz="1600" b="0" i="0">
                          <a:solidFill>
                            <a:srgbClr val="41683C"/>
                          </a:solidFill>
                          <a:latin typeface="Cambria Math" panose="02040503050406030204" pitchFamily="18" charset="0"/>
                        </a:rPr>
                        <m:t>−</m:t>
                      </m:r>
                      <m:r>
                        <m:rPr>
                          <m:sty m:val="p"/>
                        </m:rPr>
                        <a:rPr lang="en-CA" sz="1600" b="0" i="0">
                          <a:solidFill>
                            <a:srgbClr val="41683C"/>
                          </a:solidFill>
                          <a:latin typeface="Cambria Math" panose="02040503050406030204" pitchFamily="18" charset="0"/>
                        </a:rPr>
                        <m:t>risk</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surgical</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patients</m:t>
                      </m:r>
                    </m:den>
                  </m:f>
                </m:oMath>
              </a14:m>
              <a:r>
                <a:rPr lang="en-US" sz="1600" b="0" i="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155B7B17-A467-4880-98FE-3E4F7777A950}"/>
                </a:ext>
              </a:extLst>
            </xdr:cNvPr>
            <xdr:cNvSpPr txBox="1"/>
          </xdr:nvSpPr>
          <xdr:spPr>
            <a:xfrm>
              <a:off x="611503" y="1085850"/>
              <a:ext cx="633222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a:t>
              </a:r>
              <a:r>
                <a:rPr lang="en-CA" sz="1600" b="0" i="0">
                  <a:solidFill>
                    <a:srgbClr val="41683C"/>
                  </a:solidFill>
                  <a:latin typeface="Cambria Math" panose="02040503050406030204" pitchFamily="18" charset="0"/>
                </a:rPr>
                <a:t>low−risk surgical patients who had unnecessary tests</a:t>
              </a:r>
              <a:r>
                <a:rPr lang="en-US" sz="1600" b="0" i="0">
                  <a:solidFill>
                    <a:srgbClr val="41683C"/>
                  </a:solidFill>
                  <a:latin typeface="Cambria Math" panose="02040503050406030204" pitchFamily="18" charset="0"/>
                </a:rPr>
                <a:t>)/(</a:t>
              </a:r>
              <a:r>
                <a:rPr lang="en-CA" sz="1600" b="0" i="0">
                  <a:solidFill>
                    <a:srgbClr val="41683C"/>
                  </a:solidFill>
                  <a:latin typeface="Cambria Math" panose="02040503050406030204" pitchFamily="18" charset="0"/>
                </a:rPr>
                <a:t># of low−risk surgical patients</a:t>
              </a:r>
              <a:r>
                <a:rPr lang="en-US" sz="1600" b="0" i="0">
                  <a:solidFill>
                    <a:srgbClr val="41683C"/>
                  </a:solidFill>
                  <a:latin typeface="Cambria Math" panose="02040503050406030204" pitchFamily="18" charset="0"/>
                </a:rPr>
                <a:t>)</a:t>
              </a:r>
              <a:r>
                <a:rPr lang="en-US" sz="1600" b="0" i="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twoCellAnchor>
    <xdr:from>
      <xdr:col>6</xdr:col>
      <xdr:colOff>272415</xdr:colOff>
      <xdr:row>37</xdr:row>
      <xdr:rowOff>9525</xdr:rowOff>
    </xdr:from>
    <xdr:to>
      <xdr:col>11</xdr:col>
      <xdr:colOff>146682</xdr:colOff>
      <xdr:row>55</xdr:row>
      <xdr:rowOff>26670</xdr:rowOff>
    </xdr:to>
    <xdr:graphicFrame macro="">
      <xdr:nvGraphicFramePr>
        <xdr:cNvPr id="4" name="Chart 3">
          <a:extLst>
            <a:ext uri="{FF2B5EF4-FFF2-40B4-BE49-F238E27FC236}">
              <a16:creationId xmlns:a16="http://schemas.microsoft.com/office/drawing/2014/main" id="{BCAB050D-9205-45E8-BF4E-6E2A43AC9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662940</xdr:colOff>
      <xdr:row>6</xdr:row>
      <xdr:rowOff>95250</xdr:rowOff>
    </xdr:from>
    <xdr:to>
      <xdr:col>10</xdr:col>
      <xdr:colOff>914399</xdr:colOff>
      <xdr:row>19</xdr:row>
      <xdr:rowOff>0</xdr:rowOff>
    </xdr:to>
    <xdr:graphicFrame macro="">
      <xdr:nvGraphicFramePr>
        <xdr:cNvPr id="2" name="Chart 1">
          <a:extLst>
            <a:ext uri="{FF2B5EF4-FFF2-40B4-BE49-F238E27FC236}">
              <a16:creationId xmlns:a16="http://schemas.microsoft.com/office/drawing/2014/main" id="{5D3B4B93-16FB-469D-AABE-9A9256A350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123823</xdr:colOff>
      <xdr:row>3</xdr:row>
      <xdr:rowOff>762000</xdr:rowOff>
    </xdr:from>
    <xdr:to>
      <xdr:col>6</xdr:col>
      <xdr:colOff>931544</xdr:colOff>
      <xdr:row>3</xdr:row>
      <xdr:rowOff>1313907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58AF728E-22B8-4C99-B016-B4EE506FE202}"/>
                </a:ext>
              </a:extLst>
            </xdr:cNvPr>
            <xdr:cNvSpPr txBox="1"/>
          </xdr:nvSpPr>
          <xdr:spPr>
            <a:xfrm>
              <a:off x="600073" y="1428750"/>
              <a:ext cx="6341746"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eligible</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procedures</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completed</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under</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regional</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anesthesia</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eligible</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procedures</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completed</m:t>
                      </m:r>
                    </m:den>
                  </m:f>
                </m:oMath>
              </a14:m>
              <a:r>
                <a:rPr lang="en-US" sz="1600" b="0" i="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58AF728E-22B8-4C99-B016-B4EE506FE202}"/>
                </a:ext>
              </a:extLst>
            </xdr:cNvPr>
            <xdr:cNvSpPr txBox="1"/>
          </xdr:nvSpPr>
          <xdr:spPr>
            <a:xfrm>
              <a:off x="600073" y="1428750"/>
              <a:ext cx="6341746"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a:t>
              </a:r>
              <a:r>
                <a:rPr lang="en-CA" sz="1600" b="0" i="0">
                  <a:solidFill>
                    <a:srgbClr val="41683C"/>
                  </a:solidFill>
                  <a:latin typeface="Cambria Math" panose="02040503050406030204" pitchFamily="18" charset="0"/>
                </a:rPr>
                <a:t> eligible procedures completed under regional anesthesia</a:t>
              </a:r>
              <a:r>
                <a:rPr lang="en-US" sz="1600" b="0" i="0">
                  <a:solidFill>
                    <a:srgbClr val="41683C"/>
                  </a:solidFill>
                  <a:latin typeface="Cambria Math" panose="02040503050406030204" pitchFamily="18" charset="0"/>
                </a:rPr>
                <a:t>)/(</a:t>
              </a:r>
              <a:r>
                <a:rPr lang="en-CA" sz="1600" b="0" i="0">
                  <a:solidFill>
                    <a:srgbClr val="41683C"/>
                  </a:solidFill>
                  <a:latin typeface="Cambria Math" panose="02040503050406030204" pitchFamily="18" charset="0"/>
                </a:rPr>
                <a:t># of eligible procedures completed</a:t>
              </a:r>
              <a:r>
                <a:rPr lang="en-US" sz="1600" b="0" i="0">
                  <a:solidFill>
                    <a:srgbClr val="41683C"/>
                  </a:solidFill>
                  <a:latin typeface="Cambria Math" panose="02040503050406030204" pitchFamily="18" charset="0"/>
                </a:rPr>
                <a:t>)</a:t>
              </a:r>
              <a:r>
                <a:rPr lang="en-US" sz="1600" b="0" i="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twoCellAnchor>
    <xdr:from>
      <xdr:col>3</xdr:col>
      <xdr:colOff>638175</xdr:colOff>
      <xdr:row>42</xdr:row>
      <xdr:rowOff>167640</xdr:rowOff>
    </xdr:from>
    <xdr:to>
      <xdr:col>10</xdr:col>
      <xdr:colOff>369570</xdr:colOff>
      <xdr:row>58</xdr:row>
      <xdr:rowOff>171450</xdr:rowOff>
    </xdr:to>
    <xdr:graphicFrame macro="">
      <xdr:nvGraphicFramePr>
        <xdr:cNvPr id="6" name="Chart 5">
          <a:extLst>
            <a:ext uri="{FF2B5EF4-FFF2-40B4-BE49-F238E27FC236}">
              <a16:creationId xmlns:a16="http://schemas.microsoft.com/office/drawing/2014/main" id="{2F36C312-53FD-42D1-9103-1DAB29E31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685799</xdr:colOff>
      <xdr:row>6</xdr:row>
      <xdr:rowOff>81915</xdr:rowOff>
    </xdr:from>
    <xdr:to>
      <xdr:col>10</xdr:col>
      <xdr:colOff>876299</xdr:colOff>
      <xdr:row>18</xdr:row>
      <xdr:rowOff>171450</xdr:rowOff>
    </xdr:to>
    <xdr:graphicFrame macro="">
      <xdr:nvGraphicFramePr>
        <xdr:cNvPr id="2" name="Chart 1">
          <a:extLst>
            <a:ext uri="{FF2B5EF4-FFF2-40B4-BE49-F238E27FC236}">
              <a16:creationId xmlns:a16="http://schemas.microsoft.com/office/drawing/2014/main" id="{72881A42-7D11-4BBA-9D14-07AF6953C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131444</xdr:colOff>
      <xdr:row>3</xdr:row>
      <xdr:rowOff>419100</xdr:rowOff>
    </xdr:from>
    <xdr:to>
      <xdr:col>8</xdr:col>
      <xdr:colOff>19050</xdr:colOff>
      <xdr:row>3</xdr:row>
      <xdr:rowOff>974817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168E2EC4-6BB4-4D87-A1BC-3B17E99EF484}"/>
                </a:ext>
              </a:extLst>
            </xdr:cNvPr>
            <xdr:cNvSpPr txBox="1"/>
          </xdr:nvSpPr>
          <xdr:spPr>
            <a:xfrm>
              <a:off x="611504" y="1085850"/>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patients</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who</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experience</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an</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adverse</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event</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surgical</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patients</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168E2EC4-6BB4-4D87-A1BC-3B17E99EF484}"/>
                </a:ext>
              </a:extLst>
            </xdr:cNvPr>
            <xdr:cNvSpPr txBox="1"/>
          </xdr:nvSpPr>
          <xdr:spPr>
            <a:xfrm>
              <a:off x="611504" y="1085850"/>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a:t>
              </a:r>
              <a:r>
                <a:rPr lang="en-CA" sz="1600" b="0" i="0">
                  <a:solidFill>
                    <a:srgbClr val="41683C"/>
                  </a:solidFill>
                  <a:latin typeface="Cambria Math" panose="02040503050406030204" pitchFamily="18" charset="0"/>
                </a:rPr>
                <a:t>patients who experience an adverse event</a:t>
              </a:r>
              <a:r>
                <a:rPr lang="en-US" sz="1600" b="0" i="0">
                  <a:solidFill>
                    <a:srgbClr val="41683C"/>
                  </a:solidFill>
                  <a:latin typeface="Cambria Math" panose="02040503050406030204" pitchFamily="18" charset="0"/>
                </a:rPr>
                <a:t>)/(</a:t>
              </a:r>
              <a:r>
                <a:rPr lang="en-CA" sz="1600" b="0" i="0">
                  <a:solidFill>
                    <a:srgbClr val="41683C"/>
                  </a:solidFill>
                  <a:latin typeface="Cambria Math" panose="02040503050406030204" pitchFamily="18" charset="0"/>
                </a:rPr>
                <a:t># of surgical patients</a:t>
              </a:r>
              <a:r>
                <a:rPr lang="en-US" sz="1600" b="0" i="0">
                  <a:solidFill>
                    <a:srgbClr val="41683C"/>
                  </a:solidFill>
                  <a:latin typeface="Cambria Math" panose="02040503050406030204" pitchFamily="18" charset="0"/>
                </a:rPr>
                <a:t>)</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5</xdr:col>
      <xdr:colOff>685799</xdr:colOff>
      <xdr:row>6</xdr:row>
      <xdr:rowOff>81915</xdr:rowOff>
    </xdr:from>
    <xdr:to>
      <xdr:col>10</xdr:col>
      <xdr:colOff>876299</xdr:colOff>
      <xdr:row>18</xdr:row>
      <xdr:rowOff>171450</xdr:rowOff>
    </xdr:to>
    <xdr:graphicFrame macro="">
      <xdr:nvGraphicFramePr>
        <xdr:cNvPr id="2" name="Chart 1">
          <a:extLst>
            <a:ext uri="{FF2B5EF4-FFF2-40B4-BE49-F238E27FC236}">
              <a16:creationId xmlns:a16="http://schemas.microsoft.com/office/drawing/2014/main" id="{37FEC6D6-50D4-44BF-9F1A-6E0FC5D38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251459</xdr:colOff>
      <xdr:row>3</xdr:row>
      <xdr:rowOff>548640</xdr:rowOff>
    </xdr:from>
    <xdr:to>
      <xdr:col>8</xdr:col>
      <xdr:colOff>131445</xdr:colOff>
      <xdr:row>3</xdr:row>
      <xdr:rowOff>1108167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BA1D78F6-C791-4DBB-B498-7398702BDE70}"/>
                </a:ext>
              </a:extLst>
            </xdr:cNvPr>
            <xdr:cNvSpPr txBox="1"/>
          </xdr:nvSpPr>
          <xdr:spPr>
            <a:xfrm>
              <a:off x="727709" y="1205865"/>
              <a:ext cx="6899911" cy="559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patients</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who</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received</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an</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eligible</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procedure</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and</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bypassed</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PACU</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patients</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who</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had</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an</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eligible</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procedure</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BA1D78F6-C791-4DBB-B498-7398702BDE70}"/>
                </a:ext>
              </a:extLst>
            </xdr:cNvPr>
            <xdr:cNvSpPr txBox="1"/>
          </xdr:nvSpPr>
          <xdr:spPr>
            <a:xfrm>
              <a:off x="727709" y="1205865"/>
              <a:ext cx="6899911" cy="559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a:t>
              </a:r>
              <a:r>
                <a:rPr lang="en-CA" sz="1600" b="0" i="0">
                  <a:solidFill>
                    <a:srgbClr val="41683C"/>
                  </a:solidFill>
                  <a:latin typeface="Cambria Math" panose="02040503050406030204" pitchFamily="18" charset="0"/>
                </a:rPr>
                <a:t>patients who received an eligible proced</a:t>
              </a:r>
              <a:r>
                <a:rPr lang="en-US" sz="1600" b="0" i="0">
                  <a:solidFill>
                    <a:srgbClr val="41683C"/>
                  </a:solidFill>
                  <a:latin typeface="Cambria Math" panose="02040503050406030204" pitchFamily="18" charset="0"/>
                </a:rPr>
                <a:t>u</a:t>
              </a:r>
              <a:r>
                <a:rPr lang="en-CA" sz="1600" b="0" i="0">
                  <a:solidFill>
                    <a:srgbClr val="41683C"/>
                  </a:solidFill>
                  <a:latin typeface="Cambria Math" panose="02040503050406030204" pitchFamily="18" charset="0"/>
                </a:rPr>
                <a:t>re and bypassed PACU</a:t>
              </a:r>
              <a:r>
                <a:rPr lang="en-US" sz="1600" b="0" i="0">
                  <a:solidFill>
                    <a:srgbClr val="41683C"/>
                  </a:solidFill>
                  <a:latin typeface="Cambria Math" panose="02040503050406030204" pitchFamily="18" charset="0"/>
                </a:rPr>
                <a:t>)/(</a:t>
              </a:r>
              <a:r>
                <a:rPr lang="en-CA" sz="1600" b="0" i="0">
                  <a:solidFill>
                    <a:srgbClr val="41683C"/>
                  </a:solidFill>
                  <a:latin typeface="Cambria Math" panose="02040503050406030204" pitchFamily="18" charset="0"/>
                </a:rPr>
                <a:t># of patients who had an eligible procedure</a:t>
              </a:r>
              <a:r>
                <a:rPr lang="en-US" sz="1600" b="0" i="0">
                  <a:solidFill>
                    <a:srgbClr val="41683C"/>
                  </a:solidFill>
                  <a:latin typeface="Cambria Math" panose="02040503050406030204" pitchFamily="18" charset="0"/>
                </a:rPr>
                <a:t>)</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5</xdr:col>
      <xdr:colOff>685799</xdr:colOff>
      <xdr:row>6</xdr:row>
      <xdr:rowOff>81915</xdr:rowOff>
    </xdr:from>
    <xdr:to>
      <xdr:col>10</xdr:col>
      <xdr:colOff>876299</xdr:colOff>
      <xdr:row>18</xdr:row>
      <xdr:rowOff>171450</xdr:rowOff>
    </xdr:to>
    <xdr:graphicFrame macro="">
      <xdr:nvGraphicFramePr>
        <xdr:cNvPr id="2" name="Chart 1">
          <a:extLst>
            <a:ext uri="{FF2B5EF4-FFF2-40B4-BE49-F238E27FC236}">
              <a16:creationId xmlns:a16="http://schemas.microsoft.com/office/drawing/2014/main" id="{6A291EE4-803A-4BFD-B748-BA89E2AD4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240029</xdr:colOff>
      <xdr:row>3</xdr:row>
      <xdr:rowOff>445770</xdr:rowOff>
    </xdr:from>
    <xdr:to>
      <xdr:col>8</xdr:col>
      <xdr:colOff>120015</xdr:colOff>
      <xdr:row>3</xdr:row>
      <xdr:rowOff>1001487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8696099A-76B0-4735-BB56-A715CDF53D4C}"/>
                </a:ext>
              </a:extLst>
            </xdr:cNvPr>
            <xdr:cNvSpPr txBox="1"/>
          </xdr:nvSpPr>
          <xdr:spPr>
            <a:xfrm>
              <a:off x="718184" y="1101090"/>
              <a:ext cx="6899911" cy="559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m:rPr>
                          <m:sty m:val="p"/>
                        </m:rPr>
                        <a:rPr lang="en-US" sz="1600" b="0" i="0">
                          <a:solidFill>
                            <a:srgbClr val="41683C"/>
                          </a:solidFill>
                          <a:latin typeface="Cambria Math" panose="02040503050406030204" pitchFamily="18" charset="0"/>
                        </a:rPr>
                        <m:t>Sum</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time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spent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for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all</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who</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had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eligible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procedures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min</m:t>
                      </m:r>
                      <m:r>
                        <a:rPr lang="en-US" sz="1600" b="0" i="0">
                          <a:solidFill>
                            <a:srgbClr val="41683C"/>
                          </a:solidFill>
                          <a:latin typeface="Cambria Math" panose="02040503050406030204" pitchFamily="18" charset="0"/>
                        </a:rPr>
                        <m:t>)</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patients</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who</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had</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an</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eligible</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procedure</m:t>
                      </m:r>
                    </m:den>
                  </m:f>
                </m:oMath>
              </a14:m>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8696099A-76B0-4735-BB56-A715CDF53D4C}"/>
                </a:ext>
              </a:extLst>
            </xdr:cNvPr>
            <xdr:cNvSpPr txBox="1"/>
          </xdr:nvSpPr>
          <xdr:spPr>
            <a:xfrm>
              <a:off x="718184" y="1101090"/>
              <a:ext cx="6899911" cy="559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(Sum of time spent in OR for all patients who had eligible procedures (min))/(</a:t>
              </a:r>
              <a:r>
                <a:rPr lang="en-CA" sz="1600" b="0" i="0">
                  <a:solidFill>
                    <a:srgbClr val="41683C"/>
                  </a:solidFill>
                  <a:latin typeface="Cambria Math" panose="02040503050406030204" pitchFamily="18" charset="0"/>
                </a:rPr>
                <a:t># of patients who had an eligible procedure</a:t>
              </a:r>
              <a:r>
                <a:rPr lang="en-US" sz="1600" b="0" i="0">
                  <a:solidFill>
                    <a:srgbClr val="41683C"/>
                  </a:solidFill>
                  <a:latin typeface="Cambria Math" panose="02040503050406030204" pitchFamily="18" charset="0"/>
                </a:rPr>
                <a:t>)</a:t>
              </a:r>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5</xdr:col>
      <xdr:colOff>723899</xdr:colOff>
      <xdr:row>6</xdr:row>
      <xdr:rowOff>87630</xdr:rowOff>
    </xdr:from>
    <xdr:to>
      <xdr:col>10</xdr:col>
      <xdr:colOff>914399</xdr:colOff>
      <xdr:row>19</xdr:row>
      <xdr:rowOff>0</xdr:rowOff>
    </xdr:to>
    <xdr:graphicFrame macro="">
      <xdr:nvGraphicFramePr>
        <xdr:cNvPr id="2" name="Chart 1">
          <a:extLst>
            <a:ext uri="{FF2B5EF4-FFF2-40B4-BE49-F238E27FC236}">
              <a16:creationId xmlns:a16="http://schemas.microsoft.com/office/drawing/2014/main" id="{72763363-A47E-4C93-ACA7-6F148D168D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104774</xdr:colOff>
      <xdr:row>3</xdr:row>
      <xdr:rowOff>495300</xdr:rowOff>
    </xdr:from>
    <xdr:to>
      <xdr:col>6</xdr:col>
      <xdr:colOff>28575</xdr:colOff>
      <xdr:row>3</xdr:row>
      <xdr:rowOff>1051017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4D5310D9-E7EA-4C57-9F63-38A1A81BC132}"/>
                </a:ext>
              </a:extLst>
            </xdr:cNvPr>
            <xdr:cNvSpPr txBox="1"/>
          </xdr:nvSpPr>
          <xdr:spPr>
            <a:xfrm>
              <a:off x="581024" y="1162050"/>
              <a:ext cx="5457826" cy="55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m:rPr>
                          <m:sty m:val="p"/>
                        </m:rPr>
                        <a:rPr lang="en-CA" sz="1600" b="0" i="0">
                          <a:solidFill>
                            <a:srgbClr val="41683C"/>
                          </a:solidFill>
                          <a:latin typeface="Cambria Math" panose="02040503050406030204" pitchFamily="18" charset="0"/>
                        </a:rPr>
                        <m:t>Sum</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pain</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scales</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from</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patients</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receiving</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eligible</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procedures</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who</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had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eligible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procedure</m:t>
                      </m:r>
                    </m:den>
                  </m:f>
                </m:oMath>
              </a14:m>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4D5310D9-E7EA-4C57-9F63-38A1A81BC132}"/>
                </a:ext>
              </a:extLst>
            </xdr:cNvPr>
            <xdr:cNvSpPr txBox="1"/>
          </xdr:nvSpPr>
          <xdr:spPr>
            <a:xfrm>
              <a:off x="581024" y="1162050"/>
              <a:ext cx="5457826" cy="55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a:t>
              </a:r>
              <a:r>
                <a:rPr lang="en-CA" sz="1600" b="0" i="0">
                  <a:solidFill>
                    <a:srgbClr val="41683C"/>
                  </a:solidFill>
                  <a:latin typeface="Cambria Math" panose="02040503050406030204" pitchFamily="18" charset="0"/>
                </a:rPr>
                <a:t>Sum of pain scales from patients receiving eligible proced</a:t>
              </a:r>
              <a:r>
                <a:rPr lang="en-US" sz="1600" b="0" i="0">
                  <a:solidFill>
                    <a:srgbClr val="41683C"/>
                  </a:solidFill>
                  <a:latin typeface="Cambria Math" panose="02040503050406030204" pitchFamily="18" charset="0"/>
                </a:rPr>
                <a:t>u</a:t>
              </a:r>
              <a:r>
                <a:rPr lang="en-CA" sz="1600" b="0" i="0">
                  <a:solidFill>
                    <a:srgbClr val="41683C"/>
                  </a:solidFill>
                  <a:latin typeface="Cambria Math" panose="02040503050406030204" pitchFamily="18" charset="0"/>
                </a:rPr>
                <a:t>res</a:t>
              </a:r>
              <a:r>
                <a:rPr lang="en-US" sz="1600" b="0" i="0">
                  <a:solidFill>
                    <a:srgbClr val="41683C"/>
                  </a:solidFill>
                  <a:latin typeface="Cambria Math" panose="02040503050406030204" pitchFamily="18" charset="0"/>
                </a:rPr>
                <a:t>)/(</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patients </a:t>
              </a:r>
              <a:r>
                <a:rPr lang="en-CA" sz="1600" b="0" i="0">
                  <a:solidFill>
                    <a:srgbClr val="41683C"/>
                  </a:solidFill>
                  <a:latin typeface="Cambria Math" panose="02040503050406030204" pitchFamily="18" charset="0"/>
                </a:rPr>
                <a:t>who </a:t>
              </a:r>
              <a:r>
                <a:rPr lang="en-US" sz="1600" b="0" i="0">
                  <a:solidFill>
                    <a:srgbClr val="41683C"/>
                  </a:solidFill>
                  <a:latin typeface="Cambria Math" panose="02040503050406030204" pitchFamily="18" charset="0"/>
                </a:rPr>
                <a:t>had an eligible procedure)</a:t>
              </a:r>
              <a:r>
                <a:rPr lang="en-US" sz="1400" b="0" i="0">
                  <a:solidFill>
                    <a:srgbClr val="41683C"/>
                  </a:solidFill>
                  <a:latin typeface="+mn-lt"/>
                  <a:cs typeface="Poppins" panose="00000500000000000000" pitchFamily="2" charset="0"/>
                </a:rPr>
                <a:t>    </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5</xdr:col>
      <xdr:colOff>761999</xdr:colOff>
      <xdr:row>5</xdr:row>
      <xdr:rowOff>76200</xdr:rowOff>
    </xdr:from>
    <xdr:to>
      <xdr:col>11</xdr:col>
      <xdr:colOff>19049</xdr:colOff>
      <xdr:row>19</xdr:row>
      <xdr:rowOff>17145</xdr:rowOff>
    </xdr:to>
    <xdr:graphicFrame macro="">
      <xdr:nvGraphicFramePr>
        <xdr:cNvPr id="2" name="Chart 1">
          <a:extLst>
            <a:ext uri="{FF2B5EF4-FFF2-40B4-BE49-F238E27FC236}">
              <a16:creationId xmlns:a16="http://schemas.microsoft.com/office/drawing/2014/main" id="{079D4DF8-8154-4450-8EF9-6D56B52F61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160019</xdr:colOff>
      <xdr:row>3</xdr:row>
      <xdr:rowOff>325755</xdr:rowOff>
    </xdr:from>
    <xdr:to>
      <xdr:col>8</xdr:col>
      <xdr:colOff>47625</xdr:colOff>
      <xdr:row>3</xdr:row>
      <xdr:rowOff>873852</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7A925A17-9AEF-42E0-B428-5E3D0EC550F9}"/>
                </a:ext>
              </a:extLst>
            </xdr:cNvPr>
            <xdr:cNvSpPr txBox="1"/>
          </xdr:nvSpPr>
          <xdr:spPr>
            <a:xfrm>
              <a:off x="636269" y="982980"/>
              <a:ext cx="6907531" cy="548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who</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report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m:t>
                      </m:r>
                      <m:r>
                        <a:rPr lang="en-US" sz="1600" b="0" i="0">
                          <a:solidFill>
                            <a:srgbClr val="41683C"/>
                          </a:solidFill>
                          <a:latin typeface="Cambria Math" panose="02040503050406030204" pitchFamily="18" charset="0"/>
                        </a:rPr>
                        <m:t> 9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10 </m:t>
                      </m:r>
                      <m:r>
                        <m:rPr>
                          <m:sty m:val="p"/>
                        </m:rPr>
                        <a:rPr lang="en-US" sz="1600" b="0" i="0">
                          <a:solidFill>
                            <a:srgbClr val="41683C"/>
                          </a:solidFill>
                          <a:latin typeface="Cambria Math" panose="02040503050406030204" pitchFamily="18" charset="0"/>
                        </a:rPr>
                        <m:t>with</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their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overall</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experience</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surveyed</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7A925A17-9AEF-42E0-B428-5E3D0EC550F9}"/>
                </a:ext>
              </a:extLst>
            </xdr:cNvPr>
            <xdr:cNvSpPr txBox="1"/>
          </xdr:nvSpPr>
          <xdr:spPr>
            <a:xfrm>
              <a:off x="636269" y="982980"/>
              <a:ext cx="6907531" cy="548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patients who report a 9 or 10 with their overall experience)/(</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patients surveyed)</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xdr:from>
      <xdr:col>5</xdr:col>
      <xdr:colOff>761999</xdr:colOff>
      <xdr:row>5</xdr:row>
      <xdr:rowOff>76200</xdr:rowOff>
    </xdr:from>
    <xdr:to>
      <xdr:col>11</xdr:col>
      <xdr:colOff>19049</xdr:colOff>
      <xdr:row>19</xdr:row>
      <xdr:rowOff>17145</xdr:rowOff>
    </xdr:to>
    <xdr:graphicFrame macro="">
      <xdr:nvGraphicFramePr>
        <xdr:cNvPr id="2" name="Chart 1">
          <a:extLst>
            <a:ext uri="{FF2B5EF4-FFF2-40B4-BE49-F238E27FC236}">
              <a16:creationId xmlns:a16="http://schemas.microsoft.com/office/drawing/2014/main" id="{80A9591E-0655-4735-9DD6-87C009BE87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152399</xdr:colOff>
      <xdr:row>3</xdr:row>
      <xdr:rowOff>257175</xdr:rowOff>
    </xdr:from>
    <xdr:to>
      <xdr:col>8</xdr:col>
      <xdr:colOff>30480</xdr:colOff>
      <xdr:row>3</xdr:row>
      <xdr:rowOff>812892</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40E042E-FBB1-44E5-9278-2ED1A20F26C7}"/>
                </a:ext>
              </a:extLst>
            </xdr:cNvPr>
            <xdr:cNvSpPr txBox="1"/>
          </xdr:nvSpPr>
          <xdr:spPr>
            <a:xfrm>
              <a:off x="628649" y="914400"/>
              <a:ext cx="6898006" cy="55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providers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staff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that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indicate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positive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perceptions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care</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providers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staff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surveyed</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F40E042E-FBB1-44E5-9278-2ED1A20F26C7}"/>
                </a:ext>
              </a:extLst>
            </xdr:cNvPr>
            <xdr:cNvSpPr txBox="1"/>
          </xdr:nvSpPr>
          <xdr:spPr>
            <a:xfrm>
              <a:off x="628649" y="914400"/>
              <a:ext cx="6898006" cy="55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providers or staff that indicate positive perceptions of care)/(</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providers or staff surveyed)</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4EF1E2-240A-42AC-ADCE-B82793E843A1}" name="Products4" displayName="Products4" ref="B6:I10" totalsRowShown="0" headerRowDxfId="77" dataDxfId="75" headerRowBorderDxfId="76" tableBorderDxfId="74" totalsRowBorderDxfId="73">
  <autoFilter ref="B6:I10" xr:uid="{65BC719B-C7A7-4B9E-BEC0-B18FA9DA7582}"/>
  <tableColumns count="8">
    <tableColumn id="1" xr3:uid="{EA05EEC1-CC57-4030-86F2-DA6FE5448C12}" name="Product Name" dataDxfId="72"/>
    <tableColumn id="2" xr3:uid="{1D890776-D6ED-4EDA-913F-CB6B9F2BB669}" name="Disposable or Reusable" dataDxfId="71" dataCellStyle="Comma"/>
    <tableColumn id="3" xr3:uid="{4101712F-82B3-4166-B19C-DF7C15A3DCC4}" name="Cost per single item ($)" dataDxfId="70" dataCellStyle="Currency"/>
    <tableColumn id="8" xr3:uid="{297FB737-F02C-4146-9155-BFF7046E2D3B}" name="Weight of single item (g)" dataDxfId="69" dataCellStyle="Comma"/>
    <tableColumn id="9" xr3:uid="{A10F47D1-988C-43CE-A15E-915155BC8D09}" name="Carbon footprint per item (g CO2e)" dataDxfId="68" dataCellStyle="Comma"/>
    <tableColumn id="10" xr3:uid="{EF1E8560-9599-4C15-8F5E-5AD219A38994}" name="Number of uses per item" dataDxfId="67" dataCellStyle="Currency"/>
    <tableColumn id="4" xr3:uid="{1AED67C8-3745-4006-8D0B-78D3E83EB853}" name="Number of items per surgery" dataDxfId="66"/>
    <tableColumn id="5" xr3:uid="{42EF3940-C6C9-4C24-828A-84A40E3443A8}" name="Carbon footprint per surgery (g CO2e)" dataDxfId="65" dataCellStyle="Comma">
      <calculatedColumnFormula>IF(ISBLANK(H7),"",(Products4[[#This Row],[Carbon footprint per item (g CO2e)]]*Products4[[#This Row],[Number of items per surgery]]/(Products4[[#This Row],[Number of uses per item]])))</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A890A8-C94F-4FEF-8474-30AD93BEFA9A}" name="Products47" displayName="Products47" ref="B6:I10" totalsRowShown="0" headerRowDxfId="64" dataDxfId="62" headerRowBorderDxfId="63" tableBorderDxfId="61" totalsRowBorderDxfId="60">
  <autoFilter ref="B6:I10" xr:uid="{65BC719B-C7A7-4B9E-BEC0-B18FA9DA7582}"/>
  <tableColumns count="8">
    <tableColumn id="1" xr3:uid="{12A03065-0CAF-41CC-A51A-DC0E7AAFA4F3}" name="Product Name" dataDxfId="59"/>
    <tableColumn id="2" xr3:uid="{2B74E415-8A68-4CDC-8F9A-322CB32403AE}" name="Disposable or Reusable" dataDxfId="58" dataCellStyle="Comma"/>
    <tableColumn id="3" xr3:uid="{11D4C8AB-4FCC-4745-82FB-5261993D7CCE}" name="Cost per single item ($)" dataDxfId="57" dataCellStyle="Currency"/>
    <tableColumn id="8" xr3:uid="{9E677275-470A-431A-BAD0-0ECB5ABE6624}" name="Weight of single item (g)" dataDxfId="56" dataCellStyle="Comma"/>
    <tableColumn id="9" xr3:uid="{EC4B2F08-68CE-4819-81CA-D7C8CA2C85A3}" name="Carbon footprint per item (g CO2e)" dataDxfId="55" dataCellStyle="Comma"/>
    <tableColumn id="10" xr3:uid="{E863349C-C6C9-4DB5-AF97-228003B94061}" name="Number of uses per item" dataDxfId="54" dataCellStyle="Currency"/>
    <tableColumn id="4" xr3:uid="{E69739E0-3A05-46AE-85ED-1B2AC25F6ABA}" name="Number of items per surgery" dataDxfId="53"/>
    <tableColumn id="5" xr3:uid="{A14C544E-F88D-4C6C-AFBC-36ABB6EEF6E7}" name="Carbon footprint per surgery (g CO2e)" dataDxfId="52" dataCellStyle="Comma">
      <calculatedColumnFormula>IF(ISBLANK(H7),"",(Products47[[#This Row],[Carbon footprint per item (g CO2e)]]*Products47[[#This Row],[Number of items per surgery]]/(Products47[[#This Row],[Number of uses per item]])))</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A6391A-3A8B-423E-8A30-BBA6ED750E72}" name="Tests" displayName="Tests" ref="C7:E17" totalsRowShown="0" headerRowDxfId="51" headerRowBorderDxfId="50" tableBorderDxfId="49" totalsRowBorderDxfId="48">
  <autoFilter ref="C7:E17" xr:uid="{DCA6391A-3A8B-423E-8A30-BBA6ED750E72}"/>
  <sortState xmlns:xlrd2="http://schemas.microsoft.com/office/spreadsheetml/2017/richdata2" ref="C8:E17">
    <sortCondition ref="D7:D17"/>
  </sortState>
  <tableColumns count="3">
    <tableColumn id="1" xr3:uid="{645625D1-B613-4415-89A4-9F18613A6540}" name="Test (2,3)" dataDxfId="47"/>
    <tableColumn id="2" xr3:uid="{4B4D60EA-74C0-40C9-8D29-94ACEE66B81B}" name="Carbon Footprint per Test (gCO2e)" dataDxfId="46" dataCellStyle="Comma"/>
    <tableColumn id="3" xr3:uid="{210F1E14-6CA6-439A-9FED-01E73D213815}" name="Notes" dataDxfId="45" dataCellStyle="Comma"/>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318BFE-2797-482D-A40D-AC801630861C}" name="Table2" displayName="Table2" ref="C2:J5" totalsRowShown="0" headerRowDxfId="44" headerRowBorderDxfId="43" tableBorderDxfId="42" totalsRowBorderDxfId="41">
  <autoFilter ref="C2:J5" xr:uid="{DC318BFE-2797-482D-A40D-AC801630861C}"/>
  <tableColumns count="8">
    <tableColumn id="1" xr3:uid="{F3696585-1B7D-47A7-857C-B04F235702CE}" name="Gas (1)" dataDxfId="40" totalsRowDxfId="39"/>
    <tableColumn id="2" xr3:uid="{4CD5AEE5-D753-4535-9CFC-5FA39B9D170B}" name="Bottle Size (mL)" dataDxfId="38" totalsRowDxfId="37" dataCellStyle="Comma"/>
    <tableColumn id="3" xr3:uid="{F2679616-41CF-4EA2-80BF-0DD46E134A9B}" name="Approx. mL used per hour (based on based on 0.5L fresh gas flow rate)" dataDxfId="36" totalsRowDxfId="35"/>
    <tableColumn id="4" xr3:uid="{AC255257-E534-4794-B77D-A8B4016FA831}" name="Carbon Footprint per Hour (gCO2e / hr)" dataDxfId="34" totalsRowDxfId="33" dataCellStyle="Comma"/>
    <tableColumn id="5" xr3:uid="{592C9344-A924-4887-BD34-80C694111109}" name="Carbon Footprint per bottle (based on hourly use)" dataDxfId="32" totalsRowDxfId="31" dataCellStyle="Comma">
      <calculatedColumnFormula>(Table2[[#This Row],[Bottle Size (mL)]]/Table2[[#This Row],[Approx. mL used per hour (based on based on 0.5L fresh gas flow rate)]])*Table2[[#This Row],[Carbon Footprint per Hour (gCO2e / hr)]]</calculatedColumnFormula>
    </tableColumn>
    <tableColumn id="6" xr3:uid="{7B7A2512-ED94-4410-A3C7-2D61DFC6C606}" name="Global Warming Potential (GWP 100)" dataDxfId="30"/>
    <tableColumn id="7" xr3:uid="{CE04EB12-35A6-4EF1-9557-83217CB2F962}" name="Density (g/ml) (8)" dataDxfId="29"/>
    <tableColumn id="8" xr3:uid="{CD467DC8-7CA8-40A9-9435-2E3926D3C8E8}" name="Carbon Footprint per bottle (gCO2e)" dataDxfId="28">
      <calculatedColumnFormula>Table2[[#This Row],[Bottle Size (mL)]]*Table2[[#This Row],[Global Warming Potential (GWP 100)]]*Table2[[#This Row],[Density (g/ml) (8)]]</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01CA686-75ED-4F53-AEE4-38A1B450180C}" name="Procedures" displayName="Procedures" ref="B20:F52" totalsRowShown="0" headerRowDxfId="27" headerRowBorderDxfId="26" tableBorderDxfId="25" totalsRowBorderDxfId="24">
  <autoFilter ref="B20:F52" xr:uid="{401CA686-75ED-4F53-AEE4-38A1B450180C}"/>
  <sortState xmlns:xlrd2="http://schemas.microsoft.com/office/spreadsheetml/2017/richdata2" ref="B21:F52">
    <sortCondition ref="C20:C52"/>
  </sortState>
  <tableColumns count="5">
    <tableColumn id="1" xr3:uid="{3CFDD000-2DA6-4920-B3E2-8E2143EE9C42}" name="Full Name" dataDxfId="23">
      <calculatedColumnFormula>CONCATENATE(C21, " ", Procedures[[#This Row],[Type of Anesthesia]])</calculatedColumnFormula>
    </tableColumn>
    <tableColumn id="2" xr3:uid="{7C7CA656-181C-450D-A5F4-EA9A5C2F9F14}" name="Type of Procedure" dataDxfId="22" dataCellStyle="Comma"/>
    <tableColumn id="5" xr3:uid="{E72E729C-E529-4D8D-B3DA-9B66D48EB98F}" name="Type of Anesthesia" dataDxfId="21" dataCellStyle="Comma"/>
    <tableColumn id="6" xr3:uid="{665F0CE1-2178-411D-AE52-529E1774C993}" name="Average Length of Anesthetic (hr)" dataDxfId="20" dataCellStyle="Comma"/>
    <tableColumn id="3" xr3:uid="{F74EC494-DF12-428D-B96B-D18B46EAA453}" name="Carbon Footprint of anesthetic gas per Procedure (gCO2e)" dataDxfId="19" dataCellStyle="Comma">
      <calculatedColumnFormula>IF(Procedures[[#This Row],[Type of Anesthesia]]="general anesthesia",Procedures[[#This Row],[Average Length of Anesthetic (hr)]]*$F$5,0)</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6411230-E55A-44F6-AF0B-A7F043E12228}" name="Month" displayName="Month" ref="C63:C73" totalsRowShown="0" headerRowDxfId="18" dataDxfId="17" tableBorderDxfId="16">
  <autoFilter ref="C63:C73" xr:uid="{96411230-E55A-44F6-AF0B-A7F043E12228}"/>
  <tableColumns count="1">
    <tableColumn id="1" xr3:uid="{E419135B-428B-4E79-9799-BCAA6D471895}" name="Month/Year" dataDxfId="1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57E3246-EB4E-4E59-A535-0968112BB655}" name="ProductType" displayName="ProductType" ref="E63:E65" totalsRowShown="0" headerRowDxfId="14" dataDxfId="12" headerRowBorderDxfId="13" tableBorderDxfId="11" totalsRowBorderDxfId="10">
  <autoFilter ref="E63:E65" xr:uid="{E57E3246-EB4E-4E59-A535-0968112BB655}"/>
  <tableColumns count="1">
    <tableColumn id="1" xr3:uid="{FB7080DE-558C-49E1-BC2D-4446A91ADDED}" name="Disposable/Reusable" dataDxfId="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5190457-8F7D-4B82-9906-78EBAEF1DF42}" name="Table28" displayName="Table28" ref="C54:E60" totalsRowShown="0" headerRowDxfId="8" headerRowBorderDxfId="7" tableBorderDxfId="6" totalsRowBorderDxfId="5">
  <autoFilter ref="C54:E60" xr:uid="{05190457-8F7D-4B82-9906-78EBAEF1DF42}"/>
  <tableColumns count="3">
    <tableColumn id="1" xr3:uid="{E8A9423F-A5D9-4457-88FE-BC6FA5AD44F5}" name="Category (4, 5, 6)" dataDxfId="4"/>
    <tableColumn id="2" xr3:uid="{353B9794-5C27-40C6-8F62-245D58E59DC7}" name="Carbon Footprint per Bed Day (gCO2e)" dataDxfId="3" dataCellStyle="Comma"/>
    <tableColumn id="3" xr3:uid="{73180583-801A-44D1-AB4A-6BDB7309B56A}" name="Notes"/>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16.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95A74-FAE0-4355-AB01-6F3C3E361840}">
  <dimension ref="A1:XFD144"/>
  <sheetViews>
    <sheetView showGridLines="0" view="pageLayout" topLeftCell="A14" zoomScaleNormal="70" workbookViewId="0">
      <selection activeCell="C4" sqref="C4:I4"/>
    </sheetView>
  </sheetViews>
  <sheetFormatPr defaultColWidth="0" defaultRowHeight="15" customHeight="1" zeroHeight="1" x14ac:dyDescent="0.3"/>
  <cols>
    <col min="1" max="1" width="9.5546875" style="1" customWidth="1"/>
    <col min="2" max="2" width="9" style="1" customWidth="1"/>
    <col min="3" max="3" width="12.109375" style="1" customWidth="1"/>
    <col min="4" max="7" width="9.109375" style="1" customWidth="1"/>
    <col min="8" max="8" width="7" style="1" customWidth="1"/>
    <col min="9" max="9" width="11.88671875" style="1" customWidth="1"/>
    <col min="10" max="10" width="3.33203125" style="1" hidden="1" customWidth="1"/>
    <col min="11" max="16382" width="4.33203125" style="1" hidden="1"/>
    <col min="16383" max="16383" width="1.44140625" style="1" hidden="1" customWidth="1"/>
    <col min="16384" max="16384" width="6.33203125" style="1" customWidth="1"/>
  </cols>
  <sheetData>
    <row r="1" spans="1:9 16384:16384" ht="28.95" customHeight="1" x14ac:dyDescent="0.3"/>
    <row r="2" spans="1:9 16384:16384" ht="15" customHeight="1" x14ac:dyDescent="0.3"/>
    <row r="3" spans="1:9 16384:16384" ht="37.200000000000003" customHeight="1" x14ac:dyDescent="0.45">
      <c r="A3" s="3" t="s">
        <v>206</v>
      </c>
      <c r="B3" s="4"/>
    </row>
    <row r="4" spans="1:9 16384:16384" ht="261.60000000000002" customHeight="1" x14ac:dyDescent="0.3">
      <c r="A4" s="158" t="s">
        <v>0</v>
      </c>
      <c r="B4" s="158"/>
      <c r="C4" s="159" t="s">
        <v>207</v>
      </c>
      <c r="D4" s="160"/>
      <c r="E4" s="160"/>
      <c r="F4" s="160"/>
      <c r="G4" s="160"/>
      <c r="H4" s="160"/>
      <c r="I4" s="160"/>
      <c r="XFD4" s="2"/>
    </row>
    <row r="5" spans="1:9 16384:16384" ht="14.4" x14ac:dyDescent="0.3">
      <c r="A5" s="161" t="s">
        <v>1</v>
      </c>
      <c r="B5" s="161"/>
      <c r="C5" s="162"/>
      <c r="D5" s="163"/>
      <c r="E5" s="163"/>
      <c r="F5" s="163"/>
      <c r="G5" s="163"/>
      <c r="H5" s="163"/>
      <c r="I5" s="163"/>
      <c r="XFD5" s="2"/>
    </row>
    <row r="6" spans="1:9 16384:16384" ht="14.4" x14ac:dyDescent="0.3">
      <c r="A6" s="161" t="s">
        <v>3</v>
      </c>
      <c r="B6" s="161"/>
      <c r="C6" s="162"/>
      <c r="D6" s="163"/>
      <c r="E6" s="163"/>
      <c r="F6" s="163"/>
      <c r="G6" s="163"/>
      <c r="H6" s="163"/>
      <c r="I6" s="163"/>
      <c r="XFD6" s="2"/>
    </row>
    <row r="7" spans="1:9 16384:16384" ht="15" customHeight="1" x14ac:dyDescent="0.3"/>
    <row r="8" spans="1:9 16384:16384" ht="15" customHeight="1" x14ac:dyDescent="0.3">
      <c r="A8" s="1" t="s">
        <v>170</v>
      </c>
    </row>
    <row r="9" spans="1:9 16384:16384" ht="15" customHeight="1" x14ac:dyDescent="0.3"/>
    <row r="10" spans="1:9 16384:16384" ht="15" customHeight="1" x14ac:dyDescent="0.3"/>
    <row r="11" spans="1:9 16384:16384" ht="15" customHeight="1" x14ac:dyDescent="0.3"/>
    <row r="12" spans="1:9 16384:16384" ht="15" customHeight="1" x14ac:dyDescent="0.3"/>
    <row r="13" spans="1:9 16384:16384" ht="15" customHeight="1" x14ac:dyDescent="0.3"/>
    <row r="14" spans="1:9 16384:16384" ht="15" customHeight="1" x14ac:dyDescent="0.3"/>
    <row r="15" spans="1:9 16384:16384" ht="15" customHeight="1" x14ac:dyDescent="0.3"/>
    <row r="16" spans="1:9 16384:16384" ht="15" customHeight="1" x14ac:dyDescent="0.3"/>
    <row r="17" s="1" customFormat="1" ht="15" customHeight="1" x14ac:dyDescent="0.3"/>
    <row r="18" s="1" customFormat="1" ht="15" customHeight="1" x14ac:dyDescent="0.3"/>
    <row r="19" s="1" customFormat="1" ht="15" customHeight="1" x14ac:dyDescent="0.3"/>
    <row r="20" s="1" customFormat="1" ht="15" customHeight="1" x14ac:dyDescent="0.3"/>
    <row r="21" s="1" customFormat="1" ht="15" customHeight="1" x14ac:dyDescent="0.3"/>
    <row r="22" s="1" customFormat="1" ht="15" customHeight="1" x14ac:dyDescent="0.3"/>
    <row r="23" s="1" customFormat="1" ht="15" customHeight="1" x14ac:dyDescent="0.3"/>
    <row r="24" s="1" customFormat="1" ht="15" customHeight="1" x14ac:dyDescent="0.3"/>
    <row r="25" s="1" customFormat="1" ht="15" customHeight="1" x14ac:dyDescent="0.3"/>
    <row r="26" s="1" customFormat="1" ht="15" customHeight="1" x14ac:dyDescent="0.3"/>
    <row r="27" s="1" customFormat="1" ht="15" customHeight="1" x14ac:dyDescent="0.3"/>
    <row r="28" s="1" customFormat="1" ht="15" customHeight="1" x14ac:dyDescent="0.3"/>
    <row r="29" s="1" customFormat="1" ht="15" customHeight="1" x14ac:dyDescent="0.3"/>
    <row r="30" s="1" customFormat="1" ht="15" customHeight="1" x14ac:dyDescent="0.3"/>
    <row r="31" s="1" customFormat="1" ht="15" customHeight="1" x14ac:dyDescent="0.3"/>
    <row r="32" s="1" customFormat="1" ht="15" customHeight="1" x14ac:dyDescent="0.3"/>
    <row r="33" s="1" customFormat="1" ht="15" customHeight="1" x14ac:dyDescent="0.3"/>
    <row r="34" s="1" customFormat="1" ht="15" customHeight="1" x14ac:dyDescent="0.3"/>
    <row r="35" s="1" customFormat="1" ht="15" customHeight="1" x14ac:dyDescent="0.3"/>
    <row r="36" s="1" customFormat="1" ht="15" customHeight="1" x14ac:dyDescent="0.3"/>
    <row r="37" s="1" customFormat="1" ht="15" customHeight="1" x14ac:dyDescent="0.3"/>
    <row r="38" s="1" customFormat="1" ht="15" customHeight="1" x14ac:dyDescent="0.3"/>
    <row r="39" s="1" customFormat="1" ht="15" customHeight="1" x14ac:dyDescent="0.3"/>
    <row r="40" s="1" customFormat="1" ht="15" customHeight="1" x14ac:dyDescent="0.3"/>
    <row r="41" s="1" customFormat="1" ht="15" customHeight="1" x14ac:dyDescent="0.3"/>
    <row r="42" s="1" customFormat="1" ht="15" customHeight="1" x14ac:dyDescent="0.3"/>
    <row r="43" s="1" customFormat="1" ht="15" customHeight="1" x14ac:dyDescent="0.3"/>
    <row r="44" s="1" customFormat="1" ht="15" customHeight="1" x14ac:dyDescent="0.3"/>
    <row r="45" s="1" customFormat="1" ht="15" customHeight="1" x14ac:dyDescent="0.3"/>
    <row r="46" s="1" customFormat="1" ht="15" customHeight="1" x14ac:dyDescent="0.3"/>
    <row r="47" s="1" customFormat="1" ht="15" customHeight="1" x14ac:dyDescent="0.3"/>
    <row r="48" s="1" customFormat="1" ht="15" customHeight="1" x14ac:dyDescent="0.3"/>
    <row r="49" s="1" customFormat="1" ht="15" customHeight="1" x14ac:dyDescent="0.3"/>
    <row r="50" s="1" customFormat="1" ht="15" customHeight="1" x14ac:dyDescent="0.3"/>
    <row r="51" s="1" customFormat="1" ht="15" customHeight="1" x14ac:dyDescent="0.3"/>
    <row r="52" s="1" customFormat="1" ht="15" customHeight="1" x14ac:dyDescent="0.3"/>
    <row r="53" s="1" customFormat="1" ht="15" customHeight="1" x14ac:dyDescent="0.3"/>
    <row r="54" s="1" customFormat="1" ht="15" customHeight="1" x14ac:dyDescent="0.3"/>
    <row r="55" s="1" customFormat="1" ht="15" customHeight="1" x14ac:dyDescent="0.3"/>
    <row r="56" s="1" customFormat="1" ht="15" customHeight="1" x14ac:dyDescent="0.3"/>
    <row r="57" s="1" customFormat="1" ht="15" customHeight="1" x14ac:dyDescent="0.3"/>
    <row r="58" s="1" customFormat="1" ht="15" customHeight="1" x14ac:dyDescent="0.3"/>
    <row r="59" s="1" customFormat="1" ht="15" customHeight="1" x14ac:dyDescent="0.3"/>
    <row r="60" s="1" customFormat="1" ht="15" customHeight="1" x14ac:dyDescent="0.3"/>
    <row r="61" s="1" customFormat="1" ht="15" customHeight="1" x14ac:dyDescent="0.3"/>
    <row r="62" s="1" customFormat="1" ht="15" customHeight="1" x14ac:dyDescent="0.3"/>
    <row r="63" s="1" customFormat="1" ht="15" customHeight="1" x14ac:dyDescent="0.3"/>
    <row r="64" s="1" customFormat="1" ht="15" customHeight="1" x14ac:dyDescent="0.3"/>
    <row r="65" s="1" customFormat="1" ht="15" customHeight="1" x14ac:dyDescent="0.3"/>
    <row r="66" s="1" customFormat="1" ht="15" customHeight="1" x14ac:dyDescent="0.3"/>
    <row r="67" s="1" customFormat="1" ht="15" customHeight="1" x14ac:dyDescent="0.3"/>
    <row r="68" s="1" customFormat="1" ht="15" customHeight="1" x14ac:dyDescent="0.3"/>
    <row r="69" s="1" customFormat="1" ht="15" customHeight="1" x14ac:dyDescent="0.3"/>
    <row r="70" s="1" customFormat="1" ht="15" customHeight="1" x14ac:dyDescent="0.3"/>
    <row r="71" s="1" customFormat="1" ht="15" customHeight="1" x14ac:dyDescent="0.3"/>
    <row r="72" s="1" customFormat="1" ht="15" customHeight="1" x14ac:dyDescent="0.3"/>
    <row r="73" s="1" customFormat="1" ht="15" customHeight="1" x14ac:dyDescent="0.3"/>
    <row r="74" s="1" customFormat="1" ht="15" customHeight="1" x14ac:dyDescent="0.3"/>
    <row r="75" s="1" customFormat="1" ht="15" customHeight="1" x14ac:dyDescent="0.3"/>
    <row r="76" s="1" customFormat="1" ht="15" customHeight="1" x14ac:dyDescent="0.3"/>
    <row r="77" s="1" customFormat="1" ht="15" customHeight="1" x14ac:dyDescent="0.3"/>
    <row r="78" s="1" customFormat="1" ht="15" customHeight="1" x14ac:dyDescent="0.3"/>
    <row r="79" s="1" customFormat="1" ht="15" customHeight="1" x14ac:dyDescent="0.3"/>
    <row r="80" s="1" customFormat="1" ht="15" customHeight="1" x14ac:dyDescent="0.3"/>
    <row r="81" s="1" customFormat="1" ht="15" customHeight="1" x14ac:dyDescent="0.3"/>
    <row r="82" s="1" customFormat="1" ht="15" customHeight="1" x14ac:dyDescent="0.3"/>
    <row r="83" s="1" customFormat="1" ht="15" customHeight="1" x14ac:dyDescent="0.3"/>
    <row r="84" s="1" customFormat="1" ht="15" customHeight="1" x14ac:dyDescent="0.3"/>
    <row r="85" s="1" customFormat="1" ht="15" customHeight="1" x14ac:dyDescent="0.3"/>
    <row r="86" s="1" customFormat="1" ht="15" customHeight="1" x14ac:dyDescent="0.3"/>
    <row r="87" s="1" customFormat="1" ht="15" customHeight="1" x14ac:dyDescent="0.3"/>
    <row r="88" s="1" customFormat="1" ht="15" customHeight="1" x14ac:dyDescent="0.3"/>
    <row r="89" s="1" customFormat="1" ht="15" customHeight="1" x14ac:dyDescent="0.3"/>
    <row r="90" s="1" customFormat="1" ht="15" customHeight="1" x14ac:dyDescent="0.3"/>
    <row r="91" s="1" customFormat="1" ht="15" customHeight="1" x14ac:dyDescent="0.3"/>
    <row r="92" s="1" customFormat="1" ht="15" customHeight="1" x14ac:dyDescent="0.3"/>
    <row r="93" s="1" customFormat="1" ht="15" customHeight="1" x14ac:dyDescent="0.3"/>
    <row r="94" s="1" customFormat="1" ht="15" customHeight="1" x14ac:dyDescent="0.3"/>
    <row r="95" s="1" customFormat="1" ht="15" customHeight="1" x14ac:dyDescent="0.3"/>
    <row r="96" s="1" customFormat="1" ht="15" customHeight="1" x14ac:dyDescent="0.3"/>
    <row r="97" s="1" customFormat="1" ht="15" customHeight="1" x14ac:dyDescent="0.3"/>
    <row r="98" s="1" customFormat="1" ht="15" customHeight="1" x14ac:dyDescent="0.3"/>
    <row r="99" s="1" customFormat="1" ht="15" customHeight="1" x14ac:dyDescent="0.3"/>
    <row r="100" s="1" customFormat="1" ht="15" customHeight="1" x14ac:dyDescent="0.3"/>
    <row r="101" s="1" customFormat="1" ht="15" customHeight="1" x14ac:dyDescent="0.3"/>
    <row r="102" s="1" customFormat="1" ht="15" customHeight="1" x14ac:dyDescent="0.3"/>
    <row r="103" s="1" customFormat="1" ht="15" customHeight="1" x14ac:dyDescent="0.3"/>
    <row r="104" s="1" customFormat="1" ht="15" customHeight="1" x14ac:dyDescent="0.3"/>
    <row r="105" s="1" customFormat="1" ht="15" customHeight="1" x14ac:dyDescent="0.3"/>
    <row r="106" s="1" customFormat="1" ht="15" customHeight="1" x14ac:dyDescent="0.3"/>
    <row r="107" s="1" customFormat="1" ht="15" customHeight="1" x14ac:dyDescent="0.3"/>
    <row r="108" s="1" customFormat="1" ht="15" customHeight="1" x14ac:dyDescent="0.3"/>
    <row r="109" s="1" customFormat="1" ht="15" customHeight="1" x14ac:dyDescent="0.3"/>
    <row r="110" s="1" customFormat="1" ht="15" customHeight="1" x14ac:dyDescent="0.3"/>
    <row r="111" s="1" customFormat="1" ht="15" customHeight="1" x14ac:dyDescent="0.3"/>
    <row r="112" s="1" customFormat="1" ht="15" customHeight="1" x14ac:dyDescent="0.3"/>
    <row r="113" s="1" customFormat="1" ht="15" customHeight="1" x14ac:dyDescent="0.3"/>
    <row r="114" s="1" customFormat="1" ht="15" customHeight="1" x14ac:dyDescent="0.3"/>
    <row r="115" s="1" customFormat="1" ht="15" customHeight="1" x14ac:dyDescent="0.3"/>
    <row r="116" s="1" customFormat="1" ht="15" customHeight="1" x14ac:dyDescent="0.3"/>
    <row r="117" s="1" customFormat="1" ht="15" customHeight="1" x14ac:dyDescent="0.3"/>
    <row r="118" s="1" customFormat="1" ht="15" customHeight="1" x14ac:dyDescent="0.3"/>
    <row r="119" s="1" customFormat="1" ht="15" customHeight="1" x14ac:dyDescent="0.3"/>
    <row r="120" s="1" customFormat="1" ht="15" customHeight="1" x14ac:dyDescent="0.3"/>
    <row r="121" s="1" customFormat="1" ht="15" customHeight="1" x14ac:dyDescent="0.3"/>
    <row r="122" s="1" customFormat="1" ht="15" customHeight="1" x14ac:dyDescent="0.3"/>
    <row r="123" s="1" customFormat="1" ht="15" customHeight="1" x14ac:dyDescent="0.3"/>
    <row r="124" s="1" customFormat="1" ht="15" customHeight="1" x14ac:dyDescent="0.3"/>
    <row r="125" s="1" customFormat="1" ht="15" customHeight="1" x14ac:dyDescent="0.3"/>
    <row r="126" s="1" customFormat="1" ht="15" customHeight="1" x14ac:dyDescent="0.3"/>
    <row r="127" s="1" customFormat="1" ht="15" customHeight="1" x14ac:dyDescent="0.3"/>
    <row r="128" s="1" customFormat="1" ht="15" customHeight="1" x14ac:dyDescent="0.3"/>
    <row r="129" s="1" customFormat="1" ht="15" customHeight="1" x14ac:dyDescent="0.3"/>
    <row r="130" s="1" customFormat="1" ht="15" customHeight="1" x14ac:dyDescent="0.3"/>
    <row r="131" s="1" customFormat="1" ht="15" customHeight="1" x14ac:dyDescent="0.3"/>
    <row r="132" s="1" customFormat="1" ht="15" customHeight="1" x14ac:dyDescent="0.3"/>
    <row r="133" s="1" customFormat="1" ht="15" customHeight="1" x14ac:dyDescent="0.3"/>
    <row r="134" s="1" customFormat="1" ht="15" customHeight="1" x14ac:dyDescent="0.3"/>
    <row r="135" s="1" customFormat="1" ht="15" customHeight="1" x14ac:dyDescent="0.3"/>
    <row r="136" s="1" customFormat="1" ht="15" customHeight="1" x14ac:dyDescent="0.3"/>
    <row r="137" s="1" customFormat="1" ht="15" customHeight="1" x14ac:dyDescent="0.3"/>
    <row r="138" s="1" customFormat="1" ht="15" customHeight="1" x14ac:dyDescent="0.3"/>
    <row r="139" s="1" customFormat="1" ht="15" customHeight="1" x14ac:dyDescent="0.3"/>
    <row r="140" s="1" customFormat="1" ht="15" customHeight="1" x14ac:dyDescent="0.3"/>
    <row r="141" s="1" customFormat="1" ht="15" customHeight="1" x14ac:dyDescent="0.3"/>
    <row r="142" s="1" customFormat="1" ht="15" customHeight="1" x14ac:dyDescent="0.3"/>
    <row r="143" s="1" customFormat="1" ht="15" customHeight="1" x14ac:dyDescent="0.3"/>
    <row r="144" s="1" customFormat="1" ht="15" customHeight="1" x14ac:dyDescent="0.3"/>
  </sheetData>
  <sheetProtection formatCells="0" formatRows="0" insertRows="0" insertHyperlinks="0" deleteColumns="0" deleteRows="0" sort="0" autoFilter="0"/>
  <mergeCells count="6">
    <mergeCell ref="A4:B4"/>
    <mergeCell ref="C4:I4"/>
    <mergeCell ref="A5:B5"/>
    <mergeCell ref="C5:I5"/>
    <mergeCell ref="A6:B6"/>
    <mergeCell ref="C6:I6"/>
  </mergeCells>
  <pageMargins left="0.51181102362204722" right="0.70866141732283472" top="0.94488188976377963" bottom="0.74803149606299213" header="0" footer="0.31496062992125984"/>
  <pageSetup orientation="portrait" r:id="rId1"/>
  <headerFooter>
    <oddHeader>&amp;L&amp;G&amp;R&amp;G</oddHeader>
    <oddFooter>&amp;L&amp;G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2E014-AB72-498A-9648-D3EE67244637}">
  <sheetPr>
    <tabColor rgb="FFD4BFC5"/>
    <pageSetUpPr autoPageBreaks="0"/>
  </sheetPr>
  <dimension ref="A2:O34"/>
  <sheetViews>
    <sheetView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2" spans="2:11" ht="23.25" customHeight="1" x14ac:dyDescent="0.3">
      <c r="B2" s="174" t="s">
        <v>218</v>
      </c>
      <c r="C2" s="174"/>
      <c r="D2" s="174"/>
      <c r="E2" s="174"/>
      <c r="F2" s="174"/>
      <c r="G2" s="174"/>
      <c r="H2" s="174"/>
      <c r="I2" s="174"/>
      <c r="J2" s="174"/>
      <c r="K2" s="174"/>
    </row>
    <row r="3" spans="2:11" ht="15" thickBot="1" x14ac:dyDescent="0.35"/>
    <row r="4" spans="2:11" ht="71.400000000000006" customHeight="1" thickBot="1" x14ac:dyDescent="0.35">
      <c r="B4" s="167" t="s">
        <v>19</v>
      </c>
      <c r="C4" s="165"/>
      <c r="D4" s="165"/>
      <c r="E4" s="165"/>
      <c r="F4" s="165"/>
      <c r="G4" s="165"/>
      <c r="H4" s="165"/>
      <c r="I4" s="165"/>
      <c r="J4" s="165"/>
      <c r="K4" s="166"/>
    </row>
    <row r="7" spans="2:11" ht="78.599999999999994" thickBot="1" x14ac:dyDescent="0.35">
      <c r="B7" s="10" t="s">
        <v>2</v>
      </c>
      <c r="C7" s="7" t="s">
        <v>21</v>
      </c>
      <c r="D7" s="7" t="s">
        <v>20</v>
      </c>
      <c r="E7" s="7" t="s">
        <v>15</v>
      </c>
    </row>
    <row r="8" spans="2:11" ht="15" thickTop="1" x14ac:dyDescent="0.3">
      <c r="B8" s="11" t="s">
        <v>5</v>
      </c>
      <c r="C8" s="48"/>
      <c r="D8" s="12"/>
      <c r="E8" s="13" t="str">
        <f>IF(ISBLANK(C8),"",(C8/D8))</f>
        <v/>
      </c>
    </row>
    <row r="9" spans="2:11" x14ac:dyDescent="0.3">
      <c r="B9" s="14" t="s">
        <v>6</v>
      </c>
      <c r="C9" s="49"/>
      <c r="D9" s="9"/>
      <c r="E9" s="8" t="str">
        <f t="shared" ref="E9:E17" si="0">IF(ISBLANK(C9),"",(C9/D9))</f>
        <v/>
      </c>
    </row>
    <row r="10" spans="2:11" x14ac:dyDescent="0.3">
      <c r="B10" s="14" t="s">
        <v>7</v>
      </c>
      <c r="C10" s="49"/>
      <c r="D10" s="9"/>
      <c r="E10" s="8" t="str">
        <f t="shared" si="0"/>
        <v/>
      </c>
    </row>
    <row r="11" spans="2:11" x14ac:dyDescent="0.3">
      <c r="B11" s="14" t="s">
        <v>8</v>
      </c>
      <c r="C11" s="49"/>
      <c r="D11" s="9"/>
      <c r="E11" s="8" t="str">
        <f t="shared" si="0"/>
        <v/>
      </c>
    </row>
    <row r="12" spans="2:11" x14ac:dyDescent="0.3">
      <c r="B12" s="14" t="s">
        <v>9</v>
      </c>
      <c r="C12" s="49"/>
      <c r="D12" s="9"/>
      <c r="E12" s="8" t="str">
        <f t="shared" si="0"/>
        <v/>
      </c>
    </row>
    <row r="13" spans="2:11" x14ac:dyDescent="0.3">
      <c r="B13" s="14" t="s">
        <v>10</v>
      </c>
      <c r="C13" s="49"/>
      <c r="D13" s="9"/>
      <c r="E13" s="8" t="str">
        <f t="shared" si="0"/>
        <v/>
      </c>
    </row>
    <row r="14" spans="2:11" x14ac:dyDescent="0.3">
      <c r="B14" s="14" t="s">
        <v>11</v>
      </c>
      <c r="C14" s="49"/>
      <c r="D14" s="9"/>
      <c r="E14" s="8" t="str">
        <f t="shared" si="0"/>
        <v/>
      </c>
    </row>
    <row r="15" spans="2:11" x14ac:dyDescent="0.3">
      <c r="B15" s="14" t="s">
        <v>12</v>
      </c>
      <c r="C15" s="49"/>
      <c r="D15" s="9"/>
      <c r="E15" s="8" t="str">
        <f t="shared" si="0"/>
        <v/>
      </c>
    </row>
    <row r="16" spans="2:11" x14ac:dyDescent="0.3">
      <c r="B16" s="14" t="s">
        <v>13</v>
      </c>
      <c r="C16" s="49"/>
      <c r="D16" s="9"/>
      <c r="E16" s="8" t="str">
        <f t="shared" si="0"/>
        <v/>
      </c>
    </row>
    <row r="17" spans="2:5" x14ac:dyDescent="0.3">
      <c r="B17" s="14" t="s">
        <v>14</v>
      </c>
      <c r="C17" s="49"/>
      <c r="D17" s="9"/>
      <c r="E17" s="8" t="str">
        <f t="shared" si="0"/>
        <v/>
      </c>
    </row>
    <row r="33" customFormat="1" x14ac:dyDescent="0.3"/>
    <row r="34" customFormat="1" x14ac:dyDescent="0.3"/>
  </sheetData>
  <mergeCells count="2">
    <mergeCell ref="B2:K2"/>
    <mergeCell ref="B4:K4"/>
  </mergeCells>
  <pageMargins left="0.7" right="0.7" top="0.75" bottom="0.75" header="0.3" footer="0.3"/>
  <pageSetup paperSize="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4B31B-BC76-4572-818A-BC8FE398A6A6}">
  <sheetPr>
    <tabColor rgb="FFD9D9D9"/>
    <pageSetUpPr autoPageBreaks="0"/>
  </sheetPr>
  <dimension ref="A2:O53"/>
  <sheetViews>
    <sheetView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0.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2" spans="2:11" ht="23.25" customHeight="1" x14ac:dyDescent="0.3">
      <c r="B2" s="174" t="s">
        <v>85</v>
      </c>
      <c r="C2" s="174"/>
      <c r="D2" s="174"/>
      <c r="E2" s="174"/>
      <c r="F2" s="174"/>
      <c r="G2" s="174"/>
      <c r="H2" s="174"/>
      <c r="I2" s="174"/>
      <c r="J2" s="174"/>
      <c r="K2" s="174"/>
    </row>
    <row r="3" spans="2:11" ht="15" thickBot="1" x14ac:dyDescent="0.35"/>
    <row r="4" spans="2:11" ht="117.6" customHeight="1" thickBot="1" x14ac:dyDescent="0.35">
      <c r="B4" s="167" t="s">
        <v>155</v>
      </c>
      <c r="C4" s="165"/>
      <c r="D4" s="165"/>
      <c r="E4" s="165"/>
      <c r="F4" s="165"/>
      <c r="G4" s="165"/>
      <c r="H4" s="165"/>
      <c r="I4" s="165"/>
      <c r="J4" s="165"/>
      <c r="K4" s="166"/>
    </row>
    <row r="7" spans="2:11" ht="31.2" x14ac:dyDescent="0.3">
      <c r="B7" s="5" t="s">
        <v>4</v>
      </c>
      <c r="C7" s="6"/>
    </row>
    <row r="9" spans="2:11" ht="47.4" thickBot="1" x14ac:dyDescent="0.35">
      <c r="B9" s="10" t="s">
        <v>2</v>
      </c>
      <c r="C9" s="7" t="s">
        <v>88</v>
      </c>
      <c r="D9" s="7" t="s">
        <v>54</v>
      </c>
      <c r="E9" s="7" t="s">
        <v>87</v>
      </c>
    </row>
    <row r="10" spans="2:11" ht="15" thickTop="1" x14ac:dyDescent="0.3">
      <c r="B10" s="11" t="s">
        <v>5</v>
      </c>
      <c r="C10" s="48"/>
      <c r="D10" s="12" t="str">
        <f t="shared" ref="D10:D19" si="0">(IF(ISBLANK(C$7),"","N/A - Sample"))</f>
        <v/>
      </c>
      <c r="E10" s="61" t="str">
        <f>IF(ISBLANK(C10),"",(C10/(IF(ISBLANK(C$7),D10,C$7))))</f>
        <v/>
      </c>
    </row>
    <row r="11" spans="2:11" x14ac:dyDescent="0.3">
      <c r="B11" s="14" t="s">
        <v>6</v>
      </c>
      <c r="C11" s="49"/>
      <c r="D11" s="9" t="str">
        <f>(IF(ISBLANK(C$7),"","N/A - Sample"))</f>
        <v/>
      </c>
      <c r="E11" s="62" t="str">
        <f t="shared" ref="E11:E19" si="1">IF(ISBLANK(C11),"",(C11/(IF(ISBLANK(C$7),D11,C$7))))</f>
        <v/>
      </c>
    </row>
    <row r="12" spans="2:11" x14ac:dyDescent="0.3">
      <c r="B12" s="14" t="s">
        <v>7</v>
      </c>
      <c r="C12" s="49"/>
      <c r="D12" s="9" t="str">
        <f t="shared" si="0"/>
        <v/>
      </c>
      <c r="E12" s="62" t="str">
        <f t="shared" si="1"/>
        <v/>
      </c>
    </row>
    <row r="13" spans="2:11" x14ac:dyDescent="0.3">
      <c r="B13" s="14" t="s">
        <v>8</v>
      </c>
      <c r="C13" s="49"/>
      <c r="D13" s="9" t="str">
        <f t="shared" si="0"/>
        <v/>
      </c>
      <c r="E13" s="62" t="str">
        <f t="shared" si="1"/>
        <v/>
      </c>
    </row>
    <row r="14" spans="2:11" x14ac:dyDescent="0.3">
      <c r="B14" s="14" t="s">
        <v>9</v>
      </c>
      <c r="C14" s="49"/>
      <c r="D14" s="9" t="str">
        <f t="shared" si="0"/>
        <v/>
      </c>
      <c r="E14" s="62" t="str">
        <f t="shared" si="1"/>
        <v/>
      </c>
    </row>
    <row r="15" spans="2:11" x14ac:dyDescent="0.3">
      <c r="B15" s="14" t="s">
        <v>10</v>
      </c>
      <c r="C15" s="49"/>
      <c r="D15" s="9" t="str">
        <f t="shared" si="0"/>
        <v/>
      </c>
      <c r="E15" s="62" t="str">
        <f t="shared" si="1"/>
        <v/>
      </c>
    </row>
    <row r="16" spans="2:11" x14ac:dyDescent="0.3">
      <c r="B16" s="14" t="s">
        <v>11</v>
      </c>
      <c r="C16" s="49"/>
      <c r="D16" s="9" t="str">
        <f t="shared" si="0"/>
        <v/>
      </c>
      <c r="E16" s="62" t="str">
        <f t="shared" si="1"/>
        <v/>
      </c>
    </row>
    <row r="17" spans="2:11" x14ac:dyDescent="0.3">
      <c r="B17" s="14" t="s">
        <v>12</v>
      </c>
      <c r="C17" s="49"/>
      <c r="D17" s="9" t="str">
        <f t="shared" si="0"/>
        <v/>
      </c>
      <c r="E17" s="62" t="str">
        <f t="shared" si="1"/>
        <v/>
      </c>
    </row>
    <row r="18" spans="2:11" x14ac:dyDescent="0.3">
      <c r="B18" s="14" t="s">
        <v>13</v>
      </c>
      <c r="C18" s="49"/>
      <c r="D18" s="9" t="str">
        <f t="shared" si="0"/>
        <v/>
      </c>
      <c r="E18" s="62" t="str">
        <f t="shared" si="1"/>
        <v/>
      </c>
    </row>
    <row r="19" spans="2:11" x14ac:dyDescent="0.3">
      <c r="B19" s="14" t="s">
        <v>14</v>
      </c>
      <c r="C19" s="49"/>
      <c r="D19" s="9" t="str">
        <f t="shared" si="0"/>
        <v/>
      </c>
      <c r="E19" s="62" t="str">
        <f t="shared" si="1"/>
        <v/>
      </c>
    </row>
    <row r="22" spans="2:11" ht="16.2" customHeight="1" thickBot="1" x14ac:dyDescent="0.35"/>
    <row r="23" spans="2:11" ht="23.25" customHeight="1" thickBot="1" x14ac:dyDescent="0.35">
      <c r="B23" s="171" t="s">
        <v>86</v>
      </c>
      <c r="C23" s="172"/>
      <c r="D23" s="172"/>
      <c r="E23" s="172"/>
      <c r="F23" s="172"/>
      <c r="G23" s="172"/>
      <c r="H23" s="172"/>
      <c r="I23" s="172"/>
      <c r="J23" s="172"/>
      <c r="K23" s="173"/>
    </row>
    <row r="24" spans="2:11" ht="16.2" thickBot="1" x14ac:dyDescent="0.35">
      <c r="B24" s="105"/>
      <c r="C24" s="55"/>
      <c r="D24" s="55"/>
      <c r="E24" s="55"/>
      <c r="F24" s="55"/>
      <c r="G24" s="55"/>
      <c r="H24" s="55"/>
    </row>
    <row r="25" spans="2:11" ht="29.4" customHeight="1" thickBot="1" x14ac:dyDescent="0.35">
      <c r="B25" s="164" t="s">
        <v>129</v>
      </c>
      <c r="C25" s="165"/>
      <c r="D25" s="165"/>
      <c r="E25" s="165"/>
      <c r="F25" s="165"/>
      <c r="G25" s="165"/>
      <c r="H25" s="165"/>
      <c r="I25" s="165"/>
      <c r="J25" s="165"/>
      <c r="K25" s="166"/>
    </row>
    <row r="28" spans="2:11" ht="46.8" x14ac:dyDescent="0.3">
      <c r="B28" s="10" t="s">
        <v>2</v>
      </c>
      <c r="C28" s="7" t="s">
        <v>97</v>
      </c>
      <c r="D28" s="55"/>
      <c r="E28" s="55"/>
    </row>
    <row r="29" spans="2:11" x14ac:dyDescent="0.3">
      <c r="B29" s="17" t="s">
        <v>5</v>
      </c>
      <c r="C29" s="19">
        <f>(C10*'Reference Tables'!$D$55)</f>
        <v>0</v>
      </c>
      <c r="D29" s="56"/>
      <c r="E29" s="56"/>
    </row>
    <row r="30" spans="2:11" x14ac:dyDescent="0.3">
      <c r="B30" s="17" t="s">
        <v>6</v>
      </c>
      <c r="C30" s="19">
        <f>(C11*'Reference Tables'!$D$55)</f>
        <v>0</v>
      </c>
      <c r="D30" s="56"/>
      <c r="E30" s="56"/>
    </row>
    <row r="31" spans="2:11" x14ac:dyDescent="0.3">
      <c r="B31" s="17" t="s">
        <v>7</v>
      </c>
      <c r="C31" s="19">
        <f>(C12*'Reference Tables'!$D$55)</f>
        <v>0</v>
      </c>
      <c r="D31" s="56"/>
      <c r="E31" s="56"/>
    </row>
    <row r="32" spans="2:11" x14ac:dyDescent="0.3">
      <c r="B32" s="17" t="s">
        <v>8</v>
      </c>
      <c r="C32" s="19">
        <f>(C13*'Reference Tables'!$D$55)</f>
        <v>0</v>
      </c>
      <c r="D32" s="56"/>
      <c r="E32" s="56"/>
    </row>
    <row r="33" spans="2:5" x14ac:dyDescent="0.3">
      <c r="B33" s="17" t="s">
        <v>9</v>
      </c>
      <c r="C33" s="19">
        <f>(C14*'Reference Tables'!$D$55)</f>
        <v>0</v>
      </c>
      <c r="D33" s="56"/>
      <c r="E33" s="56"/>
    </row>
    <row r="34" spans="2:5" x14ac:dyDescent="0.3">
      <c r="B34" s="17" t="s">
        <v>10</v>
      </c>
      <c r="C34" s="19">
        <f>(C15*'Reference Tables'!$D$55)</f>
        <v>0</v>
      </c>
      <c r="D34" s="56"/>
      <c r="E34" s="56"/>
    </row>
    <row r="35" spans="2:5" x14ac:dyDescent="0.3">
      <c r="B35" s="17" t="s">
        <v>11</v>
      </c>
      <c r="C35" s="19">
        <f>(C16*'Reference Tables'!$D$55)</f>
        <v>0</v>
      </c>
      <c r="D35" s="56"/>
      <c r="E35" s="56"/>
    </row>
    <row r="36" spans="2:5" x14ac:dyDescent="0.3">
      <c r="B36" s="17" t="s">
        <v>12</v>
      </c>
      <c r="C36" s="19">
        <f>(C17*'Reference Tables'!$D$55)</f>
        <v>0</v>
      </c>
      <c r="D36" s="56"/>
      <c r="E36" s="56"/>
    </row>
    <row r="37" spans="2:5" x14ac:dyDescent="0.3">
      <c r="B37" s="17" t="s">
        <v>13</v>
      </c>
      <c r="C37" s="19">
        <f>(C18*'Reference Tables'!$D$55)</f>
        <v>0</v>
      </c>
      <c r="D37" s="56"/>
      <c r="E37" s="56"/>
    </row>
    <row r="38" spans="2:5" x14ac:dyDescent="0.3">
      <c r="B38" s="17" t="s">
        <v>14</v>
      </c>
      <c r="C38" s="19">
        <f>(C19*'Reference Tables'!$D$55)</f>
        <v>0</v>
      </c>
      <c r="D38" s="56"/>
      <c r="E38" s="56"/>
    </row>
    <row r="43" spans="2:5" ht="15.6" x14ac:dyDescent="0.3">
      <c r="B43" s="105"/>
      <c r="C43" s="55"/>
    </row>
    <row r="44" spans="2:5" x14ac:dyDescent="0.3">
      <c r="B44" s="106"/>
      <c r="C44" s="104"/>
    </row>
    <row r="45" spans="2:5" x14ac:dyDescent="0.3">
      <c r="B45" s="106"/>
      <c r="C45" s="104"/>
    </row>
    <row r="46" spans="2:5" x14ac:dyDescent="0.3">
      <c r="B46" s="106"/>
      <c r="C46" s="104"/>
    </row>
    <row r="47" spans="2:5" x14ac:dyDescent="0.3">
      <c r="B47" s="106"/>
      <c r="C47" s="104"/>
    </row>
    <row r="48" spans="2:5" x14ac:dyDescent="0.3">
      <c r="B48" s="106"/>
      <c r="C48" s="104"/>
    </row>
    <row r="49" spans="2:3" x14ac:dyDescent="0.3">
      <c r="B49" s="106"/>
      <c r="C49" s="104"/>
    </row>
    <row r="50" spans="2:3" x14ac:dyDescent="0.3">
      <c r="B50" s="106"/>
      <c r="C50" s="104"/>
    </row>
    <row r="51" spans="2:3" x14ac:dyDescent="0.3">
      <c r="B51" s="106"/>
      <c r="C51" s="104"/>
    </row>
    <row r="52" spans="2:3" x14ac:dyDescent="0.3">
      <c r="B52" s="106"/>
      <c r="C52" s="104"/>
    </row>
    <row r="53" spans="2:3" x14ac:dyDescent="0.3">
      <c r="B53" s="106"/>
      <c r="C53" s="104"/>
    </row>
  </sheetData>
  <mergeCells count="4">
    <mergeCell ref="B2:K2"/>
    <mergeCell ref="B4:K4"/>
    <mergeCell ref="B23:K23"/>
    <mergeCell ref="B25:K25"/>
  </mergeCells>
  <dataValidations count="1">
    <dataValidation type="whole" allowBlank="1" showInputMessage="1" showErrorMessage="1" sqref="C7" xr:uid="{7B1D2363-4743-4BF8-B687-23DEDB744094}">
      <formula1>1</formula1>
      <formula2>1000</formula2>
    </dataValidation>
  </dataValidations>
  <pageMargins left="0.7" right="0.7" top="0.75" bottom="0.75" header="0.3" footer="0.3"/>
  <pageSetup paperSize="5" orientation="landscape" r:id="rId1"/>
  <ignoredErrors>
    <ignoredError sqref="D10:D19"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8412E3D-830C-4249-A7CE-E3458B9F818B}">
          <x14:formula1>
            <xm:f>'Reference Tables'!$D$21:$D$34</xm:f>
          </x14:formula1>
          <xm:sqref>D26</xm:sqref>
        </x14:dataValidation>
        <x14:dataValidation type="list" allowBlank="1" showInputMessage="1" showErrorMessage="1" xr:uid="{023D4C7C-4485-4900-9590-DC9CB7DF680F}">
          <x14:formula1>
            <xm:f>'Reference Tables'!$C$21:$C$34</xm:f>
          </x14:formula1>
          <xm:sqref>C26</xm:sqref>
        </x14:dataValidation>
        <x14:dataValidation type="list" allowBlank="1" showInputMessage="1" showErrorMessage="1" xr:uid="{59281366-A515-4677-B627-F89901D3ED25}">
          <x14:formula1>
            <xm:f>'Reference Tables'!$C$64:$C$73</xm:f>
          </x14:formula1>
          <xm:sqref>B26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0D972-7A22-4EF7-A43A-29FE64C62FE1}">
  <sheetPr>
    <tabColor rgb="FFD9D9D9"/>
    <pageSetUpPr autoPageBreaks="0"/>
  </sheetPr>
  <dimension ref="B1:S122"/>
  <sheetViews>
    <sheetView topLeftCell="A8" zoomScaleNormal="100" workbookViewId="0">
      <selection activeCell="B2" sqref="B2:H2"/>
    </sheetView>
  </sheetViews>
  <sheetFormatPr defaultColWidth="9.109375" defaultRowHeight="14.4" x14ac:dyDescent="0.3"/>
  <cols>
    <col min="1" max="1" width="7" customWidth="1"/>
    <col min="2" max="2" width="32.33203125" customWidth="1"/>
    <col min="3" max="3" width="19.88671875" customWidth="1"/>
    <col min="4" max="8" width="16.6640625" customWidth="1"/>
    <col min="9" max="9" width="14.33203125" customWidth="1"/>
    <col min="10" max="12" width="17.6640625" customWidth="1"/>
    <col min="13" max="15" width="16.109375" hidden="1" customWidth="1"/>
    <col min="16" max="16" width="16.33203125" hidden="1" customWidth="1"/>
    <col min="17" max="19" width="9.109375" hidden="1" customWidth="1"/>
    <col min="20" max="20" width="12" customWidth="1"/>
  </cols>
  <sheetData>
    <row r="1" spans="2:19" ht="15" thickBot="1" x14ac:dyDescent="0.35"/>
    <row r="2" spans="2:19" ht="23.25" customHeight="1" thickBot="1" x14ac:dyDescent="0.35">
      <c r="B2" s="168" t="s">
        <v>67</v>
      </c>
      <c r="C2" s="169"/>
      <c r="D2" s="169"/>
      <c r="E2" s="169"/>
      <c r="F2" s="169"/>
      <c r="G2" s="169"/>
      <c r="H2" s="169"/>
      <c r="I2" s="92"/>
      <c r="J2" s="92"/>
      <c r="K2" s="92"/>
      <c r="L2" s="92"/>
      <c r="M2" s="92"/>
      <c r="N2" s="92"/>
      <c r="O2" s="92"/>
    </row>
    <row r="3" spans="2:19" ht="15" thickBot="1" x14ac:dyDescent="0.35"/>
    <row r="4" spans="2:19" ht="102" customHeight="1" thickBot="1" x14ac:dyDescent="0.35">
      <c r="B4" s="164" t="s">
        <v>131</v>
      </c>
      <c r="C4" s="175"/>
      <c r="D4" s="175"/>
      <c r="E4" s="175"/>
      <c r="F4" s="175"/>
      <c r="G4" s="175"/>
      <c r="H4" s="176"/>
      <c r="I4" s="93"/>
      <c r="J4" s="93"/>
      <c r="K4" s="93"/>
      <c r="L4" s="93"/>
      <c r="M4" s="93"/>
      <c r="N4" s="93"/>
      <c r="O4" s="93"/>
    </row>
    <row r="6" spans="2:19" ht="65.400000000000006" thickBot="1" x14ac:dyDescent="0.35">
      <c r="B6" s="86" t="s">
        <v>70</v>
      </c>
      <c r="C6" s="86" t="s">
        <v>68</v>
      </c>
      <c r="D6" s="86" t="s">
        <v>174</v>
      </c>
      <c r="E6" s="86" t="s">
        <v>175</v>
      </c>
      <c r="F6" s="86" t="s">
        <v>176</v>
      </c>
      <c r="G6" s="86" t="s">
        <v>177</v>
      </c>
      <c r="H6" s="143" t="s">
        <v>178</v>
      </c>
      <c r="I6" s="149" t="s">
        <v>179</v>
      </c>
      <c r="J6" s="55"/>
      <c r="K6" s="55"/>
      <c r="L6" s="55"/>
      <c r="M6" s="91"/>
      <c r="N6" s="91"/>
      <c r="O6" s="91"/>
    </row>
    <row r="7" spans="2:19" ht="15" thickTop="1" x14ac:dyDescent="0.3">
      <c r="B7" s="119"/>
      <c r="C7" s="120"/>
      <c r="D7" s="121"/>
      <c r="E7" s="153"/>
      <c r="F7" s="122"/>
      <c r="G7" s="123"/>
      <c r="H7" s="141"/>
      <c r="I7" s="150" t="str">
        <f>IF(ISBLANK(H7),"",(Products4[[#This Row],[Carbon footprint per item (g CO2e)]]*Products4[[#This Row],[Number of items per surgery]]/(Products4[[#This Row],[Number of uses per item]])))</f>
        <v/>
      </c>
      <c r="J7" s="155"/>
      <c r="K7" s="155"/>
      <c r="L7" s="155"/>
    </row>
    <row r="8" spans="2:19" x14ac:dyDescent="0.3">
      <c r="B8" s="124"/>
      <c r="C8" s="125"/>
      <c r="D8" s="126"/>
      <c r="E8" s="154"/>
      <c r="F8" s="127"/>
      <c r="G8" s="128"/>
      <c r="H8" s="142"/>
      <c r="I8" s="151" t="str">
        <f>IF(ISBLANK(H8),"",(Products4[[#This Row],[Carbon footprint per item (g CO2e)]]*Products4[[#This Row],[Number of items per surgery]]/(Products4[[#This Row],[Number of uses per item]])))</f>
        <v/>
      </c>
      <c r="J8" s="155"/>
      <c r="K8" s="155"/>
      <c r="L8" s="155"/>
    </row>
    <row r="9" spans="2:19" x14ac:dyDescent="0.3">
      <c r="B9" s="124"/>
      <c r="C9" s="125"/>
      <c r="D9" s="126"/>
      <c r="E9" s="154"/>
      <c r="F9" s="127"/>
      <c r="G9" s="128"/>
      <c r="H9" s="142"/>
      <c r="I9" s="151" t="str">
        <f>IF(ISBLANK(H9),"",(Products4[[#This Row],[Carbon footprint per item (g CO2e)]]*Products4[[#This Row],[Number of items per surgery]]/(Products4[[#This Row],[Number of uses per item]])))</f>
        <v/>
      </c>
      <c r="J9" s="155"/>
      <c r="K9" s="155"/>
      <c r="L9" s="155"/>
    </row>
    <row r="10" spans="2:19" x14ac:dyDescent="0.3">
      <c r="B10" s="124"/>
      <c r="C10" s="125"/>
      <c r="D10" s="126"/>
      <c r="E10" s="154"/>
      <c r="F10" s="127"/>
      <c r="G10" s="129"/>
      <c r="H10" s="142"/>
      <c r="I10" s="151" t="str">
        <f>IF(ISBLANK(H10),"",(Products4[[#This Row],[Carbon footprint per item (g CO2e)]]*Products4[[#This Row],[Number of items per surgery]]/(Products4[[#This Row],[Number of uses per item]])))</f>
        <v/>
      </c>
      <c r="J10" s="155"/>
      <c r="K10" s="155"/>
      <c r="L10" s="155"/>
    </row>
    <row r="11" spans="2:19" ht="15" thickBot="1" x14ac:dyDescent="0.35"/>
    <row r="12" spans="2:19" ht="23.25" customHeight="1" thickBot="1" x14ac:dyDescent="0.35">
      <c r="B12" s="177" t="s">
        <v>69</v>
      </c>
      <c r="C12" s="178"/>
      <c r="D12" s="178"/>
      <c r="E12" s="178"/>
      <c r="F12" s="178"/>
      <c r="G12" s="178"/>
      <c r="H12" s="178"/>
      <c r="I12" s="92"/>
      <c r="J12" s="92"/>
      <c r="K12" s="92"/>
      <c r="L12" s="92"/>
      <c r="M12" s="92"/>
      <c r="N12" s="92"/>
      <c r="O12" s="92"/>
    </row>
    <row r="13" spans="2:19" ht="12.6" customHeight="1" thickBot="1" x14ac:dyDescent="0.35">
      <c r="B13" s="82"/>
      <c r="C13" s="82"/>
      <c r="D13" s="82"/>
      <c r="E13" s="82"/>
      <c r="F13" s="82"/>
      <c r="G13" s="82"/>
      <c r="H13" s="82"/>
      <c r="I13" s="82"/>
      <c r="J13" s="82"/>
      <c r="K13" s="82"/>
      <c r="L13" s="82"/>
      <c r="M13" s="82"/>
      <c r="N13" s="82"/>
      <c r="O13" s="82"/>
    </row>
    <row r="14" spans="2:19" ht="106.95" customHeight="1" thickBot="1" x14ac:dyDescent="0.35">
      <c r="B14" s="164" t="s">
        <v>180</v>
      </c>
      <c r="C14" s="175"/>
      <c r="D14" s="175"/>
      <c r="E14" s="175"/>
      <c r="F14" s="175"/>
      <c r="G14" s="175"/>
      <c r="H14" s="176"/>
      <c r="I14" s="93"/>
      <c r="J14" s="93"/>
      <c r="K14" s="93"/>
      <c r="L14" s="93"/>
      <c r="M14" s="93"/>
      <c r="N14" s="93"/>
      <c r="O14" s="93"/>
    </row>
    <row r="16" spans="2:19" ht="65.400000000000006" thickBot="1" x14ac:dyDescent="0.35">
      <c r="B16" s="10" t="s">
        <v>2</v>
      </c>
      <c r="C16" s="7" t="s">
        <v>70</v>
      </c>
      <c r="D16" s="7" t="s">
        <v>181</v>
      </c>
      <c r="E16" s="7" t="s">
        <v>171</v>
      </c>
      <c r="F16" s="7" t="s">
        <v>205</v>
      </c>
      <c r="G16" s="7" t="s">
        <v>68</v>
      </c>
      <c r="H16" s="7" t="s">
        <v>182</v>
      </c>
      <c r="I16" s="7" t="s">
        <v>183</v>
      </c>
      <c r="J16" s="7" t="s">
        <v>184</v>
      </c>
      <c r="K16" s="86" t="s">
        <v>185</v>
      </c>
      <c r="L16" s="86" t="s">
        <v>186</v>
      </c>
      <c r="M16" s="86" t="s">
        <v>187</v>
      </c>
      <c r="N16" s="86" t="s">
        <v>188</v>
      </c>
      <c r="O16" s="86" t="s">
        <v>176</v>
      </c>
      <c r="P16" s="86" t="s">
        <v>189</v>
      </c>
      <c r="Q16" s="64" t="s">
        <v>177</v>
      </c>
      <c r="R16" s="86" t="s">
        <v>178</v>
      </c>
      <c r="S16" s="86" t="s">
        <v>190</v>
      </c>
    </row>
    <row r="17" spans="2:19" ht="15" thickTop="1" x14ac:dyDescent="0.3">
      <c r="B17" s="70"/>
      <c r="C17" s="71"/>
      <c r="D17" s="72"/>
      <c r="E17" s="72"/>
      <c r="F17" s="72"/>
      <c r="G17" s="73" t="str">
        <f>IF(ISBLANK(C17),"",VLOOKUP(C17,Products4[#All],2,FALSE))</f>
        <v/>
      </c>
      <c r="H17" s="73" t="str">
        <f t="shared" ref="H17:H32" si="0">IF(ISBLANK(D17),"",D17*O17)</f>
        <v/>
      </c>
      <c r="I17" s="73" t="str">
        <f t="shared" ref="I17:I32" si="1">IF(ISBLANK(F17),"",F17*P17)</f>
        <v/>
      </c>
      <c r="J17" s="95" t="str">
        <f t="shared" ref="J17:J32" si="2">IF(ISBLANK(D17),"",D17*M17)</f>
        <v/>
      </c>
      <c r="K17" s="80" t="str">
        <f t="shared" ref="K17:K32" si="3">IF(ISBLANK(F17),"",(F17*N17))</f>
        <v/>
      </c>
      <c r="L17" s="73" t="str">
        <f>IF(ISBLANK(E17),"",S17*E17)</f>
        <v/>
      </c>
      <c r="M17" s="80" t="str">
        <f>IF(ISBLANK(C17),"",VLOOKUP(C17,Products4[#All],3,FALSE))</f>
        <v/>
      </c>
      <c r="N17" s="80" t="str">
        <f t="shared" ref="N17:N32" si="4">IF(ISBLANK(C17),"",(M17*R17/(Q17)))</f>
        <v/>
      </c>
      <c r="O17" s="73" t="str">
        <f>IF(ISBLANK(C17),"",VLOOKUP(C17,Products4[#All],5,FALSE))</f>
        <v/>
      </c>
      <c r="P17" s="73" t="str">
        <f>IF(ISBLANK(C17),"",VLOOKUP(C17,Products4[#All],8,FALSE))</f>
        <v/>
      </c>
      <c r="Q17" s="83" t="str">
        <f>IF(ISBLANK(C17),"",VLOOKUP(C17,Products4[#All],6,FALSE))</f>
        <v/>
      </c>
      <c r="R17" s="83" t="str">
        <f>IF(ISBLANK(C17),"",VLOOKUP(C17,Products4[#All],7,FALSE))</f>
        <v/>
      </c>
      <c r="S17" s="139" t="str">
        <f>IF(ISBLANK(C17),"",VLOOKUP(C17,Products4[#All],4,FALSE))</f>
        <v/>
      </c>
    </row>
    <row r="18" spans="2:19" x14ac:dyDescent="0.3">
      <c r="B18" s="74"/>
      <c r="C18" s="75"/>
      <c r="D18" s="76"/>
      <c r="E18" s="76"/>
      <c r="F18" s="76"/>
      <c r="G18" s="77" t="str">
        <f>IF(ISBLANK(C18),"",VLOOKUP(C18,Products4[#All],2,FALSE))</f>
        <v/>
      </c>
      <c r="H18" s="77" t="str">
        <f t="shared" si="0"/>
        <v/>
      </c>
      <c r="I18" s="77" t="str">
        <f t="shared" si="1"/>
        <v/>
      </c>
      <c r="J18" s="96" t="str">
        <f t="shared" si="2"/>
        <v/>
      </c>
      <c r="K18" s="81" t="str">
        <f t="shared" si="3"/>
        <v/>
      </c>
      <c r="L18" s="77" t="str">
        <f t="shared" ref="L18:L32" si="5">IF(ISBLANK(D18),"",S18*E18)</f>
        <v/>
      </c>
      <c r="M18" s="81" t="str">
        <f>IF(ISBLANK(C18),"",VLOOKUP(C18,Products4[#All],3,FALSE))</f>
        <v/>
      </c>
      <c r="N18" s="81" t="str">
        <f t="shared" si="4"/>
        <v/>
      </c>
      <c r="O18" s="77" t="str">
        <f>IF(ISBLANK(C18),"",VLOOKUP(C18,Products4[#All],5,FALSE))</f>
        <v/>
      </c>
      <c r="P18" s="77" t="str">
        <f>IF(ISBLANK(C18),"",VLOOKUP(C18,Products4[#All],8,FALSE))</f>
        <v/>
      </c>
      <c r="Q18" s="85" t="str">
        <f>IF(ISBLANK(C18),"",VLOOKUP(C18,Products4[#All],6,FALSE))</f>
        <v/>
      </c>
      <c r="R18" s="85" t="str">
        <f>IF(ISBLANK(C18),"",VLOOKUP(C18,Products4[#All],7,FALSE))</f>
        <v/>
      </c>
      <c r="S18" s="140" t="str">
        <f>IF(ISBLANK(C18),"",VLOOKUP(C18,Products4[#All],4,FALSE))</f>
        <v/>
      </c>
    </row>
    <row r="19" spans="2:19" x14ac:dyDescent="0.3">
      <c r="B19" s="74"/>
      <c r="C19" s="75"/>
      <c r="D19" s="76"/>
      <c r="E19" s="76"/>
      <c r="F19" s="76"/>
      <c r="G19" s="77" t="str">
        <f>IF(ISBLANK(C19),"",VLOOKUP(C19,Products4[#All],2,FALSE))</f>
        <v/>
      </c>
      <c r="H19" s="77" t="str">
        <f t="shared" si="0"/>
        <v/>
      </c>
      <c r="I19" s="77" t="str">
        <f t="shared" si="1"/>
        <v/>
      </c>
      <c r="J19" s="96" t="str">
        <f t="shared" si="2"/>
        <v/>
      </c>
      <c r="K19" s="81" t="str">
        <f t="shared" si="3"/>
        <v/>
      </c>
      <c r="L19" s="77" t="str">
        <f t="shared" si="5"/>
        <v/>
      </c>
      <c r="M19" s="81" t="str">
        <f>IF(ISBLANK(C19),"",VLOOKUP(C19,Products4[#All],3,FALSE))</f>
        <v/>
      </c>
      <c r="N19" s="81" t="str">
        <f t="shared" si="4"/>
        <v/>
      </c>
      <c r="O19" s="77" t="str">
        <f>IF(ISBLANK(C19),"",VLOOKUP(C19,Products4[#All],5,FALSE))</f>
        <v/>
      </c>
      <c r="P19" s="77" t="str">
        <f>IF(ISBLANK(C19),"",VLOOKUP(C19,Products4[#All],8,FALSE))</f>
        <v/>
      </c>
      <c r="Q19" s="85" t="str">
        <f>IF(ISBLANK(C19),"",VLOOKUP(C19,Products4[#All],6,FALSE))</f>
        <v/>
      </c>
      <c r="R19" s="85" t="str">
        <f>IF(ISBLANK(C19),"",VLOOKUP(C19,Products4[#All],7,FALSE))</f>
        <v/>
      </c>
      <c r="S19" s="140" t="str">
        <f>IF(ISBLANK(C19),"",VLOOKUP(C19,Products4[#All],4,FALSE))</f>
        <v/>
      </c>
    </row>
    <row r="20" spans="2:19" x14ac:dyDescent="0.3">
      <c r="B20" s="74"/>
      <c r="C20" s="75"/>
      <c r="D20" s="76"/>
      <c r="E20" s="76"/>
      <c r="F20" s="76"/>
      <c r="G20" s="77" t="str">
        <f>IF(ISBLANK(C20),"",VLOOKUP(C20,Products4[#All],2,FALSE))</f>
        <v/>
      </c>
      <c r="H20" s="77" t="str">
        <f t="shared" si="0"/>
        <v/>
      </c>
      <c r="I20" s="77" t="str">
        <f t="shared" si="1"/>
        <v/>
      </c>
      <c r="J20" s="96" t="str">
        <f t="shared" si="2"/>
        <v/>
      </c>
      <c r="K20" s="81" t="str">
        <f t="shared" si="3"/>
        <v/>
      </c>
      <c r="L20" s="77" t="str">
        <f t="shared" si="5"/>
        <v/>
      </c>
      <c r="M20" s="81" t="str">
        <f>IF(ISBLANK(C20),"",VLOOKUP(C20,Products4[#All],3,FALSE))</f>
        <v/>
      </c>
      <c r="N20" s="81" t="str">
        <f t="shared" si="4"/>
        <v/>
      </c>
      <c r="O20" s="77" t="str">
        <f>IF(ISBLANK(C20),"",VLOOKUP(C20,Products4[#All],5,FALSE))</f>
        <v/>
      </c>
      <c r="P20" s="77" t="str">
        <f>IF(ISBLANK(C20),"",VLOOKUP(C20,Products4[#All],8,FALSE))</f>
        <v/>
      </c>
      <c r="Q20" s="85" t="str">
        <f>IF(ISBLANK(C20),"",VLOOKUP(C20,Products4[#All],6,FALSE))</f>
        <v/>
      </c>
      <c r="R20" s="85" t="str">
        <f>IF(ISBLANK(C20),"",VLOOKUP(C20,Products4[#All],7,FALSE))</f>
        <v/>
      </c>
      <c r="S20" s="140" t="str">
        <f>IF(ISBLANK(C20),"",VLOOKUP(C20,Products4[#All],4,FALSE))</f>
        <v/>
      </c>
    </row>
    <row r="21" spans="2:19" x14ac:dyDescent="0.3">
      <c r="B21" s="74"/>
      <c r="C21" s="75"/>
      <c r="D21" s="76"/>
      <c r="E21" s="76"/>
      <c r="F21" s="76"/>
      <c r="G21" s="77" t="str">
        <f>IF(ISBLANK(C21),"",VLOOKUP(C21,Products4[#All],2,FALSE))</f>
        <v/>
      </c>
      <c r="H21" s="77" t="str">
        <f t="shared" si="0"/>
        <v/>
      </c>
      <c r="I21" s="77" t="str">
        <f t="shared" si="1"/>
        <v/>
      </c>
      <c r="J21" s="96" t="str">
        <f t="shared" si="2"/>
        <v/>
      </c>
      <c r="K21" s="81" t="str">
        <f t="shared" si="3"/>
        <v/>
      </c>
      <c r="L21" s="77" t="str">
        <f t="shared" si="5"/>
        <v/>
      </c>
      <c r="M21" s="81" t="str">
        <f>IF(ISBLANK(C21),"",VLOOKUP(C21,Products4[#All],3,FALSE))</f>
        <v/>
      </c>
      <c r="N21" s="81" t="str">
        <f t="shared" si="4"/>
        <v/>
      </c>
      <c r="O21" s="77" t="str">
        <f>IF(ISBLANK(C21),"",VLOOKUP(C21,Products4[#All],5,FALSE))</f>
        <v/>
      </c>
      <c r="P21" s="77" t="str">
        <f>IF(ISBLANK(C21),"",VLOOKUP(C21,Products4[#All],8,FALSE))</f>
        <v/>
      </c>
      <c r="Q21" s="85" t="str">
        <f>IF(ISBLANK(C21),"",VLOOKUP(C21,Products4[#All],6,FALSE))</f>
        <v/>
      </c>
      <c r="R21" s="85" t="str">
        <f>IF(ISBLANK(C21),"",VLOOKUP(C21,Products4[#All],7,FALSE))</f>
        <v/>
      </c>
      <c r="S21" s="140" t="str">
        <f>IF(ISBLANK(C21),"",VLOOKUP(C21,Products4[#All],4,FALSE))</f>
        <v/>
      </c>
    </row>
    <row r="22" spans="2:19" x14ac:dyDescent="0.3">
      <c r="B22" s="74"/>
      <c r="C22" s="75"/>
      <c r="D22" s="76"/>
      <c r="E22" s="76"/>
      <c r="F22" s="76"/>
      <c r="G22" s="77" t="str">
        <f>IF(ISBLANK(C22),"",VLOOKUP(C22,Products4[#All],2,FALSE))</f>
        <v/>
      </c>
      <c r="H22" s="77" t="str">
        <f t="shared" si="0"/>
        <v/>
      </c>
      <c r="I22" s="77" t="str">
        <f t="shared" si="1"/>
        <v/>
      </c>
      <c r="J22" s="96" t="str">
        <f t="shared" si="2"/>
        <v/>
      </c>
      <c r="K22" s="81" t="str">
        <f t="shared" si="3"/>
        <v/>
      </c>
      <c r="L22" s="77" t="str">
        <f t="shared" si="5"/>
        <v/>
      </c>
      <c r="M22" s="81" t="str">
        <f>IF(ISBLANK(C22),"",VLOOKUP(C22,Products4[#All],3,FALSE))</f>
        <v/>
      </c>
      <c r="N22" s="81" t="str">
        <f t="shared" si="4"/>
        <v/>
      </c>
      <c r="O22" s="77" t="str">
        <f>IF(ISBLANK(C22),"",VLOOKUP(C22,Products4[#All],5,FALSE))</f>
        <v/>
      </c>
      <c r="P22" s="77" t="str">
        <f>IF(ISBLANK(C22),"",VLOOKUP(C22,Products4[#All],8,FALSE))</f>
        <v/>
      </c>
      <c r="Q22" s="85" t="str">
        <f>IF(ISBLANK(C22),"",VLOOKUP(C22,Products4[#All],6,FALSE))</f>
        <v/>
      </c>
      <c r="R22" s="85" t="str">
        <f>IF(ISBLANK(C22),"",VLOOKUP(C22,Products4[#All],7,FALSE))</f>
        <v/>
      </c>
      <c r="S22" s="140" t="str">
        <f>IF(ISBLANK(C22),"",VLOOKUP(C22,Products4[#All],4,FALSE))</f>
        <v/>
      </c>
    </row>
    <row r="23" spans="2:19" x14ac:dyDescent="0.3">
      <c r="B23" s="74"/>
      <c r="C23" s="75"/>
      <c r="D23" s="76"/>
      <c r="E23" s="76"/>
      <c r="F23" s="76"/>
      <c r="G23" s="77" t="str">
        <f>IF(ISBLANK(C23),"",VLOOKUP(C23,Products4[#All],2,FALSE))</f>
        <v/>
      </c>
      <c r="H23" s="77" t="str">
        <f t="shared" si="0"/>
        <v/>
      </c>
      <c r="I23" s="77" t="str">
        <f t="shared" si="1"/>
        <v/>
      </c>
      <c r="J23" s="96" t="str">
        <f t="shared" si="2"/>
        <v/>
      </c>
      <c r="K23" s="81" t="str">
        <f t="shared" si="3"/>
        <v/>
      </c>
      <c r="L23" s="77" t="str">
        <f t="shared" si="5"/>
        <v/>
      </c>
      <c r="M23" s="81" t="str">
        <f>IF(ISBLANK(C23),"",VLOOKUP(C23,Products4[#All],3,FALSE))</f>
        <v/>
      </c>
      <c r="N23" s="81" t="str">
        <f t="shared" si="4"/>
        <v/>
      </c>
      <c r="O23" s="77" t="str">
        <f>IF(ISBLANK(C23),"",VLOOKUP(C23,Products4[#All],5,FALSE))</f>
        <v/>
      </c>
      <c r="P23" s="77" t="str">
        <f>IF(ISBLANK(C23),"",VLOOKUP(C23,Products4[#All],8,FALSE))</f>
        <v/>
      </c>
      <c r="Q23" s="85" t="str">
        <f>IF(ISBLANK(C23),"",VLOOKUP(C23,Products4[#All],6,FALSE))</f>
        <v/>
      </c>
      <c r="R23" s="85" t="str">
        <f>IF(ISBLANK(C23),"",VLOOKUP(C23,Products4[#All],7,FALSE))</f>
        <v/>
      </c>
      <c r="S23" s="140" t="str">
        <f>IF(ISBLANK(C23),"",VLOOKUP(C23,Products4[#All],4,FALSE))</f>
        <v/>
      </c>
    </row>
    <row r="24" spans="2:19" x14ac:dyDescent="0.3">
      <c r="B24" s="74"/>
      <c r="C24" s="75"/>
      <c r="D24" s="76"/>
      <c r="E24" s="76"/>
      <c r="F24" s="76"/>
      <c r="G24" s="77" t="str">
        <f>IF(ISBLANK(C24),"",VLOOKUP(C24,Products4[#All],2,FALSE))</f>
        <v/>
      </c>
      <c r="H24" s="77" t="str">
        <f t="shared" si="0"/>
        <v/>
      </c>
      <c r="I24" s="77" t="str">
        <f t="shared" si="1"/>
        <v/>
      </c>
      <c r="J24" s="96" t="str">
        <f t="shared" si="2"/>
        <v/>
      </c>
      <c r="K24" s="81" t="str">
        <f t="shared" si="3"/>
        <v/>
      </c>
      <c r="L24" s="77" t="str">
        <f t="shared" si="5"/>
        <v/>
      </c>
      <c r="M24" s="81" t="str">
        <f>IF(ISBLANK(C24),"",VLOOKUP(C24,Products4[#All],3,FALSE))</f>
        <v/>
      </c>
      <c r="N24" s="81" t="str">
        <f t="shared" si="4"/>
        <v/>
      </c>
      <c r="O24" s="77" t="str">
        <f>IF(ISBLANK(C24),"",VLOOKUP(C24,Products4[#All],5,FALSE))</f>
        <v/>
      </c>
      <c r="P24" s="77" t="str">
        <f>IF(ISBLANK(C24),"",VLOOKUP(C24,Products4[#All],8,FALSE))</f>
        <v/>
      </c>
      <c r="Q24" s="85" t="str">
        <f>IF(ISBLANK(C24),"",VLOOKUP(C24,Products4[#All],6,FALSE))</f>
        <v/>
      </c>
      <c r="R24" s="85" t="str">
        <f>IF(ISBLANK(C24),"",VLOOKUP(C24,Products4[#All],7,FALSE))</f>
        <v/>
      </c>
      <c r="S24" s="140" t="str">
        <f>IF(ISBLANK(C24),"",VLOOKUP(C24,Products4[#All],4,FALSE))</f>
        <v/>
      </c>
    </row>
    <row r="25" spans="2:19" x14ac:dyDescent="0.3">
      <c r="B25" s="74"/>
      <c r="C25" s="75"/>
      <c r="D25" s="76"/>
      <c r="E25" s="76"/>
      <c r="F25" s="76"/>
      <c r="G25" s="77" t="str">
        <f>IF(ISBLANK(C25),"",VLOOKUP(C25,Products4[#All],2,FALSE))</f>
        <v/>
      </c>
      <c r="H25" s="77" t="str">
        <f t="shared" si="0"/>
        <v/>
      </c>
      <c r="I25" s="77" t="str">
        <f t="shared" si="1"/>
        <v/>
      </c>
      <c r="J25" s="96" t="str">
        <f t="shared" si="2"/>
        <v/>
      </c>
      <c r="K25" s="81" t="str">
        <f t="shared" si="3"/>
        <v/>
      </c>
      <c r="L25" s="77" t="str">
        <f t="shared" si="5"/>
        <v/>
      </c>
      <c r="M25" s="81" t="str">
        <f>IF(ISBLANK(C25),"",VLOOKUP(C25,Products4[#All],3,FALSE))</f>
        <v/>
      </c>
      <c r="N25" s="81" t="str">
        <f t="shared" si="4"/>
        <v/>
      </c>
      <c r="O25" s="77" t="str">
        <f>IF(ISBLANK(C25),"",VLOOKUP(C25,Products4[#All],5,FALSE))</f>
        <v/>
      </c>
      <c r="P25" s="77" t="str">
        <f>IF(ISBLANK(C25),"",VLOOKUP(C25,Products4[#All],8,FALSE))</f>
        <v/>
      </c>
      <c r="Q25" s="85" t="str">
        <f>IF(ISBLANK(C25),"",VLOOKUP(C25,Products4[#All],6,FALSE))</f>
        <v/>
      </c>
      <c r="R25" s="85" t="str">
        <f>IF(ISBLANK(C25),"",VLOOKUP(C25,Products4[#All],7,FALSE))</f>
        <v/>
      </c>
      <c r="S25" s="140" t="str">
        <f>IF(ISBLANK(C25),"",VLOOKUP(C25,Products4[#All],4,FALSE))</f>
        <v/>
      </c>
    </row>
    <row r="26" spans="2:19" x14ac:dyDescent="0.3">
      <c r="B26" s="74"/>
      <c r="C26" s="75"/>
      <c r="D26" s="76"/>
      <c r="E26" s="76"/>
      <c r="F26" s="76"/>
      <c r="G26" s="77" t="str">
        <f>IF(ISBLANK(C26),"",VLOOKUP(C26,Products4[#All],2,FALSE))</f>
        <v/>
      </c>
      <c r="H26" s="77" t="str">
        <f t="shared" si="0"/>
        <v/>
      </c>
      <c r="I26" s="77" t="str">
        <f t="shared" si="1"/>
        <v/>
      </c>
      <c r="J26" s="96" t="str">
        <f t="shared" si="2"/>
        <v/>
      </c>
      <c r="K26" s="81" t="str">
        <f t="shared" si="3"/>
        <v/>
      </c>
      <c r="L26" s="77" t="str">
        <f t="shared" si="5"/>
        <v/>
      </c>
      <c r="M26" s="81" t="str">
        <f>IF(ISBLANK(C26),"",VLOOKUP(C26,Products4[#All],3,FALSE))</f>
        <v/>
      </c>
      <c r="N26" s="81" t="str">
        <f t="shared" si="4"/>
        <v/>
      </c>
      <c r="O26" s="77" t="str">
        <f>IF(ISBLANK(C26),"",VLOOKUP(C26,Products4[#All],5,FALSE))</f>
        <v/>
      </c>
      <c r="P26" s="77" t="str">
        <f>IF(ISBLANK(C26),"",VLOOKUP(C26,Products4[#All],8,FALSE))</f>
        <v/>
      </c>
      <c r="Q26" s="85" t="str">
        <f>IF(ISBLANK(C26),"",VLOOKUP(C26,Products4[#All],6,FALSE))</f>
        <v/>
      </c>
      <c r="R26" s="85" t="str">
        <f>IF(ISBLANK(C26),"",VLOOKUP(C26,Products4[#All],7,FALSE))</f>
        <v/>
      </c>
      <c r="S26" s="140" t="str">
        <f>IF(ISBLANK(C26),"",VLOOKUP(C26,Products4[#All],4,FALSE))</f>
        <v/>
      </c>
    </row>
    <row r="27" spans="2:19" x14ac:dyDescent="0.3">
      <c r="B27" s="74"/>
      <c r="C27" s="75"/>
      <c r="D27" s="76"/>
      <c r="E27" s="76"/>
      <c r="F27" s="76"/>
      <c r="G27" s="77" t="str">
        <f>IF(ISBLANK(C27),"",VLOOKUP(C27,Products4[#All],2,FALSE))</f>
        <v/>
      </c>
      <c r="H27" s="77" t="str">
        <f t="shared" si="0"/>
        <v/>
      </c>
      <c r="I27" s="77" t="str">
        <f t="shared" si="1"/>
        <v/>
      </c>
      <c r="J27" s="96" t="str">
        <f t="shared" si="2"/>
        <v/>
      </c>
      <c r="K27" s="81" t="str">
        <f t="shared" si="3"/>
        <v/>
      </c>
      <c r="L27" s="77" t="str">
        <f t="shared" si="5"/>
        <v/>
      </c>
      <c r="M27" s="81" t="str">
        <f>IF(ISBLANK(C27),"",VLOOKUP(C27,Products4[#All],3,FALSE))</f>
        <v/>
      </c>
      <c r="N27" s="81" t="str">
        <f t="shared" si="4"/>
        <v/>
      </c>
      <c r="O27" s="77" t="str">
        <f>IF(ISBLANK(C27),"",VLOOKUP(C27,Products4[#All],5,FALSE))</f>
        <v/>
      </c>
      <c r="P27" s="77" t="str">
        <f>IF(ISBLANK(C27),"",VLOOKUP(C27,Products4[#All],8,FALSE))</f>
        <v/>
      </c>
      <c r="Q27" s="85" t="str">
        <f>IF(ISBLANK(C27),"",VLOOKUP(C27,Products4[#All],6,FALSE))</f>
        <v/>
      </c>
      <c r="R27" s="85" t="str">
        <f>IF(ISBLANK(C27),"",VLOOKUP(C27,Products4[#All],7,FALSE))</f>
        <v/>
      </c>
      <c r="S27" s="140" t="str">
        <f>IF(ISBLANK(C27),"",VLOOKUP(C27,Products4[#All],4,FALSE))</f>
        <v/>
      </c>
    </row>
    <row r="28" spans="2:19" x14ac:dyDescent="0.3">
      <c r="B28" s="74"/>
      <c r="C28" s="75"/>
      <c r="D28" s="76"/>
      <c r="E28" s="76"/>
      <c r="F28" s="76"/>
      <c r="G28" s="77" t="str">
        <f>IF(ISBLANK(C28),"",VLOOKUP(C28,Products4[#All],2,FALSE))</f>
        <v/>
      </c>
      <c r="H28" s="77" t="str">
        <f t="shared" si="0"/>
        <v/>
      </c>
      <c r="I28" s="77" t="str">
        <f t="shared" si="1"/>
        <v/>
      </c>
      <c r="J28" s="96" t="str">
        <f t="shared" si="2"/>
        <v/>
      </c>
      <c r="K28" s="81" t="str">
        <f t="shared" si="3"/>
        <v/>
      </c>
      <c r="L28" s="77" t="str">
        <f t="shared" si="5"/>
        <v/>
      </c>
      <c r="M28" s="81" t="str">
        <f>IF(ISBLANK(C28),"",VLOOKUP(C28,Products4[#All],3,FALSE))</f>
        <v/>
      </c>
      <c r="N28" s="81" t="str">
        <f t="shared" si="4"/>
        <v/>
      </c>
      <c r="O28" s="77" t="str">
        <f>IF(ISBLANK(C28),"",VLOOKUP(C28,Products4[#All],5,FALSE))</f>
        <v/>
      </c>
      <c r="P28" s="77" t="str">
        <f>IF(ISBLANK(C28),"",VLOOKUP(C28,Products4[#All],8,FALSE))</f>
        <v/>
      </c>
      <c r="Q28" s="85" t="str">
        <f>IF(ISBLANK(C28),"",VLOOKUP(C28,Products4[#All],6,FALSE))</f>
        <v/>
      </c>
      <c r="R28" s="85" t="str">
        <f>IF(ISBLANK(C28),"",VLOOKUP(C28,Products4[#All],7,FALSE))</f>
        <v/>
      </c>
      <c r="S28" s="140" t="str">
        <f>IF(ISBLANK(C28),"",VLOOKUP(C28,Products4[#All],4,FALSE))</f>
        <v/>
      </c>
    </row>
    <row r="29" spans="2:19" x14ac:dyDescent="0.3">
      <c r="B29" s="74"/>
      <c r="C29" s="75"/>
      <c r="D29" s="76"/>
      <c r="E29" s="76"/>
      <c r="F29" s="76"/>
      <c r="G29" s="77" t="str">
        <f>IF(ISBLANK(C29),"",VLOOKUP(C29,Products4[#All],2,FALSE))</f>
        <v/>
      </c>
      <c r="H29" s="77" t="str">
        <f t="shared" si="0"/>
        <v/>
      </c>
      <c r="I29" s="77" t="str">
        <f t="shared" si="1"/>
        <v/>
      </c>
      <c r="J29" s="96" t="str">
        <f t="shared" si="2"/>
        <v/>
      </c>
      <c r="K29" s="81" t="str">
        <f t="shared" si="3"/>
        <v/>
      </c>
      <c r="L29" s="77" t="str">
        <f t="shared" si="5"/>
        <v/>
      </c>
      <c r="M29" s="81" t="str">
        <f>IF(ISBLANK(C29),"",VLOOKUP(C29,Products4[#All],3,FALSE))</f>
        <v/>
      </c>
      <c r="N29" s="81" t="str">
        <f t="shared" si="4"/>
        <v/>
      </c>
      <c r="O29" s="77" t="str">
        <f>IF(ISBLANK(C29),"",VLOOKUP(C29,Products4[#All],5,FALSE))</f>
        <v/>
      </c>
      <c r="P29" s="77" t="str">
        <f>IF(ISBLANK(C29),"",VLOOKUP(C29,Products4[#All],8,FALSE))</f>
        <v/>
      </c>
      <c r="Q29" s="85" t="str">
        <f>IF(ISBLANK(C29),"",VLOOKUP(C29,Products4[#All],6,FALSE))</f>
        <v/>
      </c>
      <c r="R29" s="85" t="str">
        <f>IF(ISBLANK(C29),"",VLOOKUP(C29,Products4[#All],7,FALSE))</f>
        <v/>
      </c>
      <c r="S29" s="140" t="str">
        <f>IF(ISBLANK(C29),"",VLOOKUP(C29,Products4[#All],4,FALSE))</f>
        <v/>
      </c>
    </row>
    <row r="30" spans="2:19" x14ac:dyDescent="0.3">
      <c r="B30" s="74"/>
      <c r="C30" s="75"/>
      <c r="D30" s="76"/>
      <c r="E30" s="76"/>
      <c r="F30" s="76"/>
      <c r="G30" s="77" t="str">
        <f>IF(ISBLANK(C30),"",VLOOKUP(C30,Products4[#All],2,FALSE))</f>
        <v/>
      </c>
      <c r="H30" s="77" t="str">
        <f t="shared" si="0"/>
        <v/>
      </c>
      <c r="I30" s="77" t="str">
        <f t="shared" si="1"/>
        <v/>
      </c>
      <c r="J30" s="96" t="str">
        <f t="shared" si="2"/>
        <v/>
      </c>
      <c r="K30" s="81" t="str">
        <f t="shared" si="3"/>
        <v/>
      </c>
      <c r="L30" s="77" t="str">
        <f t="shared" si="5"/>
        <v/>
      </c>
      <c r="M30" s="81" t="str">
        <f>IF(ISBLANK(C30),"",VLOOKUP(C30,Products4[#All],3,FALSE))</f>
        <v/>
      </c>
      <c r="N30" s="81" t="str">
        <f t="shared" si="4"/>
        <v/>
      </c>
      <c r="O30" s="77" t="str">
        <f>IF(ISBLANK(C30),"",VLOOKUP(C30,Products4[#All],5,FALSE))</f>
        <v/>
      </c>
      <c r="P30" s="77" t="str">
        <f>IF(ISBLANK(C30),"",VLOOKUP(C30,Products4[#All],8,FALSE))</f>
        <v/>
      </c>
      <c r="Q30" s="85" t="str">
        <f>IF(ISBLANK(C30),"",VLOOKUP(C30,Products4[#All],6,FALSE))</f>
        <v/>
      </c>
      <c r="R30" s="85" t="str">
        <f>IF(ISBLANK(C30),"",VLOOKUP(C30,Products4[#All],7,FALSE))</f>
        <v/>
      </c>
      <c r="S30" s="140" t="str">
        <f>IF(ISBLANK(C30),"",VLOOKUP(C30,Products4[#All],4,FALSE))</f>
        <v/>
      </c>
    </row>
    <row r="31" spans="2:19" x14ac:dyDescent="0.3">
      <c r="B31" s="74"/>
      <c r="C31" s="75"/>
      <c r="D31" s="76"/>
      <c r="E31" s="76"/>
      <c r="F31" s="76"/>
      <c r="G31" s="77" t="str">
        <f>IF(ISBLANK(C31),"",VLOOKUP(C31,Products4[#All],2,FALSE))</f>
        <v/>
      </c>
      <c r="H31" s="77" t="str">
        <f t="shared" si="0"/>
        <v/>
      </c>
      <c r="I31" s="77" t="str">
        <f t="shared" si="1"/>
        <v/>
      </c>
      <c r="J31" s="96" t="str">
        <f t="shared" si="2"/>
        <v/>
      </c>
      <c r="K31" s="81" t="str">
        <f t="shared" si="3"/>
        <v/>
      </c>
      <c r="L31" s="77" t="str">
        <f t="shared" si="5"/>
        <v/>
      </c>
      <c r="M31" s="81" t="str">
        <f>IF(ISBLANK(C31),"",VLOOKUP(C31,Products4[#All],3,FALSE))</f>
        <v/>
      </c>
      <c r="N31" s="81" t="str">
        <f t="shared" si="4"/>
        <v/>
      </c>
      <c r="O31" s="77" t="str">
        <f>IF(ISBLANK(C31),"",VLOOKUP(C31,Products4[#All],5,FALSE))</f>
        <v/>
      </c>
      <c r="P31" s="77" t="str">
        <f>IF(ISBLANK(C31),"",VLOOKUP(C31,Products4[#All],8,FALSE))</f>
        <v/>
      </c>
      <c r="Q31" s="85" t="str">
        <f>IF(ISBLANK(C31),"",VLOOKUP(C31,Products4[#All],6,FALSE))</f>
        <v/>
      </c>
      <c r="R31" s="85" t="str">
        <f>IF(ISBLANK(C31),"",VLOOKUP(C31,Products4[#All],7,FALSE))</f>
        <v/>
      </c>
      <c r="S31" s="140" t="str">
        <f>IF(ISBLANK(C31),"",VLOOKUP(C31,Products4[#All],4,FALSE))</f>
        <v/>
      </c>
    </row>
    <row r="32" spans="2:19" x14ac:dyDescent="0.3">
      <c r="B32" s="74"/>
      <c r="C32" s="75"/>
      <c r="D32" s="76"/>
      <c r="E32" s="76"/>
      <c r="F32" s="76"/>
      <c r="G32" s="77" t="str">
        <f>IF(ISBLANK(C32),"",VLOOKUP(C32,Products4[#All],2,FALSE))</f>
        <v/>
      </c>
      <c r="H32" s="77" t="str">
        <f t="shared" si="0"/>
        <v/>
      </c>
      <c r="I32" s="77" t="str">
        <f t="shared" si="1"/>
        <v/>
      </c>
      <c r="J32" s="96" t="str">
        <f t="shared" si="2"/>
        <v/>
      </c>
      <c r="K32" s="81" t="str">
        <f t="shared" si="3"/>
        <v/>
      </c>
      <c r="L32" s="77" t="str">
        <f t="shared" si="5"/>
        <v/>
      </c>
      <c r="M32" s="81" t="str">
        <f>IF(ISBLANK(C32),"",VLOOKUP(C32,Products4[#All],3,FALSE))</f>
        <v/>
      </c>
      <c r="N32" s="81" t="str">
        <f t="shared" si="4"/>
        <v/>
      </c>
      <c r="O32" s="77" t="str">
        <f>IF(ISBLANK(C32),"",VLOOKUP(C32,Products4[#All],5,FALSE))</f>
        <v/>
      </c>
      <c r="P32" s="77" t="str">
        <f>IF(ISBLANK(C32),"",VLOOKUP(C32,Products4[#All],8,FALSE))</f>
        <v/>
      </c>
      <c r="Q32" s="85" t="str">
        <f>IF(ISBLANK(C32),"",VLOOKUP(C32,Products4[#All],6,FALSE))</f>
        <v/>
      </c>
      <c r="R32" s="85" t="str">
        <f>IF(ISBLANK(C32),"",VLOOKUP(C32,Products4[#All],7,FALSE))</f>
        <v/>
      </c>
      <c r="S32" s="140" t="str">
        <f>IF(ISBLANK(C32),"",VLOOKUP(C32,Products4[#All],4,FALSE))</f>
        <v/>
      </c>
    </row>
    <row r="33" spans="2:15" x14ac:dyDescent="0.3">
      <c r="D33" s="156"/>
      <c r="E33" s="156"/>
      <c r="F33" s="156"/>
    </row>
    <row r="34" spans="2:15" ht="15" thickBot="1" x14ac:dyDescent="0.35"/>
    <row r="35" spans="2:15" ht="23.25" customHeight="1" thickBot="1" x14ac:dyDescent="0.35">
      <c r="B35" s="168" t="s">
        <v>191</v>
      </c>
      <c r="C35" s="169"/>
      <c r="D35" s="169"/>
      <c r="E35" s="169"/>
      <c r="F35" s="169"/>
      <c r="G35" s="169"/>
      <c r="H35" s="169"/>
      <c r="I35" s="92"/>
      <c r="J35" s="92"/>
      <c r="K35" s="92"/>
      <c r="L35" s="92"/>
      <c r="M35" s="92"/>
      <c r="N35" s="92"/>
      <c r="O35" s="92"/>
    </row>
    <row r="36" spans="2:15" ht="15" thickBot="1" x14ac:dyDescent="0.35"/>
    <row r="37" spans="2:15" ht="90" customHeight="1" thickBot="1" x14ac:dyDescent="0.35">
      <c r="B37" s="167" t="s">
        <v>192</v>
      </c>
      <c r="C37" s="165"/>
      <c r="D37" s="165"/>
      <c r="E37" s="165"/>
      <c r="F37" s="165"/>
      <c r="G37" s="165"/>
      <c r="H37" s="166"/>
      <c r="I37" s="93"/>
      <c r="J37" s="93"/>
      <c r="K37" s="93"/>
      <c r="L37" s="93"/>
      <c r="M37" s="93"/>
      <c r="N37" s="93"/>
      <c r="O37" s="93"/>
    </row>
    <row r="40" spans="2:15" ht="47.4" thickBot="1" x14ac:dyDescent="0.35">
      <c r="B40" s="87" t="s">
        <v>2</v>
      </c>
      <c r="C40" s="86" t="s">
        <v>193</v>
      </c>
      <c r="D40" s="86" t="s">
        <v>194</v>
      </c>
      <c r="E40" s="86" t="s">
        <v>195</v>
      </c>
    </row>
    <row r="41" spans="2:15" ht="15" thickTop="1" x14ac:dyDescent="0.3">
      <c r="B41" s="11" t="s">
        <v>5</v>
      </c>
      <c r="C41" s="94" t="str">
        <f t="shared" ref="C41:C50" si="6">IF(COUNTIF($B$17:$B$32,B41)&gt;0,SUMIFS($F$17:$F$32,$B$17:$B$32,B41,$G$17:$G$32,"reusable"),"")</f>
        <v/>
      </c>
      <c r="D41" s="94" t="str">
        <f t="shared" ref="D41:D50" si="7">IF(COUNTIF($B$17:$B$32,B41)&gt;0,(SUMIFS($F$17:$F$32,$B$17:$B$32,B41)),"")</f>
        <v/>
      </c>
      <c r="E41" s="88" t="str">
        <f>IF(COUNTIF($B$17:$B$32,B41)&gt;0,C41/D41,"")</f>
        <v/>
      </c>
    </row>
    <row r="42" spans="2:15" x14ac:dyDescent="0.3">
      <c r="B42" s="14" t="s">
        <v>6</v>
      </c>
      <c r="C42" s="94" t="str">
        <f t="shared" si="6"/>
        <v/>
      </c>
      <c r="D42" s="94" t="str">
        <f t="shared" si="7"/>
        <v/>
      </c>
      <c r="E42" s="88" t="str">
        <f>IF(COUNTIF($B$17:$B$32,B42)&gt;0,C42/D42,"")</f>
        <v/>
      </c>
    </row>
    <row r="43" spans="2:15" x14ac:dyDescent="0.3">
      <c r="B43" s="14" t="s">
        <v>7</v>
      </c>
      <c r="C43" s="94" t="str">
        <f t="shared" si="6"/>
        <v/>
      </c>
      <c r="D43" s="94" t="str">
        <f t="shared" si="7"/>
        <v/>
      </c>
      <c r="E43" s="88" t="str">
        <f t="shared" ref="E43:E50" si="8">IF(COUNTIF($B$17:$B$32,B43)&gt;0,C43/D43,"")</f>
        <v/>
      </c>
    </row>
    <row r="44" spans="2:15" x14ac:dyDescent="0.3">
      <c r="B44" s="14" t="s">
        <v>8</v>
      </c>
      <c r="C44" s="94" t="str">
        <f t="shared" si="6"/>
        <v/>
      </c>
      <c r="D44" s="94" t="str">
        <f t="shared" si="7"/>
        <v/>
      </c>
      <c r="E44" s="88" t="str">
        <f t="shared" si="8"/>
        <v/>
      </c>
    </row>
    <row r="45" spans="2:15" x14ac:dyDescent="0.3">
      <c r="B45" s="14" t="s">
        <v>9</v>
      </c>
      <c r="C45" s="94" t="str">
        <f t="shared" si="6"/>
        <v/>
      </c>
      <c r="D45" s="94" t="str">
        <f t="shared" si="7"/>
        <v/>
      </c>
      <c r="E45" s="88" t="str">
        <f t="shared" si="8"/>
        <v/>
      </c>
    </row>
    <row r="46" spans="2:15" x14ac:dyDescent="0.3">
      <c r="B46" s="14" t="s">
        <v>10</v>
      </c>
      <c r="C46" s="94" t="str">
        <f t="shared" si="6"/>
        <v/>
      </c>
      <c r="D46" s="94" t="str">
        <f t="shared" si="7"/>
        <v/>
      </c>
      <c r="E46" s="88" t="str">
        <f t="shared" si="8"/>
        <v/>
      </c>
    </row>
    <row r="47" spans="2:15" x14ac:dyDescent="0.3">
      <c r="B47" s="14" t="s">
        <v>11</v>
      </c>
      <c r="C47" s="94" t="str">
        <f t="shared" si="6"/>
        <v/>
      </c>
      <c r="D47" s="94" t="str">
        <f t="shared" si="7"/>
        <v/>
      </c>
      <c r="E47" s="88" t="str">
        <f t="shared" si="8"/>
        <v/>
      </c>
    </row>
    <row r="48" spans="2:15" x14ac:dyDescent="0.3">
      <c r="B48" s="14" t="s">
        <v>12</v>
      </c>
      <c r="C48" s="94" t="str">
        <f t="shared" si="6"/>
        <v/>
      </c>
      <c r="D48" s="94" t="str">
        <f t="shared" si="7"/>
        <v/>
      </c>
      <c r="E48" s="88" t="str">
        <f t="shared" si="8"/>
        <v/>
      </c>
    </row>
    <row r="49" spans="2:15" x14ac:dyDescent="0.3">
      <c r="B49" s="14" t="s">
        <v>13</v>
      </c>
      <c r="C49" s="94" t="str">
        <f t="shared" si="6"/>
        <v/>
      </c>
      <c r="D49" s="94" t="str">
        <f t="shared" si="7"/>
        <v/>
      </c>
      <c r="E49" s="88" t="str">
        <f t="shared" si="8"/>
        <v/>
      </c>
    </row>
    <row r="50" spans="2:15" x14ac:dyDescent="0.3">
      <c r="B50" s="14" t="s">
        <v>14</v>
      </c>
      <c r="C50" s="94" t="str">
        <f t="shared" si="6"/>
        <v/>
      </c>
      <c r="D50" s="94" t="str">
        <f t="shared" si="7"/>
        <v/>
      </c>
      <c r="E50" s="88" t="str">
        <f t="shared" si="8"/>
        <v/>
      </c>
    </row>
    <row r="52" spans="2:15" ht="15" thickBot="1" x14ac:dyDescent="0.35"/>
    <row r="53" spans="2:15" ht="23.25" customHeight="1" thickBot="1" x14ac:dyDescent="0.35">
      <c r="B53" s="168" t="s">
        <v>196</v>
      </c>
      <c r="C53" s="169"/>
      <c r="D53" s="169"/>
      <c r="E53" s="169"/>
      <c r="F53" s="169"/>
      <c r="G53" s="169"/>
      <c r="H53" s="169"/>
      <c r="I53" s="92"/>
      <c r="J53" s="92"/>
      <c r="K53" s="92"/>
      <c r="L53" s="92"/>
      <c r="M53" s="92"/>
      <c r="N53" s="92"/>
      <c r="O53" s="92"/>
    </row>
    <row r="54" spans="2:15" ht="15" thickBot="1" x14ac:dyDescent="0.35"/>
    <row r="55" spans="2:15" ht="66.599999999999994" customHeight="1" thickBot="1" x14ac:dyDescent="0.35">
      <c r="B55" s="167" t="s">
        <v>197</v>
      </c>
      <c r="C55" s="165"/>
      <c r="D55" s="165"/>
      <c r="E55" s="165"/>
      <c r="F55" s="165"/>
      <c r="G55" s="165"/>
      <c r="H55" s="166"/>
      <c r="I55" s="93"/>
      <c r="J55" s="93"/>
      <c r="K55" s="93"/>
      <c r="L55" s="93"/>
      <c r="M55" s="93"/>
      <c r="N55" s="93"/>
      <c r="O55" s="93"/>
    </row>
    <row r="58" spans="2:15" ht="31.8" thickBot="1" x14ac:dyDescent="0.35">
      <c r="B58" s="87" t="s">
        <v>2</v>
      </c>
      <c r="C58" s="86" t="s">
        <v>198</v>
      </c>
      <c r="D58" s="86" t="s">
        <v>199</v>
      </c>
      <c r="E58" s="86" t="s">
        <v>200</v>
      </c>
    </row>
    <row r="59" spans="2:15" ht="15" thickTop="1" x14ac:dyDescent="0.3">
      <c r="B59" s="11" t="s">
        <v>5</v>
      </c>
      <c r="C59" s="97" t="str">
        <f t="shared" ref="C59:C68" si="9">IF(COUNTIF($B$17:$B$32,B59)&gt;0,SUMIF($B$17:$B$32,B59,$K$17:$K$32),"")</f>
        <v/>
      </c>
      <c r="D59" s="152" t="str">
        <f>IF(COUNTIF($B$17:$B$32,B59)&gt;0,(SUMIFS($F$17:$F$32,$B$17:$B$32,B59)),"")</f>
        <v/>
      </c>
      <c r="E59" s="97" t="str">
        <f>IF(COUNTIF($B$17:$B$32,B59)&gt;0,C59/D59,"")</f>
        <v/>
      </c>
    </row>
    <row r="60" spans="2:15" x14ac:dyDescent="0.3">
      <c r="B60" s="14" t="s">
        <v>6</v>
      </c>
      <c r="C60" s="97" t="str">
        <f t="shared" si="9"/>
        <v/>
      </c>
      <c r="D60" s="152" t="str">
        <f t="shared" ref="D60:D68" si="10">IF(COUNTIF($B$17:$B$32,B60)&gt;0,(SUMIFS($F$17:$F$32,$B$17:$B$32,B60)),"")</f>
        <v/>
      </c>
      <c r="E60" s="97" t="str">
        <f t="shared" ref="E60:E68" si="11">IF(COUNTIF($B$17:$B$32,B60)&gt;0,C60/D60,"")</f>
        <v/>
      </c>
    </row>
    <row r="61" spans="2:15" x14ac:dyDescent="0.3">
      <c r="B61" s="14" t="s">
        <v>7</v>
      </c>
      <c r="C61" s="97" t="str">
        <f t="shared" si="9"/>
        <v/>
      </c>
      <c r="D61" s="152" t="str">
        <f t="shared" si="10"/>
        <v/>
      </c>
      <c r="E61" s="97" t="str">
        <f t="shared" si="11"/>
        <v/>
      </c>
    </row>
    <row r="62" spans="2:15" x14ac:dyDescent="0.3">
      <c r="B62" s="14" t="s">
        <v>8</v>
      </c>
      <c r="C62" s="97" t="str">
        <f t="shared" si="9"/>
        <v/>
      </c>
      <c r="D62" s="152" t="str">
        <f t="shared" si="10"/>
        <v/>
      </c>
      <c r="E62" s="97" t="str">
        <f t="shared" si="11"/>
        <v/>
      </c>
    </row>
    <row r="63" spans="2:15" x14ac:dyDescent="0.3">
      <c r="B63" s="14" t="s">
        <v>9</v>
      </c>
      <c r="C63" s="97" t="str">
        <f t="shared" si="9"/>
        <v/>
      </c>
      <c r="D63" s="152" t="str">
        <f t="shared" si="10"/>
        <v/>
      </c>
      <c r="E63" s="97" t="str">
        <f t="shared" si="11"/>
        <v/>
      </c>
    </row>
    <row r="64" spans="2:15" x14ac:dyDescent="0.3">
      <c r="B64" s="14" t="s">
        <v>10</v>
      </c>
      <c r="C64" s="97" t="str">
        <f t="shared" si="9"/>
        <v/>
      </c>
      <c r="D64" s="152" t="str">
        <f t="shared" si="10"/>
        <v/>
      </c>
      <c r="E64" s="97" t="str">
        <f t="shared" si="11"/>
        <v/>
      </c>
    </row>
    <row r="65" spans="2:15" x14ac:dyDescent="0.3">
      <c r="B65" s="14" t="s">
        <v>11</v>
      </c>
      <c r="C65" s="97" t="str">
        <f t="shared" si="9"/>
        <v/>
      </c>
      <c r="D65" s="152" t="str">
        <f t="shared" si="10"/>
        <v/>
      </c>
      <c r="E65" s="97" t="str">
        <f t="shared" si="11"/>
        <v/>
      </c>
    </row>
    <row r="66" spans="2:15" x14ac:dyDescent="0.3">
      <c r="B66" s="14" t="s">
        <v>12</v>
      </c>
      <c r="C66" s="97" t="str">
        <f t="shared" si="9"/>
        <v/>
      </c>
      <c r="D66" s="152" t="str">
        <f t="shared" si="10"/>
        <v/>
      </c>
      <c r="E66" s="97" t="str">
        <f t="shared" si="11"/>
        <v/>
      </c>
    </row>
    <row r="67" spans="2:15" x14ac:dyDescent="0.3">
      <c r="B67" s="14" t="s">
        <v>13</v>
      </c>
      <c r="C67" s="97" t="str">
        <f t="shared" si="9"/>
        <v/>
      </c>
      <c r="D67" s="152" t="str">
        <f t="shared" si="10"/>
        <v/>
      </c>
      <c r="E67" s="97" t="str">
        <f t="shared" si="11"/>
        <v/>
      </c>
    </row>
    <row r="68" spans="2:15" x14ac:dyDescent="0.3">
      <c r="B68" s="14" t="s">
        <v>14</v>
      </c>
      <c r="C68" s="97" t="str">
        <f t="shared" si="9"/>
        <v/>
      </c>
      <c r="D68" s="152" t="str">
        <f t="shared" si="10"/>
        <v/>
      </c>
      <c r="E68" s="97" t="str">
        <f t="shared" si="11"/>
        <v/>
      </c>
    </row>
    <row r="70" spans="2:15" ht="15" thickBot="1" x14ac:dyDescent="0.35"/>
    <row r="71" spans="2:15" ht="23.25" customHeight="1" thickBot="1" x14ac:dyDescent="0.35">
      <c r="B71" s="171" t="s">
        <v>172</v>
      </c>
      <c r="C71" s="172"/>
      <c r="D71" s="172"/>
      <c r="E71" s="172"/>
      <c r="F71" s="172"/>
      <c r="G71" s="172"/>
      <c r="H71" s="172"/>
      <c r="I71" s="92"/>
      <c r="J71" s="92"/>
      <c r="K71" s="92"/>
      <c r="L71" s="92"/>
      <c r="M71" s="92"/>
      <c r="N71" s="92"/>
      <c r="O71" s="92"/>
    </row>
    <row r="72" spans="2:15" ht="15" thickBot="1" x14ac:dyDescent="0.35"/>
    <row r="73" spans="2:15" ht="61.8" customHeight="1" thickBot="1" x14ac:dyDescent="0.35">
      <c r="B73" s="164" t="s">
        <v>132</v>
      </c>
      <c r="C73" s="175"/>
      <c r="D73" s="175"/>
      <c r="E73" s="175"/>
      <c r="F73" s="175"/>
      <c r="G73" s="175"/>
      <c r="H73" s="176"/>
      <c r="I73" s="93"/>
      <c r="J73" s="93"/>
      <c r="K73" s="93"/>
      <c r="L73" s="93"/>
      <c r="M73" s="93"/>
      <c r="N73" s="93"/>
      <c r="O73" s="93"/>
    </row>
    <row r="76" spans="2:15" ht="34.200000000000003" thickBot="1" x14ac:dyDescent="0.35">
      <c r="B76" s="87" t="s">
        <v>2</v>
      </c>
      <c r="C76" s="86" t="s">
        <v>201</v>
      </c>
      <c r="D76" s="55"/>
      <c r="E76" s="55"/>
    </row>
    <row r="77" spans="2:15" ht="15" thickTop="1" x14ac:dyDescent="0.3">
      <c r="B77" s="11" t="s">
        <v>5</v>
      </c>
      <c r="C77" s="100" t="str">
        <f t="shared" ref="C77:C86" si="12">IF(COUNTIF($B$17:$B$32,B77)&gt;0,SUMIF($B$17:$B$32,B77,$I$17:$I$32),"")</f>
        <v/>
      </c>
      <c r="D77" s="98"/>
      <c r="E77" s="99"/>
    </row>
    <row r="78" spans="2:15" x14ac:dyDescent="0.3">
      <c r="B78" s="14" t="s">
        <v>6</v>
      </c>
      <c r="C78" s="100" t="str">
        <f t="shared" si="12"/>
        <v/>
      </c>
      <c r="D78" s="98"/>
      <c r="E78" s="99"/>
    </row>
    <row r="79" spans="2:15" x14ac:dyDescent="0.3">
      <c r="B79" s="14" t="s">
        <v>7</v>
      </c>
      <c r="C79" s="100" t="str">
        <f t="shared" si="12"/>
        <v/>
      </c>
      <c r="D79" s="98"/>
      <c r="E79" s="99"/>
    </row>
    <row r="80" spans="2:15" x14ac:dyDescent="0.3">
      <c r="B80" s="14" t="s">
        <v>8</v>
      </c>
      <c r="C80" s="100" t="str">
        <f t="shared" si="12"/>
        <v/>
      </c>
      <c r="D80" s="98"/>
      <c r="E80" s="99"/>
    </row>
    <row r="81" spans="2:15" x14ac:dyDescent="0.3">
      <c r="B81" s="14" t="s">
        <v>9</v>
      </c>
      <c r="C81" s="100" t="str">
        <f t="shared" si="12"/>
        <v/>
      </c>
      <c r="D81" s="98"/>
      <c r="E81" s="99"/>
    </row>
    <row r="82" spans="2:15" x14ac:dyDescent="0.3">
      <c r="B82" s="14" t="s">
        <v>10</v>
      </c>
      <c r="C82" s="100" t="str">
        <f t="shared" si="12"/>
        <v/>
      </c>
      <c r="D82" s="98"/>
      <c r="E82" s="99"/>
    </row>
    <row r="83" spans="2:15" x14ac:dyDescent="0.3">
      <c r="B83" s="14" t="s">
        <v>11</v>
      </c>
      <c r="C83" s="100" t="str">
        <f t="shared" si="12"/>
        <v/>
      </c>
      <c r="D83" s="98"/>
      <c r="E83" s="99"/>
    </row>
    <row r="84" spans="2:15" x14ac:dyDescent="0.3">
      <c r="B84" s="14" t="s">
        <v>12</v>
      </c>
      <c r="C84" s="100" t="str">
        <f t="shared" si="12"/>
        <v/>
      </c>
      <c r="D84" s="98"/>
      <c r="E84" s="99"/>
    </row>
    <row r="85" spans="2:15" x14ac:dyDescent="0.3">
      <c r="B85" s="14" t="s">
        <v>13</v>
      </c>
      <c r="C85" s="100" t="str">
        <f t="shared" si="12"/>
        <v/>
      </c>
      <c r="D85" s="98"/>
      <c r="E85" s="99"/>
    </row>
    <row r="86" spans="2:15" x14ac:dyDescent="0.3">
      <c r="B86" s="14" t="s">
        <v>14</v>
      </c>
      <c r="C86" s="100" t="str">
        <f t="shared" si="12"/>
        <v/>
      </c>
      <c r="D86" s="98"/>
      <c r="E86" s="99"/>
    </row>
    <row r="88" spans="2:15" ht="15" thickBot="1" x14ac:dyDescent="0.35"/>
    <row r="89" spans="2:15" ht="23.25" customHeight="1" thickBot="1" x14ac:dyDescent="0.35">
      <c r="B89" s="171" t="s">
        <v>84</v>
      </c>
      <c r="C89" s="172"/>
      <c r="D89" s="172"/>
      <c r="E89" s="172"/>
      <c r="F89" s="172"/>
      <c r="G89" s="172"/>
      <c r="H89" s="172"/>
      <c r="I89" s="92"/>
      <c r="J89" s="92"/>
      <c r="K89" s="92"/>
      <c r="L89" s="92"/>
      <c r="M89" s="92"/>
      <c r="N89" s="92"/>
      <c r="O89" s="92"/>
    </row>
    <row r="90" spans="2:15" ht="15" thickBot="1" x14ac:dyDescent="0.35"/>
    <row r="91" spans="2:15" ht="30.6" customHeight="1" thickBot="1" x14ac:dyDescent="0.35">
      <c r="B91" s="164" t="s">
        <v>133</v>
      </c>
      <c r="C91" s="175"/>
      <c r="D91" s="175"/>
      <c r="E91" s="175"/>
      <c r="F91" s="175"/>
      <c r="G91" s="175"/>
      <c r="H91" s="176"/>
      <c r="I91" s="93"/>
      <c r="J91" s="93"/>
      <c r="K91" s="93"/>
      <c r="L91" s="93"/>
      <c r="M91" s="93"/>
      <c r="N91" s="93"/>
      <c r="O91" s="93"/>
    </row>
    <row r="94" spans="2:15" ht="37.200000000000003" customHeight="1" thickBot="1" x14ac:dyDescent="0.35">
      <c r="B94" s="87" t="s">
        <v>2</v>
      </c>
      <c r="C94" s="86" t="s">
        <v>173</v>
      </c>
      <c r="D94" s="55"/>
      <c r="E94" s="55"/>
    </row>
    <row r="95" spans="2:15" ht="15" thickTop="1" x14ac:dyDescent="0.3">
      <c r="B95" s="11" t="s">
        <v>5</v>
      </c>
      <c r="C95" s="100" t="str">
        <f t="shared" ref="C95:C104" si="13">IF(COUNTIF($B$17:$B$32,B95)&gt;0,SUMIF($B$17:$B$32,B95,$L$17:$L$32),"")</f>
        <v/>
      </c>
      <c r="D95" s="98"/>
      <c r="E95" s="99"/>
    </row>
    <row r="96" spans="2:15" x14ac:dyDescent="0.3">
      <c r="B96" s="14" t="s">
        <v>6</v>
      </c>
      <c r="C96" s="100" t="str">
        <f t="shared" si="13"/>
        <v/>
      </c>
      <c r="D96" s="98"/>
      <c r="E96" s="99"/>
    </row>
    <row r="97" spans="2:15" x14ac:dyDescent="0.3">
      <c r="B97" s="14" t="s">
        <v>7</v>
      </c>
      <c r="C97" s="100" t="str">
        <f t="shared" si="13"/>
        <v/>
      </c>
      <c r="D97" s="98"/>
      <c r="E97" s="99"/>
    </row>
    <row r="98" spans="2:15" x14ac:dyDescent="0.3">
      <c r="B98" s="14" t="s">
        <v>8</v>
      </c>
      <c r="C98" s="100" t="str">
        <f t="shared" si="13"/>
        <v/>
      </c>
      <c r="D98" s="98"/>
      <c r="E98" s="99"/>
    </row>
    <row r="99" spans="2:15" x14ac:dyDescent="0.3">
      <c r="B99" s="14" t="s">
        <v>9</v>
      </c>
      <c r="C99" s="100" t="str">
        <f t="shared" si="13"/>
        <v/>
      </c>
      <c r="D99" s="98"/>
      <c r="E99" s="99"/>
    </row>
    <row r="100" spans="2:15" x14ac:dyDescent="0.3">
      <c r="B100" s="14" t="s">
        <v>10</v>
      </c>
      <c r="C100" s="100" t="str">
        <f t="shared" si="13"/>
        <v/>
      </c>
      <c r="D100" s="98"/>
      <c r="E100" s="99"/>
    </row>
    <row r="101" spans="2:15" x14ac:dyDescent="0.3">
      <c r="B101" s="14" t="s">
        <v>11</v>
      </c>
      <c r="C101" s="100" t="str">
        <f t="shared" si="13"/>
        <v/>
      </c>
      <c r="D101" s="98"/>
      <c r="E101" s="99"/>
    </row>
    <row r="102" spans="2:15" x14ac:dyDescent="0.3">
      <c r="B102" s="14" t="s">
        <v>12</v>
      </c>
      <c r="C102" s="100" t="str">
        <f t="shared" si="13"/>
        <v/>
      </c>
      <c r="D102" s="98"/>
      <c r="E102" s="99"/>
    </row>
    <row r="103" spans="2:15" x14ac:dyDescent="0.3">
      <c r="B103" s="14" t="s">
        <v>13</v>
      </c>
      <c r="C103" s="100" t="str">
        <f t="shared" si="13"/>
        <v/>
      </c>
      <c r="D103" s="98"/>
      <c r="E103" s="99"/>
    </row>
    <row r="104" spans="2:15" x14ac:dyDescent="0.3">
      <c r="B104" s="14" t="s">
        <v>14</v>
      </c>
      <c r="C104" s="100" t="str">
        <f t="shared" si="13"/>
        <v/>
      </c>
      <c r="D104" s="98"/>
      <c r="E104" s="99"/>
    </row>
    <row r="106" spans="2:15" ht="15" thickBot="1" x14ac:dyDescent="0.35"/>
    <row r="107" spans="2:15" ht="23.25" customHeight="1" thickBot="1" x14ac:dyDescent="0.35">
      <c r="B107" s="168" t="s">
        <v>83</v>
      </c>
      <c r="C107" s="169"/>
      <c r="D107" s="169"/>
      <c r="E107" s="169"/>
      <c r="F107" s="169"/>
      <c r="G107" s="169"/>
      <c r="H107" s="169"/>
      <c r="I107" s="92"/>
      <c r="J107" s="92"/>
      <c r="K107" s="92"/>
      <c r="L107" s="92"/>
      <c r="M107" s="92"/>
      <c r="N107" s="92"/>
      <c r="O107" s="92"/>
    </row>
    <row r="108" spans="2:15" ht="15" thickBot="1" x14ac:dyDescent="0.35"/>
    <row r="109" spans="2:15" ht="15" thickBot="1" x14ac:dyDescent="0.35">
      <c r="B109" s="167" t="s">
        <v>80</v>
      </c>
      <c r="C109" s="165"/>
      <c r="D109" s="165"/>
      <c r="E109" s="165"/>
      <c r="F109" s="165"/>
      <c r="G109" s="165"/>
      <c r="H109" s="166"/>
      <c r="I109" s="93"/>
      <c r="J109" s="93"/>
      <c r="K109" s="93"/>
      <c r="L109" s="93"/>
      <c r="M109" s="93"/>
      <c r="N109" s="93"/>
      <c r="O109" s="93"/>
    </row>
    <row r="112" spans="2:15" ht="16.2" thickBot="1" x14ac:dyDescent="0.35">
      <c r="B112" s="87" t="s">
        <v>2</v>
      </c>
      <c r="C112" s="86" t="s">
        <v>81</v>
      </c>
      <c r="D112" s="55"/>
      <c r="E112" s="55"/>
    </row>
    <row r="113" spans="2:5" ht="15" thickTop="1" x14ac:dyDescent="0.3">
      <c r="B113" s="11" t="s">
        <v>5</v>
      </c>
      <c r="C113" s="101"/>
      <c r="D113" s="98"/>
      <c r="E113" s="99"/>
    </row>
    <row r="114" spans="2:5" x14ac:dyDescent="0.3">
      <c r="B114" s="14" t="s">
        <v>6</v>
      </c>
      <c r="C114" s="101"/>
      <c r="D114" s="98"/>
      <c r="E114" s="99"/>
    </row>
    <row r="115" spans="2:5" x14ac:dyDescent="0.3">
      <c r="B115" s="14" t="s">
        <v>7</v>
      </c>
      <c r="C115" s="101"/>
      <c r="D115" s="98"/>
      <c r="E115" s="99"/>
    </row>
    <row r="116" spans="2:5" x14ac:dyDescent="0.3">
      <c r="B116" s="14" t="s">
        <v>8</v>
      </c>
      <c r="C116" s="101"/>
      <c r="D116" s="98"/>
      <c r="E116" s="99"/>
    </row>
    <row r="117" spans="2:5" x14ac:dyDescent="0.3">
      <c r="B117" s="14" t="s">
        <v>9</v>
      </c>
      <c r="C117" s="101"/>
      <c r="D117" s="98"/>
      <c r="E117" s="99"/>
    </row>
    <row r="118" spans="2:5" x14ac:dyDescent="0.3">
      <c r="B118" s="14" t="s">
        <v>10</v>
      </c>
      <c r="C118" s="101"/>
      <c r="D118" s="98"/>
      <c r="E118" s="99"/>
    </row>
    <row r="119" spans="2:5" x14ac:dyDescent="0.3">
      <c r="B119" s="14" t="s">
        <v>11</v>
      </c>
      <c r="C119" s="101"/>
      <c r="D119" s="98"/>
      <c r="E119" s="99"/>
    </row>
    <row r="120" spans="2:5" x14ac:dyDescent="0.3">
      <c r="B120" s="14" t="s">
        <v>12</v>
      </c>
      <c r="C120" s="101"/>
      <c r="D120" s="98"/>
      <c r="E120" s="99"/>
    </row>
    <row r="121" spans="2:5" x14ac:dyDescent="0.3">
      <c r="B121" s="14" t="s">
        <v>13</v>
      </c>
      <c r="C121" s="101"/>
      <c r="D121" s="98"/>
      <c r="E121" s="99"/>
    </row>
    <row r="122" spans="2:5" x14ac:dyDescent="0.3">
      <c r="B122" s="14" t="s">
        <v>14</v>
      </c>
      <c r="C122" s="101"/>
      <c r="D122" s="98"/>
      <c r="E122" s="99"/>
    </row>
  </sheetData>
  <mergeCells count="14">
    <mergeCell ref="B107:H107"/>
    <mergeCell ref="B109:H109"/>
    <mergeCell ref="B53:H53"/>
    <mergeCell ref="B55:H55"/>
    <mergeCell ref="B71:H71"/>
    <mergeCell ref="B73:H73"/>
    <mergeCell ref="B89:H89"/>
    <mergeCell ref="B91:H91"/>
    <mergeCell ref="B37:H37"/>
    <mergeCell ref="B2:H2"/>
    <mergeCell ref="B4:H4"/>
    <mergeCell ref="B12:H12"/>
    <mergeCell ref="B14:H14"/>
    <mergeCell ref="B35:H35"/>
  </mergeCells>
  <dataValidations count="2">
    <dataValidation type="list" allowBlank="1" showInputMessage="1" showErrorMessage="1" sqref="C17:C32" xr:uid="{6936C675-6FDB-4DB8-9A91-DE95957CBDCB}">
      <formula1>$B$7:$B$10</formula1>
    </dataValidation>
    <dataValidation type="list" allowBlank="1" showInputMessage="1" showErrorMessage="1" sqref="C7:C10" xr:uid="{B3CAA323-B80B-49DB-88AF-C9D94EFB9277}">
      <formula1>"Disposable, Reusable"</formula1>
    </dataValidation>
  </dataValidations>
  <pageMargins left="0.7" right="0.7" top="0.75" bottom="0.75" header="0.3" footer="0.3"/>
  <pageSetup paperSize="5"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F56B9-FE60-4066-A0CF-F2517F1ED28D}">
  <sheetPr>
    <tabColor rgb="FFD9D9D9"/>
    <pageSetUpPr autoPageBreaks="0"/>
  </sheetPr>
  <dimension ref="A2:P53"/>
  <sheetViews>
    <sheetView zoomScaleNormal="100" workbookViewId="0">
      <selection activeCell="B2" sqref="B2:L2"/>
    </sheetView>
  </sheetViews>
  <sheetFormatPr defaultColWidth="0" defaultRowHeight="14.4" x14ac:dyDescent="0.3"/>
  <cols>
    <col min="1" max="1" width="7" customWidth="1"/>
    <col min="2" max="2" width="16.44140625" customWidth="1"/>
    <col min="3" max="3" width="18.44140625" customWidth="1"/>
    <col min="4" max="4" width="21.5546875" customWidth="1"/>
    <col min="5" max="5" width="17.33203125" customWidth="1"/>
    <col min="6" max="6" width="14.5546875" customWidth="1"/>
    <col min="7" max="7" width="10.33203125" customWidth="1"/>
    <col min="8" max="8" width="16.33203125" customWidth="1"/>
    <col min="9" max="9" width="5.44140625" customWidth="1"/>
    <col min="10" max="10" width="9.109375" customWidth="1"/>
    <col min="11" max="11" width="15.6640625" customWidth="1"/>
    <col min="12" max="12" width="13.5546875" customWidth="1"/>
    <col min="13" max="13" width="5.44140625" customWidth="1"/>
    <col min="14" max="14" width="0" hidden="1" customWidth="1"/>
    <col min="15" max="15" width="9.109375" hidden="1" customWidth="1"/>
    <col min="16" max="16" width="0" hidden="1" customWidth="1"/>
    <col min="17" max="16384" width="9.109375" hidden="1"/>
  </cols>
  <sheetData>
    <row r="2" spans="2:12" ht="23.25" customHeight="1" x14ac:dyDescent="0.3">
      <c r="B2" s="174" t="s">
        <v>154</v>
      </c>
      <c r="C2" s="174"/>
      <c r="D2" s="174"/>
      <c r="E2" s="174"/>
      <c r="F2" s="174"/>
      <c r="G2" s="174"/>
      <c r="H2" s="174"/>
      <c r="I2" s="174"/>
      <c r="J2" s="174"/>
      <c r="K2" s="174"/>
      <c r="L2" s="174"/>
    </row>
    <row r="3" spans="2:12" ht="15" thickBot="1" x14ac:dyDescent="0.35"/>
    <row r="4" spans="2:12" ht="117.6" customHeight="1" thickBot="1" x14ac:dyDescent="0.35">
      <c r="B4" s="167" t="s">
        <v>156</v>
      </c>
      <c r="C4" s="165"/>
      <c r="D4" s="165"/>
      <c r="E4" s="165"/>
      <c r="F4" s="165"/>
      <c r="G4" s="165"/>
      <c r="H4" s="165"/>
      <c r="I4" s="165"/>
      <c r="J4" s="165"/>
      <c r="K4" s="165"/>
      <c r="L4" s="166"/>
    </row>
    <row r="7" spans="2:12" ht="31.2" x14ac:dyDescent="0.3">
      <c r="B7" s="5" t="s">
        <v>4</v>
      </c>
      <c r="C7" s="6"/>
    </row>
    <row r="9" spans="2:12" ht="78.599999999999994" thickBot="1" x14ac:dyDescent="0.35">
      <c r="B9" s="10" t="s">
        <v>2</v>
      </c>
      <c r="C9" s="7" t="s">
        <v>157</v>
      </c>
      <c r="D9" s="86" t="s">
        <v>54</v>
      </c>
      <c r="E9" s="86" t="s">
        <v>160</v>
      </c>
      <c r="F9" s="7" t="s">
        <v>159</v>
      </c>
    </row>
    <row r="10" spans="2:12" ht="15" thickTop="1" x14ac:dyDescent="0.3">
      <c r="B10" s="11" t="s">
        <v>5</v>
      </c>
      <c r="C10" s="48"/>
      <c r="D10" s="9" t="str">
        <f>(IF(ISBLANK(C$7),"","N/A - Sample"))</f>
        <v/>
      </c>
      <c r="E10" s="134"/>
      <c r="F10" s="13" t="str">
        <f>IF(ISBLANK(C10),"",(C10/(IF(ISBLANK(C$7),D10,C$7))))</f>
        <v/>
      </c>
    </row>
    <row r="11" spans="2:12" x14ac:dyDescent="0.3">
      <c r="B11" s="14" t="s">
        <v>6</v>
      </c>
      <c r="C11" s="49"/>
      <c r="D11" s="9" t="str">
        <f>(IF(ISBLANK(C$7),"","N/A - Sample"))</f>
        <v/>
      </c>
      <c r="E11" s="9"/>
      <c r="F11" s="8" t="str">
        <f t="shared" ref="F11:F19" si="0">IF(ISBLANK(C11),"",(C11/(IF(ISBLANK(C$7),D11,C$7))))</f>
        <v/>
      </c>
    </row>
    <row r="12" spans="2:12" x14ac:dyDescent="0.3">
      <c r="B12" s="14" t="s">
        <v>7</v>
      </c>
      <c r="C12" s="49"/>
      <c r="D12" s="9" t="str">
        <f t="shared" ref="D12:D19" si="1">(IF(ISBLANK(C$7),"","N/A - Sample"))</f>
        <v/>
      </c>
      <c r="E12" s="9"/>
      <c r="F12" s="8" t="str">
        <f t="shared" si="0"/>
        <v/>
      </c>
    </row>
    <row r="13" spans="2:12" x14ac:dyDescent="0.3">
      <c r="B13" s="14" t="s">
        <v>8</v>
      </c>
      <c r="C13" s="49"/>
      <c r="D13" s="9" t="str">
        <f t="shared" si="1"/>
        <v/>
      </c>
      <c r="E13" s="9"/>
      <c r="F13" s="8" t="str">
        <f t="shared" si="0"/>
        <v/>
      </c>
    </row>
    <row r="14" spans="2:12" x14ac:dyDescent="0.3">
      <c r="B14" s="14" t="s">
        <v>9</v>
      </c>
      <c r="C14" s="49"/>
      <c r="D14" s="9" t="str">
        <f t="shared" si="1"/>
        <v/>
      </c>
      <c r="E14" s="9"/>
      <c r="F14" s="8" t="str">
        <f t="shared" si="0"/>
        <v/>
      </c>
    </row>
    <row r="15" spans="2:12" x14ac:dyDescent="0.3">
      <c r="B15" s="14" t="s">
        <v>10</v>
      </c>
      <c r="C15" s="49"/>
      <c r="D15" s="9" t="str">
        <f t="shared" si="1"/>
        <v/>
      </c>
      <c r="E15" s="9"/>
      <c r="F15" s="8" t="str">
        <f t="shared" si="0"/>
        <v/>
      </c>
    </row>
    <row r="16" spans="2:12" x14ac:dyDescent="0.3">
      <c r="B16" s="14" t="s">
        <v>11</v>
      </c>
      <c r="C16" s="49"/>
      <c r="D16" s="9" t="str">
        <f t="shared" si="1"/>
        <v/>
      </c>
      <c r="E16" s="9"/>
      <c r="F16" s="8" t="str">
        <f t="shared" si="0"/>
        <v/>
      </c>
    </row>
    <row r="17" spans="2:12" x14ac:dyDescent="0.3">
      <c r="B17" s="14" t="s">
        <v>12</v>
      </c>
      <c r="C17" s="49"/>
      <c r="D17" s="9" t="str">
        <f t="shared" si="1"/>
        <v/>
      </c>
      <c r="E17" s="9"/>
      <c r="F17" s="8" t="str">
        <f t="shared" si="0"/>
        <v/>
      </c>
    </row>
    <row r="18" spans="2:12" x14ac:dyDescent="0.3">
      <c r="B18" s="14" t="s">
        <v>13</v>
      </c>
      <c r="C18" s="49"/>
      <c r="D18" s="9" t="str">
        <f t="shared" si="1"/>
        <v/>
      </c>
      <c r="E18" s="9"/>
      <c r="F18" s="8" t="str">
        <f t="shared" si="0"/>
        <v/>
      </c>
    </row>
    <row r="19" spans="2:12" x14ac:dyDescent="0.3">
      <c r="B19" s="14" t="s">
        <v>14</v>
      </c>
      <c r="C19" s="49"/>
      <c r="D19" s="9" t="str">
        <f t="shared" si="1"/>
        <v/>
      </c>
      <c r="E19" s="9"/>
      <c r="F19" s="8" t="str">
        <f t="shared" si="0"/>
        <v/>
      </c>
    </row>
    <row r="22" spans="2:12" ht="16.2" customHeight="1" thickBot="1" x14ac:dyDescent="0.35"/>
    <row r="23" spans="2:12" ht="23.25" customHeight="1" thickBot="1" x14ac:dyDescent="0.35">
      <c r="B23" s="171" t="s">
        <v>158</v>
      </c>
      <c r="C23" s="172"/>
      <c r="D23" s="172"/>
      <c r="E23" s="172"/>
      <c r="F23" s="172"/>
      <c r="G23" s="172"/>
      <c r="H23" s="172"/>
      <c r="I23" s="172"/>
      <c r="J23" s="172"/>
      <c r="K23" s="172"/>
      <c r="L23" s="173"/>
    </row>
    <row r="24" spans="2:12" ht="16.2" thickBot="1" x14ac:dyDescent="0.35">
      <c r="B24" s="105"/>
      <c r="C24" s="55"/>
      <c r="D24" s="55"/>
      <c r="E24" s="55"/>
      <c r="F24" s="55"/>
      <c r="G24" s="55"/>
      <c r="H24" s="55"/>
      <c r="I24" s="55"/>
    </row>
    <row r="25" spans="2:12" ht="29.4" customHeight="1" thickBot="1" x14ac:dyDescent="0.35">
      <c r="B25" s="164" t="s">
        <v>161</v>
      </c>
      <c r="C25" s="165"/>
      <c r="D25" s="165"/>
      <c r="E25" s="165"/>
      <c r="F25" s="165"/>
      <c r="G25" s="165"/>
      <c r="H25" s="165"/>
      <c r="I25" s="165"/>
      <c r="J25" s="165"/>
      <c r="K25" s="165"/>
      <c r="L25" s="166"/>
    </row>
    <row r="28" spans="2:12" ht="46.8" x14ac:dyDescent="0.3">
      <c r="B28" s="10" t="s">
        <v>2</v>
      </c>
      <c r="C28" s="7" t="s">
        <v>97</v>
      </c>
      <c r="D28" s="55"/>
      <c r="E28" s="55"/>
      <c r="F28" s="55"/>
    </row>
    <row r="29" spans="2:12" x14ac:dyDescent="0.3">
      <c r="B29" s="17" t="s">
        <v>5</v>
      </c>
      <c r="C29" s="19">
        <f>(C10*E10*'Reference Tables'!$D$55)</f>
        <v>0</v>
      </c>
      <c r="D29" s="56"/>
      <c r="E29" s="56"/>
      <c r="F29" s="56"/>
    </row>
    <row r="30" spans="2:12" x14ac:dyDescent="0.3">
      <c r="B30" s="17" t="s">
        <v>6</v>
      </c>
      <c r="C30" s="19">
        <f>(C11*E11*'Reference Tables'!$D$55)</f>
        <v>0</v>
      </c>
      <c r="D30" s="56"/>
      <c r="E30" s="56"/>
      <c r="F30" s="56"/>
    </row>
    <row r="31" spans="2:12" x14ac:dyDescent="0.3">
      <c r="B31" s="17" t="s">
        <v>7</v>
      </c>
      <c r="C31" s="19">
        <f>(C12*E12*'Reference Tables'!$D$55)</f>
        <v>0</v>
      </c>
      <c r="D31" s="56"/>
      <c r="E31" s="56"/>
      <c r="F31" s="56"/>
    </row>
    <row r="32" spans="2:12" x14ac:dyDescent="0.3">
      <c r="B32" s="17" t="s">
        <v>8</v>
      </c>
      <c r="C32" s="19">
        <f>(C13*E13*'Reference Tables'!$D$55)</f>
        <v>0</v>
      </c>
      <c r="D32" s="56"/>
      <c r="E32" s="56"/>
      <c r="F32" s="56"/>
    </row>
    <row r="33" spans="2:6" x14ac:dyDescent="0.3">
      <c r="B33" s="17" t="s">
        <v>9</v>
      </c>
      <c r="C33" s="19">
        <f>(C14*E14*'Reference Tables'!$D$55)</f>
        <v>0</v>
      </c>
      <c r="D33" s="56"/>
      <c r="E33" s="56"/>
      <c r="F33" s="56"/>
    </row>
    <row r="34" spans="2:6" x14ac:dyDescent="0.3">
      <c r="B34" s="17" t="s">
        <v>10</v>
      </c>
      <c r="C34" s="19">
        <f>(C15*E15*'Reference Tables'!$D$55)</f>
        <v>0</v>
      </c>
      <c r="D34" s="56"/>
      <c r="E34" s="56"/>
      <c r="F34" s="56"/>
    </row>
    <row r="35" spans="2:6" x14ac:dyDescent="0.3">
      <c r="B35" s="17" t="s">
        <v>11</v>
      </c>
      <c r="C35" s="19">
        <f>(C16*E16*'Reference Tables'!$D$55)</f>
        <v>0</v>
      </c>
      <c r="D35" s="56"/>
      <c r="E35" s="56"/>
      <c r="F35" s="56"/>
    </row>
    <row r="36" spans="2:6" x14ac:dyDescent="0.3">
      <c r="B36" s="17" t="s">
        <v>12</v>
      </c>
      <c r="C36" s="19">
        <f>(C17*E17*'Reference Tables'!$D$55)</f>
        <v>0</v>
      </c>
      <c r="D36" s="56"/>
      <c r="E36" s="56"/>
      <c r="F36" s="56"/>
    </row>
    <row r="37" spans="2:6" x14ac:dyDescent="0.3">
      <c r="B37" s="17" t="s">
        <v>13</v>
      </c>
      <c r="C37" s="19">
        <f>(C18*E18*'Reference Tables'!$D$55)</f>
        <v>0</v>
      </c>
      <c r="D37" s="56"/>
      <c r="E37" s="56"/>
      <c r="F37" s="56"/>
    </row>
    <row r="38" spans="2:6" x14ac:dyDescent="0.3">
      <c r="B38" s="17" t="s">
        <v>14</v>
      </c>
      <c r="C38" s="19">
        <f>(C19*E19*'Reference Tables'!$D$55)</f>
        <v>0</v>
      </c>
      <c r="D38" s="56"/>
      <c r="E38" s="56"/>
      <c r="F38" s="56"/>
    </row>
    <row r="43" spans="2:6" ht="15.6" x14ac:dyDescent="0.3">
      <c r="B43" s="105"/>
      <c r="C43" s="55"/>
    </row>
    <row r="44" spans="2:6" x14ac:dyDescent="0.3">
      <c r="B44" s="106"/>
      <c r="C44" s="104"/>
    </row>
    <row r="45" spans="2:6" x14ac:dyDescent="0.3">
      <c r="B45" s="106"/>
      <c r="C45" s="104"/>
    </row>
    <row r="46" spans="2:6" x14ac:dyDescent="0.3">
      <c r="B46" s="106"/>
      <c r="C46" s="104"/>
    </row>
    <row r="47" spans="2:6" x14ac:dyDescent="0.3">
      <c r="B47" s="106"/>
      <c r="C47" s="104"/>
    </row>
    <row r="48" spans="2:6" x14ac:dyDescent="0.3">
      <c r="B48" s="106"/>
      <c r="C48" s="104"/>
    </row>
    <row r="49" spans="2:3" x14ac:dyDescent="0.3">
      <c r="B49" s="106"/>
      <c r="C49" s="104"/>
    </row>
    <row r="50" spans="2:3" x14ac:dyDescent="0.3">
      <c r="B50" s="106"/>
      <c r="C50" s="104"/>
    </row>
    <row r="51" spans="2:3" x14ac:dyDescent="0.3">
      <c r="B51" s="106"/>
      <c r="C51" s="104"/>
    </row>
    <row r="52" spans="2:3" x14ac:dyDescent="0.3">
      <c r="B52" s="106"/>
      <c r="C52" s="104"/>
    </row>
    <row r="53" spans="2:3" x14ac:dyDescent="0.3">
      <c r="B53" s="106"/>
      <c r="C53" s="104"/>
    </row>
  </sheetData>
  <mergeCells count="4">
    <mergeCell ref="B2:L2"/>
    <mergeCell ref="B4:L4"/>
    <mergeCell ref="B23:L23"/>
    <mergeCell ref="B25:L25"/>
  </mergeCells>
  <dataValidations count="1">
    <dataValidation type="whole" allowBlank="1" showInputMessage="1" showErrorMessage="1" sqref="C7" xr:uid="{6D56FB47-E623-4A7F-A30C-434D6A43083B}">
      <formula1>1</formula1>
      <formula2>1000</formula2>
    </dataValidation>
  </dataValidations>
  <pageMargins left="0.7" right="0.7" top="0.75" bottom="0.75" header="0.3" footer="0.3"/>
  <pageSetup paperSize="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E8A85F4-EFAA-4B86-95AC-DF2B4992221E}">
          <x14:formula1>
            <xm:f>'Reference Tables'!$C$64:$C$73</xm:f>
          </x14:formula1>
          <xm:sqref>B26</xm:sqref>
        </x14:dataValidation>
        <x14:dataValidation type="list" allowBlank="1" showInputMessage="1" showErrorMessage="1" xr:uid="{81E67852-76A2-4544-A4E3-02BA59792C58}">
          <x14:formula1>
            <xm:f>'Reference Tables'!$C$21:$C$34</xm:f>
          </x14:formula1>
          <xm:sqref>C26</xm:sqref>
        </x14:dataValidation>
        <x14:dataValidation type="list" allowBlank="1" showInputMessage="1" showErrorMessage="1" xr:uid="{FEAB6040-DD98-4286-80C0-5BEBF5B343E1}">
          <x14:formula1>
            <xm:f>'Reference Tables'!$D$21:$D$34</xm:f>
          </x14:formula1>
          <xm:sqref>D26:E26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28C28-7363-4BC1-9CB9-BB84E76F37AD}">
  <sheetPr>
    <tabColor rgb="FFD9D9D9"/>
    <pageSetUpPr autoPageBreaks="0"/>
  </sheetPr>
  <dimension ref="A2:O51"/>
  <sheetViews>
    <sheetView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0.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2" spans="2:11" ht="23.25" customHeight="1" x14ac:dyDescent="0.3">
      <c r="B2" s="174" t="s">
        <v>116</v>
      </c>
      <c r="C2" s="174"/>
      <c r="D2" s="174"/>
      <c r="E2" s="174"/>
      <c r="F2" s="174"/>
      <c r="G2" s="174"/>
      <c r="H2" s="174"/>
      <c r="I2" s="174"/>
      <c r="J2" s="174"/>
      <c r="K2" s="174"/>
    </row>
    <row r="3" spans="2:11" ht="15" thickBot="1" x14ac:dyDescent="0.35"/>
    <row r="4" spans="2:11" ht="29.4" customHeight="1" thickBot="1" x14ac:dyDescent="0.35">
      <c r="B4" s="167" t="s">
        <v>117</v>
      </c>
      <c r="C4" s="165"/>
      <c r="D4" s="165"/>
      <c r="E4" s="165"/>
      <c r="F4" s="165"/>
      <c r="G4" s="165"/>
      <c r="H4" s="165"/>
      <c r="I4" s="165"/>
      <c r="J4" s="165"/>
      <c r="K4" s="166"/>
    </row>
    <row r="8" spans="2:11" ht="31.8" thickBot="1" x14ac:dyDescent="0.35">
      <c r="B8" s="10" t="s">
        <v>2</v>
      </c>
      <c r="C8" s="7" t="s">
        <v>92</v>
      </c>
      <c r="D8" s="7" t="s">
        <v>115</v>
      </c>
      <c r="E8" s="7" t="s">
        <v>113</v>
      </c>
    </row>
    <row r="9" spans="2:11" ht="15" thickTop="1" x14ac:dyDescent="0.3">
      <c r="B9" s="11" t="s">
        <v>5</v>
      </c>
      <c r="C9" s="112"/>
      <c r="D9" s="112"/>
      <c r="E9" s="116">
        <f>SUM(C9:D9)</f>
        <v>0</v>
      </c>
    </row>
    <row r="10" spans="2:11" x14ac:dyDescent="0.3">
      <c r="B10" s="14" t="s">
        <v>6</v>
      </c>
      <c r="C10" s="113"/>
      <c r="D10" s="113"/>
      <c r="E10" s="117">
        <f t="shared" ref="E10:E18" si="0">SUM(C10:D10)</f>
        <v>0</v>
      </c>
    </row>
    <row r="11" spans="2:11" x14ac:dyDescent="0.3">
      <c r="B11" s="14" t="s">
        <v>7</v>
      </c>
      <c r="C11" s="113"/>
      <c r="D11" s="113"/>
      <c r="E11" s="117">
        <f t="shared" si="0"/>
        <v>0</v>
      </c>
    </row>
    <row r="12" spans="2:11" x14ac:dyDescent="0.3">
      <c r="B12" s="14" t="s">
        <v>8</v>
      </c>
      <c r="C12" s="113"/>
      <c r="D12" s="113"/>
      <c r="E12" s="117">
        <f t="shared" si="0"/>
        <v>0</v>
      </c>
    </row>
    <row r="13" spans="2:11" x14ac:dyDescent="0.3">
      <c r="B13" s="14" t="s">
        <v>9</v>
      </c>
      <c r="C13" s="113"/>
      <c r="D13" s="113"/>
      <c r="E13" s="117">
        <f t="shared" si="0"/>
        <v>0</v>
      </c>
    </row>
    <row r="14" spans="2:11" x14ac:dyDescent="0.3">
      <c r="B14" s="14" t="s">
        <v>10</v>
      </c>
      <c r="C14" s="113"/>
      <c r="D14" s="113"/>
      <c r="E14" s="117">
        <f t="shared" si="0"/>
        <v>0</v>
      </c>
    </row>
    <row r="15" spans="2:11" x14ac:dyDescent="0.3">
      <c r="B15" s="14" t="s">
        <v>11</v>
      </c>
      <c r="C15" s="113"/>
      <c r="D15" s="113"/>
      <c r="E15" s="117">
        <f t="shared" si="0"/>
        <v>0</v>
      </c>
    </row>
    <row r="16" spans="2:11" x14ac:dyDescent="0.3">
      <c r="B16" s="14" t="s">
        <v>12</v>
      </c>
      <c r="C16" s="113"/>
      <c r="D16" s="113"/>
      <c r="E16" s="117">
        <f t="shared" si="0"/>
        <v>0</v>
      </c>
    </row>
    <row r="17" spans="2:11" x14ac:dyDescent="0.3">
      <c r="B17" s="14" t="s">
        <v>13</v>
      </c>
      <c r="C17" s="113"/>
      <c r="D17" s="113"/>
      <c r="E17" s="117">
        <f t="shared" si="0"/>
        <v>0</v>
      </c>
    </row>
    <row r="18" spans="2:11" x14ac:dyDescent="0.3">
      <c r="B18" s="14" t="s">
        <v>14</v>
      </c>
      <c r="C18" s="113"/>
      <c r="D18" s="113"/>
      <c r="E18" s="117">
        <f t="shared" si="0"/>
        <v>0</v>
      </c>
    </row>
    <row r="21" spans="2:11" ht="16.2" customHeight="1" thickBot="1" x14ac:dyDescent="0.35"/>
    <row r="22" spans="2:11" ht="23.25" customHeight="1" thickBot="1" x14ac:dyDescent="0.35">
      <c r="B22" s="171" t="s">
        <v>123</v>
      </c>
      <c r="C22" s="172"/>
      <c r="D22" s="172"/>
      <c r="E22" s="172"/>
      <c r="F22" s="172"/>
      <c r="G22" s="172"/>
      <c r="H22" s="172"/>
      <c r="I22" s="172"/>
      <c r="J22" s="172"/>
      <c r="K22" s="173"/>
    </row>
    <row r="23" spans="2:11" ht="16.2" thickBot="1" x14ac:dyDescent="0.35">
      <c r="B23" s="105"/>
      <c r="C23" s="55"/>
      <c r="D23" s="55"/>
      <c r="E23" s="55"/>
      <c r="F23" s="55"/>
      <c r="G23" s="55"/>
      <c r="H23" s="55"/>
    </row>
    <row r="24" spans="2:11" ht="15" thickBot="1" x14ac:dyDescent="0.35">
      <c r="B24" s="164" t="s">
        <v>130</v>
      </c>
      <c r="C24" s="165"/>
      <c r="D24" s="165"/>
      <c r="E24" s="165"/>
      <c r="F24" s="165"/>
      <c r="G24" s="165"/>
      <c r="H24" s="165"/>
      <c r="I24" s="165"/>
      <c r="J24" s="165"/>
      <c r="K24" s="166"/>
    </row>
    <row r="26" spans="2:11" ht="31.2" x14ac:dyDescent="0.3">
      <c r="B26" s="10" t="s">
        <v>2</v>
      </c>
      <c r="C26" s="7" t="s">
        <v>114</v>
      </c>
      <c r="D26" s="55"/>
      <c r="E26" s="55"/>
    </row>
    <row r="27" spans="2:11" x14ac:dyDescent="0.3">
      <c r="B27" s="17" t="s">
        <v>5</v>
      </c>
      <c r="C27" s="19">
        <f>(C9*'Reference Tables'!$D$57)+(D9*'Reference Tables'!$D$60)</f>
        <v>0</v>
      </c>
      <c r="D27" s="56"/>
      <c r="E27" s="56"/>
    </row>
    <row r="28" spans="2:11" x14ac:dyDescent="0.3">
      <c r="B28" s="17" t="s">
        <v>6</v>
      </c>
      <c r="C28" s="19">
        <f>(C10*'Reference Tables'!$D$57)+(D10*'Reference Tables'!$D$60)</f>
        <v>0</v>
      </c>
      <c r="D28" s="56"/>
      <c r="E28" s="56"/>
    </row>
    <row r="29" spans="2:11" x14ac:dyDescent="0.3">
      <c r="B29" s="17" t="s">
        <v>7</v>
      </c>
      <c r="C29" s="19">
        <f>(C11*'Reference Tables'!$D$57)+(D11*'Reference Tables'!$D$60)</f>
        <v>0</v>
      </c>
      <c r="D29" s="56"/>
      <c r="E29" s="56"/>
    </row>
    <row r="30" spans="2:11" x14ac:dyDescent="0.3">
      <c r="B30" s="17" t="s">
        <v>8</v>
      </c>
      <c r="C30" s="19">
        <f>(C12*'Reference Tables'!$D$57)+(D12*'Reference Tables'!$D$60)</f>
        <v>0</v>
      </c>
      <c r="D30" s="56"/>
      <c r="E30" s="56"/>
    </row>
    <row r="31" spans="2:11" x14ac:dyDescent="0.3">
      <c r="B31" s="17" t="s">
        <v>9</v>
      </c>
      <c r="C31" s="19">
        <f>(C13*'Reference Tables'!$D$57)+(D13*'Reference Tables'!$D$60)</f>
        <v>0</v>
      </c>
      <c r="D31" s="56"/>
      <c r="E31" s="56"/>
    </row>
    <row r="32" spans="2:11" x14ac:dyDescent="0.3">
      <c r="B32" s="17" t="s">
        <v>10</v>
      </c>
      <c r="C32" s="19">
        <f>(C14*'Reference Tables'!$D$57)+(D14*'Reference Tables'!$D$60)</f>
        <v>0</v>
      </c>
      <c r="D32" s="56"/>
      <c r="E32" s="56"/>
    </row>
    <row r="33" spans="2:5" x14ac:dyDescent="0.3">
      <c r="B33" s="17" t="s">
        <v>11</v>
      </c>
      <c r="C33" s="19">
        <f>(C15*'Reference Tables'!$D$57)+(D15*'Reference Tables'!$D$60)</f>
        <v>0</v>
      </c>
      <c r="D33" s="56"/>
      <c r="E33" s="56"/>
    </row>
    <row r="34" spans="2:5" x14ac:dyDescent="0.3">
      <c r="B34" s="17" t="s">
        <v>12</v>
      </c>
      <c r="C34" s="19">
        <f>(C16*'Reference Tables'!$D$57)+(D16*'Reference Tables'!$D$60)</f>
        <v>0</v>
      </c>
      <c r="D34" s="56"/>
      <c r="E34" s="56"/>
    </row>
    <row r="35" spans="2:5" x14ac:dyDescent="0.3">
      <c r="B35" s="17" t="s">
        <v>13</v>
      </c>
      <c r="C35" s="19">
        <f>(C17*'Reference Tables'!$D$57)+(D17*'Reference Tables'!$D$60)</f>
        <v>0</v>
      </c>
      <c r="D35" s="56"/>
      <c r="E35" s="56"/>
    </row>
    <row r="36" spans="2:5" x14ac:dyDescent="0.3">
      <c r="B36" s="17" t="s">
        <v>14</v>
      </c>
      <c r="C36" s="19">
        <f>(C18*'Reference Tables'!$D$57)+(D18*'Reference Tables'!$D$60)</f>
        <v>0</v>
      </c>
      <c r="D36" s="56"/>
      <c r="E36" s="56"/>
    </row>
    <row r="41" spans="2:5" ht="15.6" x14ac:dyDescent="0.3">
      <c r="B41" s="105"/>
      <c r="C41" s="55"/>
    </row>
    <row r="42" spans="2:5" x14ac:dyDescent="0.3">
      <c r="B42" s="106"/>
      <c r="C42" s="104"/>
    </row>
    <row r="43" spans="2:5" x14ac:dyDescent="0.3">
      <c r="B43" s="106"/>
      <c r="C43" s="104"/>
    </row>
    <row r="44" spans="2:5" x14ac:dyDescent="0.3">
      <c r="B44" s="106"/>
      <c r="C44" s="104"/>
    </row>
    <row r="45" spans="2:5" x14ac:dyDescent="0.3">
      <c r="B45" s="106"/>
      <c r="C45" s="104"/>
    </row>
    <row r="46" spans="2:5" x14ac:dyDescent="0.3">
      <c r="B46" s="106"/>
      <c r="C46" s="104"/>
    </row>
    <row r="47" spans="2:5" x14ac:dyDescent="0.3">
      <c r="B47" s="106"/>
      <c r="C47" s="104"/>
    </row>
    <row r="48" spans="2:5" x14ac:dyDescent="0.3">
      <c r="B48" s="106"/>
      <c r="C48" s="104"/>
    </row>
    <row r="49" spans="2:3" x14ac:dyDescent="0.3">
      <c r="B49" s="106"/>
      <c r="C49" s="104"/>
    </row>
    <row r="50" spans="2:3" x14ac:dyDescent="0.3">
      <c r="B50" s="106"/>
      <c r="C50" s="104"/>
    </row>
    <row r="51" spans="2:3" x14ac:dyDescent="0.3">
      <c r="B51" s="106"/>
      <c r="C51" s="104"/>
    </row>
  </sheetData>
  <mergeCells count="4">
    <mergeCell ref="B2:K2"/>
    <mergeCell ref="B4:K4"/>
    <mergeCell ref="B22:K22"/>
    <mergeCell ref="B24:K24"/>
  </mergeCells>
  <pageMargins left="0.7" right="0.7" top="0.75" bottom="0.75" header="0.3" footer="0.3"/>
  <pageSetup paperSize="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43161-FF3A-4DDC-8D12-D010DCDC849A}">
  <sheetPr>
    <tabColor rgb="FFD9D9D9"/>
    <pageSetUpPr autoPageBreaks="0"/>
  </sheetPr>
  <dimension ref="B1:S122"/>
  <sheetViews>
    <sheetView topLeftCell="A31" zoomScaleNormal="100" workbookViewId="0">
      <selection activeCell="B2" sqref="B2:H2"/>
    </sheetView>
  </sheetViews>
  <sheetFormatPr defaultColWidth="9.109375" defaultRowHeight="14.4" x14ac:dyDescent="0.3"/>
  <cols>
    <col min="1" max="1" width="7" customWidth="1"/>
    <col min="2" max="2" width="32.33203125" customWidth="1"/>
    <col min="3" max="3" width="28.33203125" customWidth="1"/>
    <col min="4" max="8" width="16.6640625" customWidth="1"/>
    <col min="9" max="9" width="14.33203125" customWidth="1"/>
    <col min="10" max="12" width="17.6640625" customWidth="1"/>
    <col min="13" max="15" width="16.109375" hidden="1" customWidth="1"/>
    <col min="16" max="16" width="16.33203125" hidden="1" customWidth="1"/>
    <col min="17" max="19" width="9.109375" hidden="1" customWidth="1"/>
    <col min="20" max="20" width="12" customWidth="1"/>
  </cols>
  <sheetData>
    <row r="1" spans="2:19" ht="15" thickBot="1" x14ac:dyDescent="0.35"/>
    <row r="2" spans="2:19" ht="23.25" customHeight="1" thickBot="1" x14ac:dyDescent="0.35">
      <c r="B2" s="168" t="s">
        <v>82</v>
      </c>
      <c r="C2" s="169"/>
      <c r="D2" s="169"/>
      <c r="E2" s="169"/>
      <c r="F2" s="169"/>
      <c r="G2" s="169"/>
      <c r="H2" s="169"/>
      <c r="I2" s="92"/>
      <c r="J2" s="92"/>
      <c r="K2" s="92"/>
      <c r="L2" s="92"/>
      <c r="M2" s="92"/>
      <c r="N2" s="92"/>
      <c r="O2" s="92"/>
    </row>
    <row r="3" spans="2:19" ht="15" thickBot="1" x14ac:dyDescent="0.35"/>
    <row r="4" spans="2:19" ht="15" thickBot="1" x14ac:dyDescent="0.35">
      <c r="B4" s="164" t="s">
        <v>204</v>
      </c>
      <c r="C4" s="175"/>
      <c r="D4" s="175"/>
      <c r="E4" s="175"/>
      <c r="F4" s="175"/>
      <c r="G4" s="175"/>
      <c r="H4" s="176"/>
      <c r="I4" s="93"/>
      <c r="J4" s="93"/>
      <c r="K4" s="93"/>
      <c r="L4" s="93"/>
      <c r="M4" s="93"/>
      <c r="N4" s="93"/>
      <c r="O4" s="93"/>
    </row>
    <row r="6" spans="2:19" ht="65.400000000000006" thickBot="1" x14ac:dyDescent="0.35">
      <c r="B6" s="86" t="s">
        <v>70</v>
      </c>
      <c r="C6" s="86" t="s">
        <v>68</v>
      </c>
      <c r="D6" s="86" t="s">
        <v>174</v>
      </c>
      <c r="E6" s="86" t="s">
        <v>175</v>
      </c>
      <c r="F6" s="86" t="s">
        <v>176</v>
      </c>
      <c r="G6" s="86" t="s">
        <v>177</v>
      </c>
      <c r="H6" s="143" t="s">
        <v>178</v>
      </c>
      <c r="I6" s="149" t="s">
        <v>179</v>
      </c>
      <c r="J6" s="55"/>
      <c r="K6" s="55"/>
      <c r="L6" s="55"/>
      <c r="M6" s="91"/>
      <c r="N6" s="91"/>
      <c r="O6" s="91"/>
    </row>
    <row r="7" spans="2:19" ht="15" thickTop="1" x14ac:dyDescent="0.3">
      <c r="B7" s="65" t="s">
        <v>202</v>
      </c>
      <c r="C7" s="66" t="s">
        <v>71</v>
      </c>
      <c r="D7" s="78">
        <v>2.16</v>
      </c>
      <c r="E7" s="135">
        <v>181</v>
      </c>
      <c r="F7" s="157">
        <v>374</v>
      </c>
      <c r="G7" s="89">
        <v>1</v>
      </c>
      <c r="H7" s="137">
        <v>2</v>
      </c>
      <c r="I7" s="150">
        <f>IF(ISBLANK(H7),"",(Products47[[#This Row],[Carbon footprint per item (g CO2e)]]*Products47[[#This Row],[Number of items per surgery]]/(Products47[[#This Row],[Number of uses per item]])))</f>
        <v>748</v>
      </c>
      <c r="J7" s="155"/>
      <c r="K7" s="155"/>
      <c r="L7" s="155"/>
    </row>
    <row r="8" spans="2:19" x14ac:dyDescent="0.3">
      <c r="B8" s="67" t="s">
        <v>203</v>
      </c>
      <c r="C8" s="68" t="s">
        <v>73</v>
      </c>
      <c r="D8" s="79">
        <v>3.32</v>
      </c>
      <c r="E8" s="136">
        <v>635</v>
      </c>
      <c r="F8" s="69">
        <v>6176</v>
      </c>
      <c r="G8" s="90">
        <v>50</v>
      </c>
      <c r="H8" s="138">
        <v>2</v>
      </c>
      <c r="I8" s="151">
        <f>IF(ISBLANK(H8),"",(Products47[[#This Row],[Carbon footprint per item (g CO2e)]]*Products47[[#This Row],[Number of items per surgery]]/(Products47[[#This Row],[Number of uses per item]])))</f>
        <v>247.04</v>
      </c>
      <c r="J8" s="155"/>
      <c r="K8" s="155"/>
      <c r="L8" s="155"/>
    </row>
    <row r="9" spans="2:19" x14ac:dyDescent="0.3">
      <c r="B9" s="124"/>
      <c r="C9" s="125"/>
      <c r="D9" s="126"/>
      <c r="E9" s="154"/>
      <c r="F9" s="127"/>
      <c r="G9" s="128"/>
      <c r="H9" s="142"/>
      <c r="I9" s="151" t="str">
        <f>IF(ISBLANK(H9),"",(Products47[[#This Row],[Carbon footprint per item (g CO2e)]]*Products47[[#This Row],[Number of items per surgery]]/(Products47[[#This Row],[Number of uses per item]])))</f>
        <v/>
      </c>
      <c r="J9" s="155"/>
      <c r="K9" s="155"/>
      <c r="L9" s="155"/>
    </row>
    <row r="10" spans="2:19" x14ac:dyDescent="0.3">
      <c r="B10" s="124"/>
      <c r="C10" s="125"/>
      <c r="D10" s="126"/>
      <c r="E10" s="154"/>
      <c r="F10" s="127"/>
      <c r="G10" s="129"/>
      <c r="H10" s="142"/>
      <c r="I10" s="151" t="str">
        <f>IF(ISBLANK(H10),"",(Products47[[#This Row],[Carbon footprint per item (g CO2e)]]*Products47[[#This Row],[Number of items per surgery]]/(Products47[[#This Row],[Number of uses per item]])))</f>
        <v/>
      </c>
      <c r="J10" s="155"/>
      <c r="K10" s="155"/>
      <c r="L10" s="155"/>
    </row>
    <row r="11" spans="2:19" ht="15" thickBot="1" x14ac:dyDescent="0.35"/>
    <row r="12" spans="2:19" ht="23.25" customHeight="1" thickBot="1" x14ac:dyDescent="0.35">
      <c r="B12" s="177" t="s">
        <v>69</v>
      </c>
      <c r="C12" s="178"/>
      <c r="D12" s="178"/>
      <c r="E12" s="178"/>
      <c r="F12" s="178"/>
      <c r="G12" s="178"/>
      <c r="H12" s="178"/>
      <c r="I12" s="92"/>
      <c r="J12" s="92"/>
      <c r="K12" s="92"/>
      <c r="L12" s="92"/>
      <c r="M12" s="92"/>
      <c r="N12" s="92"/>
      <c r="O12" s="92"/>
    </row>
    <row r="13" spans="2:19" ht="12.6" customHeight="1" thickBot="1" x14ac:dyDescent="0.35">
      <c r="B13" s="82"/>
      <c r="C13" s="82"/>
      <c r="D13" s="82"/>
      <c r="E13" s="82"/>
      <c r="F13" s="82"/>
      <c r="G13" s="82"/>
      <c r="H13" s="82"/>
      <c r="I13" s="82"/>
      <c r="J13" s="82"/>
      <c r="K13" s="82"/>
      <c r="L13" s="82"/>
      <c r="M13" s="82"/>
      <c r="N13" s="82"/>
      <c r="O13" s="82"/>
    </row>
    <row r="14" spans="2:19" ht="106.95" customHeight="1" thickBot="1" x14ac:dyDescent="0.35">
      <c r="B14" s="164" t="s">
        <v>180</v>
      </c>
      <c r="C14" s="175"/>
      <c r="D14" s="175"/>
      <c r="E14" s="175"/>
      <c r="F14" s="175"/>
      <c r="G14" s="175"/>
      <c r="H14" s="176"/>
      <c r="I14" s="93"/>
      <c r="J14" s="93"/>
      <c r="K14" s="93"/>
      <c r="L14" s="93"/>
      <c r="M14" s="93"/>
      <c r="N14" s="93"/>
      <c r="O14" s="93"/>
    </row>
    <row r="16" spans="2:19" ht="65.400000000000006" thickBot="1" x14ac:dyDescent="0.35">
      <c r="B16" s="10" t="s">
        <v>2</v>
      </c>
      <c r="C16" s="7" t="s">
        <v>70</v>
      </c>
      <c r="D16" s="7" t="s">
        <v>181</v>
      </c>
      <c r="E16" s="7" t="s">
        <v>171</v>
      </c>
      <c r="F16" s="7" t="s">
        <v>74</v>
      </c>
      <c r="G16" s="7" t="s">
        <v>68</v>
      </c>
      <c r="H16" s="7" t="s">
        <v>182</v>
      </c>
      <c r="I16" s="7" t="s">
        <v>183</v>
      </c>
      <c r="J16" s="7" t="s">
        <v>184</v>
      </c>
      <c r="K16" s="86" t="s">
        <v>185</v>
      </c>
      <c r="L16" s="86" t="s">
        <v>186</v>
      </c>
      <c r="M16" s="86" t="s">
        <v>187</v>
      </c>
      <c r="N16" s="86" t="s">
        <v>188</v>
      </c>
      <c r="O16" s="86" t="s">
        <v>176</v>
      </c>
      <c r="P16" s="86" t="s">
        <v>189</v>
      </c>
      <c r="Q16" s="64" t="s">
        <v>177</v>
      </c>
      <c r="R16" s="86" t="s">
        <v>178</v>
      </c>
      <c r="S16" s="86" t="s">
        <v>190</v>
      </c>
    </row>
    <row r="17" spans="2:19" ht="15" thickTop="1" x14ac:dyDescent="0.3">
      <c r="B17" s="70" t="s">
        <v>5</v>
      </c>
      <c r="C17" s="71" t="s">
        <v>202</v>
      </c>
      <c r="D17" s="72">
        <v>200</v>
      </c>
      <c r="E17" s="72">
        <v>200</v>
      </c>
      <c r="F17" s="72">
        <v>100</v>
      </c>
      <c r="G17" s="73" t="str">
        <f>IF(ISBLANK(C17),"",VLOOKUP(C17,Products47[#All],2,FALSE))</f>
        <v>Disposable</v>
      </c>
      <c r="H17" s="73">
        <f t="shared" ref="H17:H32" si="0">IF(ISBLANK(D17),"",D17*O17)</f>
        <v>74800</v>
      </c>
      <c r="I17" s="73">
        <f t="shared" ref="I17:I32" si="1">IF(ISBLANK(F17),"",F17*P17)</f>
        <v>74800</v>
      </c>
      <c r="J17" s="95">
        <f t="shared" ref="J17:J32" si="2">IF(ISBLANK(D17),"",D17*M17)</f>
        <v>432</v>
      </c>
      <c r="K17" s="80">
        <f t="shared" ref="K17:K32" si="3">IF(ISBLANK(F17),"",(F17*N17))</f>
        <v>432</v>
      </c>
      <c r="L17" s="73">
        <f>IF(ISBLANK(E17),"",S17*E17)</f>
        <v>36200</v>
      </c>
      <c r="M17" s="80">
        <f>IF(ISBLANK(C17),"",VLOOKUP(C17,Products47[#All],3,FALSE))</f>
        <v>2.16</v>
      </c>
      <c r="N17" s="80">
        <f t="shared" ref="N17:N32" si="4">IF(ISBLANK(C17),"",(M17*R17/(Q17)))</f>
        <v>4.32</v>
      </c>
      <c r="O17" s="73">
        <f>IF(ISBLANK(C17),"",VLOOKUP(C17,Products47[#All],5,FALSE))</f>
        <v>374</v>
      </c>
      <c r="P17" s="73">
        <f>IF(ISBLANK(C17),"",VLOOKUP(C17,Products47[#All],8,FALSE))</f>
        <v>748</v>
      </c>
      <c r="Q17" s="83">
        <f>IF(ISBLANK(C17),"",VLOOKUP(C17,Products47[#All],6,FALSE))</f>
        <v>1</v>
      </c>
      <c r="R17" s="83">
        <f>IF(ISBLANK(C17),"",VLOOKUP(C17,Products47[#All],7,FALSE))</f>
        <v>2</v>
      </c>
      <c r="S17" s="139">
        <f>IF(ISBLANK(C17),"",VLOOKUP(C17,Products47[#All],4,FALSE))</f>
        <v>181</v>
      </c>
    </row>
    <row r="18" spans="2:19" x14ac:dyDescent="0.3">
      <c r="B18" s="74" t="s">
        <v>6</v>
      </c>
      <c r="C18" s="75" t="s">
        <v>203</v>
      </c>
      <c r="D18" s="76">
        <v>100</v>
      </c>
      <c r="E18" s="76">
        <v>2</v>
      </c>
      <c r="F18" s="76">
        <v>50</v>
      </c>
      <c r="G18" s="77" t="str">
        <f>IF(ISBLANK(C18),"",VLOOKUP(C18,Products47[#All],2,FALSE))</f>
        <v>Reusable</v>
      </c>
      <c r="H18" s="77">
        <f t="shared" si="0"/>
        <v>617600</v>
      </c>
      <c r="I18" s="77">
        <f t="shared" si="1"/>
        <v>12352</v>
      </c>
      <c r="J18" s="96">
        <f t="shared" si="2"/>
        <v>332</v>
      </c>
      <c r="K18" s="81">
        <f t="shared" si="3"/>
        <v>6.64</v>
      </c>
      <c r="L18" s="77">
        <f t="shared" ref="L18:L32" si="5">IF(ISBLANK(D18),"",S18*E18)</f>
        <v>1270</v>
      </c>
      <c r="M18" s="81">
        <f>IF(ISBLANK(C18),"",VLOOKUP(C18,Products47[#All],3,FALSE))</f>
        <v>3.32</v>
      </c>
      <c r="N18" s="81">
        <f t="shared" si="4"/>
        <v>0.1328</v>
      </c>
      <c r="O18" s="77">
        <f>IF(ISBLANK(C18),"",VLOOKUP(C18,Products47[#All],5,FALSE))</f>
        <v>6176</v>
      </c>
      <c r="P18" s="77">
        <f>IF(ISBLANK(C18),"",VLOOKUP(C18,Products47[#All],8,FALSE))</f>
        <v>247.04</v>
      </c>
      <c r="Q18" s="85">
        <f>IF(ISBLANK(C18),"",VLOOKUP(C18,Products47[#All],6,FALSE))</f>
        <v>50</v>
      </c>
      <c r="R18" s="85">
        <f>IF(ISBLANK(C18),"",VLOOKUP(C18,Products47[#All],7,FALSE))</f>
        <v>2</v>
      </c>
      <c r="S18" s="140">
        <f>IF(ISBLANK(C18),"",VLOOKUP(C18,Products47[#All],4,FALSE))</f>
        <v>635</v>
      </c>
    </row>
    <row r="19" spans="2:19" x14ac:dyDescent="0.3">
      <c r="B19" s="74" t="s">
        <v>6</v>
      </c>
      <c r="C19" s="75" t="s">
        <v>202</v>
      </c>
      <c r="D19" s="76">
        <v>100</v>
      </c>
      <c r="E19" s="76">
        <v>100</v>
      </c>
      <c r="F19" s="76">
        <v>50</v>
      </c>
      <c r="G19" s="77" t="str">
        <f>IF(ISBLANK(C19),"",VLOOKUP(C19,Products47[#All],2,FALSE))</f>
        <v>Disposable</v>
      </c>
      <c r="H19" s="77">
        <f t="shared" si="0"/>
        <v>37400</v>
      </c>
      <c r="I19" s="77">
        <f t="shared" si="1"/>
        <v>37400</v>
      </c>
      <c r="J19" s="96">
        <f t="shared" si="2"/>
        <v>216</v>
      </c>
      <c r="K19" s="81">
        <f t="shared" si="3"/>
        <v>216</v>
      </c>
      <c r="L19" s="77">
        <f t="shared" si="5"/>
        <v>18100</v>
      </c>
      <c r="M19" s="81">
        <f>IF(ISBLANK(C19),"",VLOOKUP(C19,Products47[#All],3,FALSE))</f>
        <v>2.16</v>
      </c>
      <c r="N19" s="81">
        <f t="shared" si="4"/>
        <v>4.32</v>
      </c>
      <c r="O19" s="77">
        <f>IF(ISBLANK(C19),"",VLOOKUP(C19,Products47[#All],5,FALSE))</f>
        <v>374</v>
      </c>
      <c r="P19" s="77">
        <f>IF(ISBLANK(C19),"",VLOOKUP(C19,Products47[#All],8,FALSE))</f>
        <v>748</v>
      </c>
      <c r="Q19" s="85">
        <f>IF(ISBLANK(C19),"",VLOOKUP(C19,Products47[#All],6,FALSE))</f>
        <v>1</v>
      </c>
      <c r="R19" s="85">
        <f>IF(ISBLANK(C19),"",VLOOKUP(C19,Products47[#All],7,FALSE))</f>
        <v>2</v>
      </c>
      <c r="S19" s="140">
        <f>IF(ISBLANK(C19),"",VLOOKUP(C19,Products47[#All],4,FALSE))</f>
        <v>181</v>
      </c>
    </row>
    <row r="20" spans="2:19" x14ac:dyDescent="0.3">
      <c r="B20" s="74" t="s">
        <v>7</v>
      </c>
      <c r="C20" s="75" t="s">
        <v>203</v>
      </c>
      <c r="D20" s="76">
        <v>20</v>
      </c>
      <c r="E20" s="76">
        <v>1</v>
      </c>
      <c r="F20" s="76">
        <v>90</v>
      </c>
      <c r="G20" s="77" t="str">
        <f>IF(ISBLANK(C20),"",VLOOKUP(C20,Products47[#All],2,FALSE))</f>
        <v>Reusable</v>
      </c>
      <c r="H20" s="77">
        <f t="shared" si="0"/>
        <v>123520</v>
      </c>
      <c r="I20" s="77">
        <f t="shared" si="1"/>
        <v>22233.599999999999</v>
      </c>
      <c r="J20" s="96">
        <f t="shared" si="2"/>
        <v>66.399999999999991</v>
      </c>
      <c r="K20" s="81">
        <f t="shared" si="3"/>
        <v>11.952</v>
      </c>
      <c r="L20" s="77">
        <f t="shared" si="5"/>
        <v>635</v>
      </c>
      <c r="M20" s="81">
        <f>IF(ISBLANK(C20),"",VLOOKUP(C20,Products47[#All],3,FALSE))</f>
        <v>3.32</v>
      </c>
      <c r="N20" s="81">
        <f t="shared" si="4"/>
        <v>0.1328</v>
      </c>
      <c r="O20" s="77">
        <f>IF(ISBLANK(C20),"",VLOOKUP(C20,Products47[#All],5,FALSE))</f>
        <v>6176</v>
      </c>
      <c r="P20" s="77">
        <f>IF(ISBLANK(C20),"",VLOOKUP(C20,Products47[#All],8,FALSE))</f>
        <v>247.04</v>
      </c>
      <c r="Q20" s="85">
        <f>IF(ISBLANK(C20),"",VLOOKUP(C20,Products47[#All],6,FALSE))</f>
        <v>50</v>
      </c>
      <c r="R20" s="85">
        <f>IF(ISBLANK(C20),"",VLOOKUP(C20,Products47[#All],7,FALSE))</f>
        <v>2</v>
      </c>
      <c r="S20" s="140">
        <f>IF(ISBLANK(C20),"",VLOOKUP(C20,Products47[#All],4,FALSE))</f>
        <v>635</v>
      </c>
    </row>
    <row r="21" spans="2:19" x14ac:dyDescent="0.3">
      <c r="B21" s="74" t="s">
        <v>7</v>
      </c>
      <c r="C21" s="75" t="s">
        <v>202</v>
      </c>
      <c r="D21" s="76">
        <v>100</v>
      </c>
      <c r="E21" s="76">
        <v>20</v>
      </c>
      <c r="F21" s="76">
        <v>10</v>
      </c>
      <c r="G21" s="77" t="str">
        <f>IF(ISBLANK(C21),"",VLOOKUP(C21,Products47[#All],2,FALSE))</f>
        <v>Disposable</v>
      </c>
      <c r="H21" s="77">
        <f t="shared" si="0"/>
        <v>37400</v>
      </c>
      <c r="I21" s="77">
        <f t="shared" si="1"/>
        <v>7480</v>
      </c>
      <c r="J21" s="96">
        <f t="shared" si="2"/>
        <v>216</v>
      </c>
      <c r="K21" s="81">
        <f t="shared" si="3"/>
        <v>43.2</v>
      </c>
      <c r="L21" s="77">
        <f t="shared" si="5"/>
        <v>3620</v>
      </c>
      <c r="M21" s="81">
        <f>IF(ISBLANK(C21),"",VLOOKUP(C21,Products47[#All],3,FALSE))</f>
        <v>2.16</v>
      </c>
      <c r="N21" s="81">
        <f t="shared" si="4"/>
        <v>4.32</v>
      </c>
      <c r="O21" s="77">
        <f>IF(ISBLANK(C21),"",VLOOKUP(C21,Products47[#All],5,FALSE))</f>
        <v>374</v>
      </c>
      <c r="P21" s="77">
        <f>IF(ISBLANK(C21),"",VLOOKUP(C21,Products47[#All],8,FALSE))</f>
        <v>748</v>
      </c>
      <c r="Q21" s="85">
        <f>IF(ISBLANK(C21),"",VLOOKUP(C21,Products47[#All],6,FALSE))</f>
        <v>1</v>
      </c>
      <c r="R21" s="85">
        <f>IF(ISBLANK(C21),"",VLOOKUP(C21,Products47[#All],7,FALSE))</f>
        <v>2</v>
      </c>
      <c r="S21" s="140">
        <f>IF(ISBLANK(C21),"",VLOOKUP(C21,Products47[#All],4,FALSE))</f>
        <v>181</v>
      </c>
    </row>
    <row r="22" spans="2:19" x14ac:dyDescent="0.3">
      <c r="B22" s="74" t="s">
        <v>8</v>
      </c>
      <c r="C22" s="75" t="s">
        <v>203</v>
      </c>
      <c r="D22" s="76">
        <v>0</v>
      </c>
      <c r="E22" s="76">
        <v>2</v>
      </c>
      <c r="F22" s="76">
        <v>90</v>
      </c>
      <c r="G22" s="77" t="str">
        <f>IF(ISBLANK(C22),"",VLOOKUP(C22,Products47[#All],2,FALSE))</f>
        <v>Reusable</v>
      </c>
      <c r="H22" s="77">
        <f t="shared" si="0"/>
        <v>0</v>
      </c>
      <c r="I22" s="77">
        <f t="shared" si="1"/>
        <v>22233.599999999999</v>
      </c>
      <c r="J22" s="96">
        <f t="shared" si="2"/>
        <v>0</v>
      </c>
      <c r="K22" s="81">
        <f t="shared" si="3"/>
        <v>11.952</v>
      </c>
      <c r="L22" s="77">
        <f t="shared" si="5"/>
        <v>1270</v>
      </c>
      <c r="M22" s="81">
        <f>IF(ISBLANK(C22),"",VLOOKUP(C22,Products47[#All],3,FALSE))</f>
        <v>3.32</v>
      </c>
      <c r="N22" s="81">
        <f t="shared" si="4"/>
        <v>0.1328</v>
      </c>
      <c r="O22" s="77">
        <f>IF(ISBLANK(C22),"",VLOOKUP(C22,Products47[#All],5,FALSE))</f>
        <v>6176</v>
      </c>
      <c r="P22" s="77">
        <f>IF(ISBLANK(C22),"",VLOOKUP(C22,Products47[#All],8,FALSE))</f>
        <v>247.04</v>
      </c>
      <c r="Q22" s="85">
        <f>IF(ISBLANK(C22),"",VLOOKUP(C22,Products47[#All],6,FALSE))</f>
        <v>50</v>
      </c>
      <c r="R22" s="85">
        <f>IF(ISBLANK(C22),"",VLOOKUP(C22,Products47[#All],7,FALSE))</f>
        <v>2</v>
      </c>
      <c r="S22" s="140">
        <f>IF(ISBLANK(C22),"",VLOOKUP(C22,Products47[#All],4,FALSE))</f>
        <v>635</v>
      </c>
    </row>
    <row r="23" spans="2:19" x14ac:dyDescent="0.3">
      <c r="B23" s="74" t="s">
        <v>8</v>
      </c>
      <c r="C23" s="75" t="s">
        <v>202</v>
      </c>
      <c r="D23" s="76">
        <v>0</v>
      </c>
      <c r="E23" s="76">
        <v>30</v>
      </c>
      <c r="F23" s="76">
        <v>15</v>
      </c>
      <c r="G23" s="77" t="str">
        <f>IF(ISBLANK(C23),"",VLOOKUP(C23,Products47[#All],2,FALSE))</f>
        <v>Disposable</v>
      </c>
      <c r="H23" s="77">
        <f t="shared" si="0"/>
        <v>0</v>
      </c>
      <c r="I23" s="77">
        <f t="shared" si="1"/>
        <v>11220</v>
      </c>
      <c r="J23" s="96">
        <f t="shared" si="2"/>
        <v>0</v>
      </c>
      <c r="K23" s="81">
        <f t="shared" si="3"/>
        <v>64.800000000000011</v>
      </c>
      <c r="L23" s="77">
        <f t="shared" si="5"/>
        <v>5430</v>
      </c>
      <c r="M23" s="81">
        <f>IF(ISBLANK(C23),"",VLOOKUP(C23,Products47[#All],3,FALSE))</f>
        <v>2.16</v>
      </c>
      <c r="N23" s="81">
        <f t="shared" si="4"/>
        <v>4.32</v>
      </c>
      <c r="O23" s="77">
        <f>IF(ISBLANK(C23),"",VLOOKUP(C23,Products47[#All],5,FALSE))</f>
        <v>374</v>
      </c>
      <c r="P23" s="77">
        <f>IF(ISBLANK(C23),"",VLOOKUP(C23,Products47[#All],8,FALSE))</f>
        <v>748</v>
      </c>
      <c r="Q23" s="85">
        <f>IF(ISBLANK(C23),"",VLOOKUP(C23,Products47[#All],6,FALSE))</f>
        <v>1</v>
      </c>
      <c r="R23" s="85">
        <f>IF(ISBLANK(C23),"",VLOOKUP(C23,Products47[#All],7,FALSE))</f>
        <v>2</v>
      </c>
      <c r="S23" s="140">
        <f>IF(ISBLANK(C23),"",VLOOKUP(C23,Products47[#All],4,FALSE))</f>
        <v>181</v>
      </c>
    </row>
    <row r="24" spans="2:19" x14ac:dyDescent="0.3">
      <c r="B24" s="74"/>
      <c r="C24" s="75"/>
      <c r="D24" s="76"/>
      <c r="E24" s="76"/>
      <c r="F24" s="76"/>
      <c r="G24" s="77" t="str">
        <f>IF(ISBLANK(C24),"",VLOOKUP(C24,Products47[#All],2,FALSE))</f>
        <v/>
      </c>
      <c r="H24" s="77" t="str">
        <f t="shared" si="0"/>
        <v/>
      </c>
      <c r="I24" s="77" t="str">
        <f t="shared" si="1"/>
        <v/>
      </c>
      <c r="J24" s="96" t="str">
        <f t="shared" si="2"/>
        <v/>
      </c>
      <c r="K24" s="81" t="str">
        <f t="shared" si="3"/>
        <v/>
      </c>
      <c r="L24" s="77" t="str">
        <f t="shared" si="5"/>
        <v/>
      </c>
      <c r="M24" s="81" t="str">
        <f>IF(ISBLANK(C24),"",VLOOKUP(C24,Products47[#All],3,FALSE))</f>
        <v/>
      </c>
      <c r="N24" s="81" t="str">
        <f t="shared" si="4"/>
        <v/>
      </c>
      <c r="O24" s="77" t="str">
        <f>IF(ISBLANK(C24),"",VLOOKUP(C24,Products47[#All],5,FALSE))</f>
        <v/>
      </c>
      <c r="P24" s="77" t="str">
        <f>IF(ISBLANK(C24),"",VLOOKUP(C24,Products47[#All],8,FALSE))</f>
        <v/>
      </c>
      <c r="Q24" s="85" t="str">
        <f>IF(ISBLANK(C24),"",VLOOKUP(C24,Products47[#All],6,FALSE))</f>
        <v/>
      </c>
      <c r="R24" s="85" t="str">
        <f>IF(ISBLANK(C24),"",VLOOKUP(C24,Products47[#All],7,FALSE))</f>
        <v/>
      </c>
      <c r="S24" s="140" t="str">
        <f>IF(ISBLANK(C24),"",VLOOKUP(C24,Products47[#All],4,FALSE))</f>
        <v/>
      </c>
    </row>
    <row r="25" spans="2:19" x14ac:dyDescent="0.3">
      <c r="B25" s="74"/>
      <c r="C25" s="75"/>
      <c r="D25" s="76"/>
      <c r="E25" s="76"/>
      <c r="F25" s="76"/>
      <c r="G25" s="77" t="str">
        <f>IF(ISBLANK(C25),"",VLOOKUP(C25,Products47[#All],2,FALSE))</f>
        <v/>
      </c>
      <c r="H25" s="77" t="str">
        <f t="shared" si="0"/>
        <v/>
      </c>
      <c r="I25" s="77" t="str">
        <f t="shared" si="1"/>
        <v/>
      </c>
      <c r="J25" s="96" t="str">
        <f t="shared" si="2"/>
        <v/>
      </c>
      <c r="K25" s="81" t="str">
        <f t="shared" si="3"/>
        <v/>
      </c>
      <c r="L25" s="77" t="str">
        <f t="shared" si="5"/>
        <v/>
      </c>
      <c r="M25" s="81" t="str">
        <f>IF(ISBLANK(C25),"",VLOOKUP(C25,Products47[#All],3,FALSE))</f>
        <v/>
      </c>
      <c r="N25" s="81" t="str">
        <f t="shared" si="4"/>
        <v/>
      </c>
      <c r="O25" s="77" t="str">
        <f>IF(ISBLANK(C25),"",VLOOKUP(C25,Products47[#All],5,FALSE))</f>
        <v/>
      </c>
      <c r="P25" s="77" t="str">
        <f>IF(ISBLANK(C25),"",VLOOKUP(C25,Products47[#All],8,FALSE))</f>
        <v/>
      </c>
      <c r="Q25" s="85" t="str">
        <f>IF(ISBLANK(C25),"",VLOOKUP(C25,Products47[#All],6,FALSE))</f>
        <v/>
      </c>
      <c r="R25" s="85" t="str">
        <f>IF(ISBLANK(C25),"",VLOOKUP(C25,Products47[#All],7,FALSE))</f>
        <v/>
      </c>
      <c r="S25" s="140" t="str">
        <f>IF(ISBLANK(C25),"",VLOOKUP(C25,Products47[#All],4,FALSE))</f>
        <v/>
      </c>
    </row>
    <row r="26" spans="2:19" x14ac:dyDescent="0.3">
      <c r="B26" s="74"/>
      <c r="C26" s="75"/>
      <c r="D26" s="76"/>
      <c r="E26" s="76"/>
      <c r="F26" s="76"/>
      <c r="G26" s="77" t="str">
        <f>IF(ISBLANK(C26),"",VLOOKUP(C26,Products47[#All],2,FALSE))</f>
        <v/>
      </c>
      <c r="H26" s="77" t="str">
        <f t="shared" si="0"/>
        <v/>
      </c>
      <c r="I26" s="77" t="str">
        <f t="shared" si="1"/>
        <v/>
      </c>
      <c r="J26" s="96" t="str">
        <f t="shared" si="2"/>
        <v/>
      </c>
      <c r="K26" s="81" t="str">
        <f t="shared" si="3"/>
        <v/>
      </c>
      <c r="L26" s="77" t="str">
        <f t="shared" si="5"/>
        <v/>
      </c>
      <c r="M26" s="81" t="str">
        <f>IF(ISBLANK(C26),"",VLOOKUP(C26,Products47[#All],3,FALSE))</f>
        <v/>
      </c>
      <c r="N26" s="81" t="str">
        <f t="shared" si="4"/>
        <v/>
      </c>
      <c r="O26" s="77" t="str">
        <f>IF(ISBLANK(C26),"",VLOOKUP(C26,Products47[#All],5,FALSE))</f>
        <v/>
      </c>
      <c r="P26" s="77" t="str">
        <f>IF(ISBLANK(C26),"",VLOOKUP(C26,Products47[#All],8,FALSE))</f>
        <v/>
      </c>
      <c r="Q26" s="85" t="str">
        <f>IF(ISBLANK(C26),"",VLOOKUP(C26,Products47[#All],6,FALSE))</f>
        <v/>
      </c>
      <c r="R26" s="85" t="str">
        <f>IF(ISBLANK(C26),"",VLOOKUP(C26,Products47[#All],7,FALSE))</f>
        <v/>
      </c>
      <c r="S26" s="140" t="str">
        <f>IF(ISBLANK(C26),"",VLOOKUP(C26,Products47[#All],4,FALSE))</f>
        <v/>
      </c>
    </row>
    <row r="27" spans="2:19" x14ac:dyDescent="0.3">
      <c r="B27" s="74"/>
      <c r="C27" s="75"/>
      <c r="D27" s="76"/>
      <c r="E27" s="76"/>
      <c r="F27" s="76"/>
      <c r="G27" s="77" t="str">
        <f>IF(ISBLANK(C27),"",VLOOKUP(C27,Products47[#All],2,FALSE))</f>
        <v/>
      </c>
      <c r="H27" s="77" t="str">
        <f t="shared" si="0"/>
        <v/>
      </c>
      <c r="I27" s="77" t="str">
        <f t="shared" si="1"/>
        <v/>
      </c>
      <c r="J27" s="96" t="str">
        <f t="shared" si="2"/>
        <v/>
      </c>
      <c r="K27" s="81" t="str">
        <f t="shared" si="3"/>
        <v/>
      </c>
      <c r="L27" s="77" t="str">
        <f t="shared" si="5"/>
        <v/>
      </c>
      <c r="M27" s="81" t="str">
        <f>IF(ISBLANK(C27),"",VLOOKUP(C27,Products47[#All],3,FALSE))</f>
        <v/>
      </c>
      <c r="N27" s="81" t="str">
        <f t="shared" si="4"/>
        <v/>
      </c>
      <c r="O27" s="77" t="str">
        <f>IF(ISBLANK(C27),"",VLOOKUP(C27,Products47[#All],5,FALSE))</f>
        <v/>
      </c>
      <c r="P27" s="77" t="str">
        <f>IF(ISBLANK(C27),"",VLOOKUP(C27,Products47[#All],8,FALSE))</f>
        <v/>
      </c>
      <c r="Q27" s="85" t="str">
        <f>IF(ISBLANK(C27),"",VLOOKUP(C27,Products47[#All],6,FALSE))</f>
        <v/>
      </c>
      <c r="R27" s="85" t="str">
        <f>IF(ISBLANK(C27),"",VLOOKUP(C27,Products47[#All],7,FALSE))</f>
        <v/>
      </c>
      <c r="S27" s="140" t="str">
        <f>IF(ISBLANK(C27),"",VLOOKUP(C27,Products47[#All],4,FALSE))</f>
        <v/>
      </c>
    </row>
    <row r="28" spans="2:19" x14ac:dyDescent="0.3">
      <c r="B28" s="74"/>
      <c r="C28" s="75"/>
      <c r="D28" s="76"/>
      <c r="E28" s="76"/>
      <c r="F28" s="76"/>
      <c r="G28" s="77" t="str">
        <f>IF(ISBLANK(C28),"",VLOOKUP(C28,Products47[#All],2,FALSE))</f>
        <v/>
      </c>
      <c r="H28" s="77" t="str">
        <f t="shared" si="0"/>
        <v/>
      </c>
      <c r="I28" s="77" t="str">
        <f t="shared" si="1"/>
        <v/>
      </c>
      <c r="J28" s="96" t="str">
        <f t="shared" si="2"/>
        <v/>
      </c>
      <c r="K28" s="81" t="str">
        <f t="shared" si="3"/>
        <v/>
      </c>
      <c r="L28" s="77" t="str">
        <f t="shared" si="5"/>
        <v/>
      </c>
      <c r="M28" s="81" t="str">
        <f>IF(ISBLANK(C28),"",VLOOKUP(C28,Products47[#All],3,FALSE))</f>
        <v/>
      </c>
      <c r="N28" s="81" t="str">
        <f t="shared" si="4"/>
        <v/>
      </c>
      <c r="O28" s="77" t="str">
        <f>IF(ISBLANK(C28),"",VLOOKUP(C28,Products47[#All],5,FALSE))</f>
        <v/>
      </c>
      <c r="P28" s="77" t="str">
        <f>IF(ISBLANK(C28),"",VLOOKUP(C28,Products47[#All],8,FALSE))</f>
        <v/>
      </c>
      <c r="Q28" s="85" t="str">
        <f>IF(ISBLANK(C28),"",VLOOKUP(C28,Products47[#All],6,FALSE))</f>
        <v/>
      </c>
      <c r="R28" s="85" t="str">
        <f>IF(ISBLANK(C28),"",VLOOKUP(C28,Products47[#All],7,FALSE))</f>
        <v/>
      </c>
      <c r="S28" s="140" t="str">
        <f>IF(ISBLANK(C28),"",VLOOKUP(C28,Products47[#All],4,FALSE))</f>
        <v/>
      </c>
    </row>
    <row r="29" spans="2:19" x14ac:dyDescent="0.3">
      <c r="B29" s="74"/>
      <c r="C29" s="75"/>
      <c r="D29" s="76"/>
      <c r="E29" s="76"/>
      <c r="F29" s="76"/>
      <c r="G29" s="77" t="str">
        <f>IF(ISBLANK(C29),"",VLOOKUP(C29,Products47[#All],2,FALSE))</f>
        <v/>
      </c>
      <c r="H29" s="77" t="str">
        <f t="shared" si="0"/>
        <v/>
      </c>
      <c r="I29" s="77" t="str">
        <f t="shared" si="1"/>
        <v/>
      </c>
      <c r="J29" s="96" t="str">
        <f t="shared" si="2"/>
        <v/>
      </c>
      <c r="K29" s="81" t="str">
        <f t="shared" si="3"/>
        <v/>
      </c>
      <c r="L29" s="77" t="str">
        <f t="shared" si="5"/>
        <v/>
      </c>
      <c r="M29" s="81" t="str">
        <f>IF(ISBLANK(C29),"",VLOOKUP(C29,Products47[#All],3,FALSE))</f>
        <v/>
      </c>
      <c r="N29" s="81" t="str">
        <f t="shared" si="4"/>
        <v/>
      </c>
      <c r="O29" s="77" t="str">
        <f>IF(ISBLANK(C29),"",VLOOKUP(C29,Products47[#All],5,FALSE))</f>
        <v/>
      </c>
      <c r="P29" s="77" t="str">
        <f>IF(ISBLANK(C29),"",VLOOKUP(C29,Products47[#All],8,FALSE))</f>
        <v/>
      </c>
      <c r="Q29" s="85" t="str">
        <f>IF(ISBLANK(C29),"",VLOOKUP(C29,Products47[#All],6,FALSE))</f>
        <v/>
      </c>
      <c r="R29" s="85" t="str">
        <f>IF(ISBLANK(C29),"",VLOOKUP(C29,Products47[#All],7,FALSE))</f>
        <v/>
      </c>
      <c r="S29" s="140" t="str">
        <f>IF(ISBLANK(C29),"",VLOOKUP(C29,Products47[#All],4,FALSE))</f>
        <v/>
      </c>
    </row>
    <row r="30" spans="2:19" x14ac:dyDescent="0.3">
      <c r="B30" s="74"/>
      <c r="C30" s="75"/>
      <c r="D30" s="76"/>
      <c r="E30" s="76"/>
      <c r="F30" s="76"/>
      <c r="G30" s="77" t="str">
        <f>IF(ISBLANK(C30),"",VLOOKUP(C30,Products47[#All],2,FALSE))</f>
        <v/>
      </c>
      <c r="H30" s="77" t="str">
        <f t="shared" si="0"/>
        <v/>
      </c>
      <c r="I30" s="77" t="str">
        <f t="shared" si="1"/>
        <v/>
      </c>
      <c r="J30" s="96" t="str">
        <f t="shared" si="2"/>
        <v/>
      </c>
      <c r="K30" s="81" t="str">
        <f t="shared" si="3"/>
        <v/>
      </c>
      <c r="L30" s="77" t="str">
        <f t="shared" si="5"/>
        <v/>
      </c>
      <c r="M30" s="81" t="str">
        <f>IF(ISBLANK(C30),"",VLOOKUP(C30,Products47[#All],3,FALSE))</f>
        <v/>
      </c>
      <c r="N30" s="81" t="str">
        <f t="shared" si="4"/>
        <v/>
      </c>
      <c r="O30" s="77" t="str">
        <f>IF(ISBLANK(C30),"",VLOOKUP(C30,Products47[#All],5,FALSE))</f>
        <v/>
      </c>
      <c r="P30" s="77" t="str">
        <f>IF(ISBLANK(C30),"",VLOOKUP(C30,Products47[#All],8,FALSE))</f>
        <v/>
      </c>
      <c r="Q30" s="85" t="str">
        <f>IF(ISBLANK(C30),"",VLOOKUP(C30,Products47[#All],6,FALSE))</f>
        <v/>
      </c>
      <c r="R30" s="85" t="str">
        <f>IF(ISBLANK(C30),"",VLOOKUP(C30,Products47[#All],7,FALSE))</f>
        <v/>
      </c>
      <c r="S30" s="140" t="str">
        <f>IF(ISBLANK(C30),"",VLOOKUP(C30,Products47[#All],4,FALSE))</f>
        <v/>
      </c>
    </row>
    <row r="31" spans="2:19" x14ac:dyDescent="0.3">
      <c r="B31" s="74"/>
      <c r="C31" s="75"/>
      <c r="D31" s="76"/>
      <c r="E31" s="76"/>
      <c r="F31" s="76"/>
      <c r="G31" s="77" t="str">
        <f>IF(ISBLANK(C31),"",VLOOKUP(C31,Products47[#All],2,FALSE))</f>
        <v/>
      </c>
      <c r="H31" s="77" t="str">
        <f t="shared" si="0"/>
        <v/>
      </c>
      <c r="I31" s="77" t="str">
        <f t="shared" si="1"/>
        <v/>
      </c>
      <c r="J31" s="96" t="str">
        <f t="shared" si="2"/>
        <v/>
      </c>
      <c r="K31" s="81" t="str">
        <f t="shared" si="3"/>
        <v/>
      </c>
      <c r="L31" s="77" t="str">
        <f t="shared" si="5"/>
        <v/>
      </c>
      <c r="M31" s="81" t="str">
        <f>IF(ISBLANK(C31),"",VLOOKUP(C31,Products47[#All],3,FALSE))</f>
        <v/>
      </c>
      <c r="N31" s="81" t="str">
        <f t="shared" si="4"/>
        <v/>
      </c>
      <c r="O31" s="77" t="str">
        <f>IF(ISBLANK(C31),"",VLOOKUP(C31,Products47[#All],5,FALSE))</f>
        <v/>
      </c>
      <c r="P31" s="77" t="str">
        <f>IF(ISBLANK(C31),"",VLOOKUP(C31,Products47[#All],8,FALSE))</f>
        <v/>
      </c>
      <c r="Q31" s="85" t="str">
        <f>IF(ISBLANK(C31),"",VLOOKUP(C31,Products47[#All],6,FALSE))</f>
        <v/>
      </c>
      <c r="R31" s="85" t="str">
        <f>IF(ISBLANK(C31),"",VLOOKUP(C31,Products47[#All],7,FALSE))</f>
        <v/>
      </c>
      <c r="S31" s="140" t="str">
        <f>IF(ISBLANK(C31),"",VLOOKUP(C31,Products47[#All],4,FALSE))</f>
        <v/>
      </c>
    </row>
    <row r="32" spans="2:19" x14ac:dyDescent="0.3">
      <c r="B32" s="74"/>
      <c r="C32" s="75"/>
      <c r="D32" s="76"/>
      <c r="E32" s="76"/>
      <c r="F32" s="76"/>
      <c r="G32" s="77" t="str">
        <f>IF(ISBLANK(C32),"",VLOOKUP(C32,Products47[#All],2,FALSE))</f>
        <v/>
      </c>
      <c r="H32" s="77" t="str">
        <f t="shared" si="0"/>
        <v/>
      </c>
      <c r="I32" s="77" t="str">
        <f t="shared" si="1"/>
        <v/>
      </c>
      <c r="J32" s="96" t="str">
        <f t="shared" si="2"/>
        <v/>
      </c>
      <c r="K32" s="81" t="str">
        <f t="shared" si="3"/>
        <v/>
      </c>
      <c r="L32" s="77" t="str">
        <f t="shared" si="5"/>
        <v/>
      </c>
      <c r="M32" s="81" t="str">
        <f>IF(ISBLANK(C32),"",VLOOKUP(C32,Products47[#All],3,FALSE))</f>
        <v/>
      </c>
      <c r="N32" s="81" t="str">
        <f t="shared" si="4"/>
        <v/>
      </c>
      <c r="O32" s="77" t="str">
        <f>IF(ISBLANK(C32),"",VLOOKUP(C32,Products47[#All],5,FALSE))</f>
        <v/>
      </c>
      <c r="P32" s="77" t="str">
        <f>IF(ISBLANK(C32),"",VLOOKUP(C32,Products47[#All],8,FALSE))</f>
        <v/>
      </c>
      <c r="Q32" s="85" t="str">
        <f>IF(ISBLANK(C32),"",VLOOKUP(C32,Products47[#All],6,FALSE))</f>
        <v/>
      </c>
      <c r="R32" s="85" t="str">
        <f>IF(ISBLANK(C32),"",VLOOKUP(C32,Products47[#All],7,FALSE))</f>
        <v/>
      </c>
      <c r="S32" s="140" t="str">
        <f>IF(ISBLANK(C32),"",VLOOKUP(C32,Products47[#All],4,FALSE))</f>
        <v/>
      </c>
    </row>
    <row r="33" spans="2:15" x14ac:dyDescent="0.3">
      <c r="D33" s="156"/>
      <c r="E33" s="156"/>
      <c r="F33" s="156"/>
    </row>
    <row r="34" spans="2:15" ht="15" thickBot="1" x14ac:dyDescent="0.35"/>
    <row r="35" spans="2:15" ht="23.25" customHeight="1" thickBot="1" x14ac:dyDescent="0.35">
      <c r="B35" s="168" t="s">
        <v>191</v>
      </c>
      <c r="C35" s="169"/>
      <c r="D35" s="169"/>
      <c r="E35" s="169"/>
      <c r="F35" s="169"/>
      <c r="G35" s="169"/>
      <c r="H35" s="169"/>
      <c r="I35" s="92"/>
      <c r="J35" s="92"/>
      <c r="K35" s="92"/>
      <c r="L35" s="92"/>
      <c r="M35" s="92"/>
      <c r="N35" s="92"/>
      <c r="O35" s="92"/>
    </row>
    <row r="36" spans="2:15" ht="15" thickBot="1" x14ac:dyDescent="0.35"/>
    <row r="37" spans="2:15" ht="90" customHeight="1" thickBot="1" x14ac:dyDescent="0.35">
      <c r="B37" s="167" t="s">
        <v>192</v>
      </c>
      <c r="C37" s="165"/>
      <c r="D37" s="165"/>
      <c r="E37" s="165"/>
      <c r="F37" s="165"/>
      <c r="G37" s="165"/>
      <c r="H37" s="166"/>
      <c r="I37" s="93"/>
      <c r="J37" s="93"/>
      <c r="K37" s="93"/>
      <c r="L37" s="93"/>
      <c r="M37" s="93"/>
      <c r="N37" s="93"/>
      <c r="O37" s="93"/>
    </row>
    <row r="40" spans="2:15" ht="47.4" thickBot="1" x14ac:dyDescent="0.35">
      <c r="B40" s="87" t="s">
        <v>2</v>
      </c>
      <c r="C40" s="86" t="s">
        <v>193</v>
      </c>
      <c r="D40" s="86" t="s">
        <v>194</v>
      </c>
      <c r="E40" s="86" t="s">
        <v>195</v>
      </c>
    </row>
    <row r="41" spans="2:15" ht="15" thickTop="1" x14ac:dyDescent="0.3">
      <c r="B41" s="11" t="s">
        <v>5</v>
      </c>
      <c r="C41" s="94">
        <f t="shared" ref="C41:C50" si="6">IF(COUNTIF($B$17:$B$32,B41)&gt;0,SUMIFS($F$17:$F$32,$B$17:$B$32,B41,$G$17:$G$32,"reusable"),"")</f>
        <v>0</v>
      </c>
      <c r="D41" s="94">
        <f t="shared" ref="D41:D50" si="7">IF(COUNTIF($B$17:$B$32,B41)&gt;0,(SUMIFS($F$17:$F$32,$B$17:$B$32,B41)),"")</f>
        <v>100</v>
      </c>
      <c r="E41" s="88">
        <f>IF(COUNTIF($B$17:$B$32,B41)&gt;0,C41/D41,"")</f>
        <v>0</v>
      </c>
    </row>
    <row r="42" spans="2:15" x14ac:dyDescent="0.3">
      <c r="B42" s="14" t="s">
        <v>6</v>
      </c>
      <c r="C42" s="94">
        <f t="shared" si="6"/>
        <v>50</v>
      </c>
      <c r="D42" s="94">
        <f t="shared" si="7"/>
        <v>100</v>
      </c>
      <c r="E42" s="88">
        <f>IF(COUNTIF($B$17:$B$32,B42)&gt;0,C42/D42,"")</f>
        <v>0.5</v>
      </c>
    </row>
    <row r="43" spans="2:15" x14ac:dyDescent="0.3">
      <c r="B43" s="14" t="s">
        <v>7</v>
      </c>
      <c r="C43" s="94">
        <f t="shared" si="6"/>
        <v>90</v>
      </c>
      <c r="D43" s="94">
        <f t="shared" si="7"/>
        <v>100</v>
      </c>
      <c r="E43" s="88">
        <f t="shared" ref="E43:E50" si="8">IF(COUNTIF($B$17:$B$32,B43)&gt;0,C43/D43,"")</f>
        <v>0.9</v>
      </c>
    </row>
    <row r="44" spans="2:15" x14ac:dyDescent="0.3">
      <c r="B44" s="14" t="s">
        <v>8</v>
      </c>
      <c r="C44" s="94">
        <f t="shared" si="6"/>
        <v>90</v>
      </c>
      <c r="D44" s="94">
        <f t="shared" si="7"/>
        <v>105</v>
      </c>
      <c r="E44" s="88">
        <f t="shared" si="8"/>
        <v>0.8571428571428571</v>
      </c>
    </row>
    <row r="45" spans="2:15" x14ac:dyDescent="0.3">
      <c r="B45" s="14" t="s">
        <v>9</v>
      </c>
      <c r="C45" s="94" t="str">
        <f t="shared" si="6"/>
        <v/>
      </c>
      <c r="D45" s="94" t="str">
        <f t="shared" si="7"/>
        <v/>
      </c>
      <c r="E45" s="88" t="str">
        <f t="shared" si="8"/>
        <v/>
      </c>
    </row>
    <row r="46" spans="2:15" x14ac:dyDescent="0.3">
      <c r="B46" s="14" t="s">
        <v>10</v>
      </c>
      <c r="C46" s="94" t="str">
        <f t="shared" si="6"/>
        <v/>
      </c>
      <c r="D46" s="94" t="str">
        <f t="shared" si="7"/>
        <v/>
      </c>
      <c r="E46" s="88" t="str">
        <f t="shared" si="8"/>
        <v/>
      </c>
    </row>
    <row r="47" spans="2:15" x14ac:dyDescent="0.3">
      <c r="B47" s="14" t="s">
        <v>11</v>
      </c>
      <c r="C47" s="94" t="str">
        <f t="shared" si="6"/>
        <v/>
      </c>
      <c r="D47" s="94" t="str">
        <f t="shared" si="7"/>
        <v/>
      </c>
      <c r="E47" s="88" t="str">
        <f t="shared" si="8"/>
        <v/>
      </c>
    </row>
    <row r="48" spans="2:15" x14ac:dyDescent="0.3">
      <c r="B48" s="14" t="s">
        <v>12</v>
      </c>
      <c r="C48" s="94" t="str">
        <f t="shared" si="6"/>
        <v/>
      </c>
      <c r="D48" s="94" t="str">
        <f t="shared" si="7"/>
        <v/>
      </c>
      <c r="E48" s="88" t="str">
        <f t="shared" si="8"/>
        <v/>
      </c>
    </row>
    <row r="49" spans="2:15" x14ac:dyDescent="0.3">
      <c r="B49" s="14" t="s">
        <v>13</v>
      </c>
      <c r="C49" s="94" t="str">
        <f t="shared" si="6"/>
        <v/>
      </c>
      <c r="D49" s="94" t="str">
        <f t="shared" si="7"/>
        <v/>
      </c>
      <c r="E49" s="88" t="str">
        <f t="shared" si="8"/>
        <v/>
      </c>
    </row>
    <row r="50" spans="2:15" x14ac:dyDescent="0.3">
      <c r="B50" s="14" t="s">
        <v>14</v>
      </c>
      <c r="C50" s="94" t="str">
        <f t="shared" si="6"/>
        <v/>
      </c>
      <c r="D50" s="94" t="str">
        <f t="shared" si="7"/>
        <v/>
      </c>
      <c r="E50" s="88" t="str">
        <f t="shared" si="8"/>
        <v/>
      </c>
    </row>
    <row r="52" spans="2:15" ht="15" thickBot="1" x14ac:dyDescent="0.35"/>
    <row r="53" spans="2:15" ht="23.25" customHeight="1" thickBot="1" x14ac:dyDescent="0.35">
      <c r="B53" s="168" t="s">
        <v>196</v>
      </c>
      <c r="C53" s="169"/>
      <c r="D53" s="169"/>
      <c r="E53" s="169"/>
      <c r="F53" s="169"/>
      <c r="G53" s="169"/>
      <c r="H53" s="169"/>
      <c r="I53" s="92"/>
      <c r="J53" s="92"/>
      <c r="K53" s="92"/>
      <c r="L53" s="92"/>
      <c r="M53" s="92"/>
      <c r="N53" s="92"/>
      <c r="O53" s="92"/>
    </row>
    <row r="54" spans="2:15" ht="15" thickBot="1" x14ac:dyDescent="0.35"/>
    <row r="55" spans="2:15" ht="66.599999999999994" customHeight="1" thickBot="1" x14ac:dyDescent="0.35">
      <c r="B55" s="167" t="s">
        <v>197</v>
      </c>
      <c r="C55" s="165"/>
      <c r="D55" s="165"/>
      <c r="E55" s="165"/>
      <c r="F55" s="165"/>
      <c r="G55" s="165"/>
      <c r="H55" s="166"/>
      <c r="I55" s="93"/>
      <c r="J55" s="93"/>
      <c r="K55" s="93"/>
      <c r="L55" s="93"/>
      <c r="M55" s="93"/>
      <c r="N55" s="93"/>
      <c r="O55" s="93"/>
    </row>
    <row r="58" spans="2:15" ht="31.8" thickBot="1" x14ac:dyDescent="0.35">
      <c r="B58" s="87" t="s">
        <v>2</v>
      </c>
      <c r="C58" s="86" t="s">
        <v>198</v>
      </c>
      <c r="D58" s="86" t="s">
        <v>199</v>
      </c>
      <c r="E58" s="86" t="s">
        <v>200</v>
      </c>
    </row>
    <row r="59" spans="2:15" ht="15" thickTop="1" x14ac:dyDescent="0.3">
      <c r="B59" s="11" t="s">
        <v>5</v>
      </c>
      <c r="C59" s="97">
        <f t="shared" ref="C59:C68" si="9">IF(COUNTIF($B$17:$B$32,B59)&gt;0,SUMIF($B$17:$B$32,B59,$K$17:$K$32),"")</f>
        <v>432</v>
      </c>
      <c r="D59" s="152">
        <f>IF(COUNTIF($B$17:$B$32,B59)&gt;0,(SUMIFS($F$17:$F$32,$B$17:$B$32,B59)),"")</f>
        <v>100</v>
      </c>
      <c r="E59" s="97">
        <f>IF(COUNTIF($B$17:$B$32,B59)&gt;0,C59/D59,"")</f>
        <v>4.32</v>
      </c>
    </row>
    <row r="60" spans="2:15" x14ac:dyDescent="0.3">
      <c r="B60" s="14" t="s">
        <v>6</v>
      </c>
      <c r="C60" s="97">
        <f t="shared" si="9"/>
        <v>222.64</v>
      </c>
      <c r="D60" s="152">
        <f t="shared" ref="D60:D68" si="10">IF(COUNTIF($B$17:$B$32,B60)&gt;0,(SUMIFS($F$17:$F$32,$B$17:$B$32,B60)),"")</f>
        <v>100</v>
      </c>
      <c r="E60" s="97">
        <f t="shared" ref="E60:E68" si="11">IF(COUNTIF($B$17:$B$32,B60)&gt;0,C60/D60,"")</f>
        <v>2.2263999999999999</v>
      </c>
    </row>
    <row r="61" spans="2:15" x14ac:dyDescent="0.3">
      <c r="B61" s="14" t="s">
        <v>7</v>
      </c>
      <c r="C61" s="97">
        <f t="shared" si="9"/>
        <v>55.152000000000001</v>
      </c>
      <c r="D61" s="152">
        <f t="shared" si="10"/>
        <v>100</v>
      </c>
      <c r="E61" s="97">
        <f t="shared" si="11"/>
        <v>0.55152000000000001</v>
      </c>
    </row>
    <row r="62" spans="2:15" x14ac:dyDescent="0.3">
      <c r="B62" s="14" t="s">
        <v>8</v>
      </c>
      <c r="C62" s="97">
        <f t="shared" si="9"/>
        <v>76.75200000000001</v>
      </c>
      <c r="D62" s="152">
        <f t="shared" si="10"/>
        <v>105</v>
      </c>
      <c r="E62" s="97">
        <f t="shared" si="11"/>
        <v>0.73097142857142872</v>
      </c>
    </row>
    <row r="63" spans="2:15" x14ac:dyDescent="0.3">
      <c r="B63" s="14" t="s">
        <v>9</v>
      </c>
      <c r="C63" s="97" t="str">
        <f t="shared" si="9"/>
        <v/>
      </c>
      <c r="D63" s="152" t="str">
        <f t="shared" si="10"/>
        <v/>
      </c>
      <c r="E63" s="97" t="str">
        <f t="shared" si="11"/>
        <v/>
      </c>
    </row>
    <row r="64" spans="2:15" x14ac:dyDescent="0.3">
      <c r="B64" s="14" t="s">
        <v>10</v>
      </c>
      <c r="C64" s="97" t="str">
        <f t="shared" si="9"/>
        <v/>
      </c>
      <c r="D64" s="152" t="str">
        <f t="shared" si="10"/>
        <v/>
      </c>
      <c r="E64" s="97" t="str">
        <f t="shared" si="11"/>
        <v/>
      </c>
    </row>
    <row r="65" spans="2:15" x14ac:dyDescent="0.3">
      <c r="B65" s="14" t="s">
        <v>11</v>
      </c>
      <c r="C65" s="97" t="str">
        <f t="shared" si="9"/>
        <v/>
      </c>
      <c r="D65" s="152" t="str">
        <f t="shared" si="10"/>
        <v/>
      </c>
      <c r="E65" s="97" t="str">
        <f t="shared" si="11"/>
        <v/>
      </c>
    </row>
    <row r="66" spans="2:15" x14ac:dyDescent="0.3">
      <c r="B66" s="14" t="s">
        <v>12</v>
      </c>
      <c r="C66" s="97" t="str">
        <f t="shared" si="9"/>
        <v/>
      </c>
      <c r="D66" s="152" t="str">
        <f t="shared" si="10"/>
        <v/>
      </c>
      <c r="E66" s="97" t="str">
        <f t="shared" si="11"/>
        <v/>
      </c>
    </row>
    <row r="67" spans="2:15" x14ac:dyDescent="0.3">
      <c r="B67" s="14" t="s">
        <v>13</v>
      </c>
      <c r="C67" s="97" t="str">
        <f t="shared" si="9"/>
        <v/>
      </c>
      <c r="D67" s="152" t="str">
        <f t="shared" si="10"/>
        <v/>
      </c>
      <c r="E67" s="97" t="str">
        <f t="shared" si="11"/>
        <v/>
      </c>
    </row>
    <row r="68" spans="2:15" x14ac:dyDescent="0.3">
      <c r="B68" s="14" t="s">
        <v>14</v>
      </c>
      <c r="C68" s="97" t="str">
        <f t="shared" si="9"/>
        <v/>
      </c>
      <c r="D68" s="152" t="str">
        <f t="shared" si="10"/>
        <v/>
      </c>
      <c r="E68" s="97" t="str">
        <f t="shared" si="11"/>
        <v/>
      </c>
    </row>
    <row r="70" spans="2:15" ht="15" thickBot="1" x14ac:dyDescent="0.35"/>
    <row r="71" spans="2:15" ht="23.25" customHeight="1" thickBot="1" x14ac:dyDescent="0.35">
      <c r="B71" s="171" t="s">
        <v>172</v>
      </c>
      <c r="C71" s="172"/>
      <c r="D71" s="172"/>
      <c r="E71" s="172"/>
      <c r="F71" s="172"/>
      <c r="G71" s="172"/>
      <c r="H71" s="172"/>
      <c r="I71" s="92"/>
      <c r="J71" s="92"/>
      <c r="K71" s="92"/>
      <c r="L71" s="92"/>
      <c r="M71" s="92"/>
      <c r="N71" s="92"/>
      <c r="O71" s="92"/>
    </row>
    <row r="72" spans="2:15" ht="15" thickBot="1" x14ac:dyDescent="0.35"/>
    <row r="73" spans="2:15" ht="61.8" customHeight="1" thickBot="1" x14ac:dyDescent="0.35">
      <c r="B73" s="164" t="s">
        <v>132</v>
      </c>
      <c r="C73" s="175"/>
      <c r="D73" s="175"/>
      <c r="E73" s="175"/>
      <c r="F73" s="175"/>
      <c r="G73" s="175"/>
      <c r="H73" s="176"/>
      <c r="I73" s="93"/>
      <c r="J73" s="93"/>
      <c r="K73" s="93"/>
      <c r="L73" s="93"/>
      <c r="M73" s="93"/>
      <c r="N73" s="93"/>
      <c r="O73" s="93"/>
    </row>
    <row r="76" spans="2:15" ht="34.200000000000003" thickBot="1" x14ac:dyDescent="0.35">
      <c r="B76" s="87" t="s">
        <v>2</v>
      </c>
      <c r="C76" s="86" t="s">
        <v>201</v>
      </c>
      <c r="D76" s="55"/>
      <c r="E76" s="55"/>
    </row>
    <row r="77" spans="2:15" ht="15" thickTop="1" x14ac:dyDescent="0.3">
      <c r="B77" s="11" t="s">
        <v>5</v>
      </c>
      <c r="C77" s="100">
        <f t="shared" ref="C77:C86" si="12">IF(COUNTIF($B$17:$B$32,B77)&gt;0,SUMIF($B$17:$B$32,B77,$I$17:$I$32),"")</f>
        <v>74800</v>
      </c>
      <c r="D77" s="98"/>
      <c r="E77" s="99"/>
    </row>
    <row r="78" spans="2:15" x14ac:dyDescent="0.3">
      <c r="B78" s="14" t="s">
        <v>6</v>
      </c>
      <c r="C78" s="100">
        <f t="shared" si="12"/>
        <v>49752</v>
      </c>
      <c r="D78" s="98"/>
      <c r="E78" s="99"/>
    </row>
    <row r="79" spans="2:15" x14ac:dyDescent="0.3">
      <c r="B79" s="14" t="s">
        <v>7</v>
      </c>
      <c r="C79" s="100">
        <f t="shared" si="12"/>
        <v>29713.599999999999</v>
      </c>
      <c r="D79" s="98"/>
      <c r="E79" s="99"/>
    </row>
    <row r="80" spans="2:15" x14ac:dyDescent="0.3">
      <c r="B80" s="14" t="s">
        <v>8</v>
      </c>
      <c r="C80" s="100">
        <f t="shared" si="12"/>
        <v>33453.599999999999</v>
      </c>
      <c r="D80" s="98"/>
      <c r="E80" s="99"/>
    </row>
    <row r="81" spans="2:15" x14ac:dyDescent="0.3">
      <c r="B81" s="14" t="s">
        <v>9</v>
      </c>
      <c r="C81" s="100" t="str">
        <f t="shared" si="12"/>
        <v/>
      </c>
      <c r="D81" s="98"/>
      <c r="E81" s="99"/>
    </row>
    <row r="82" spans="2:15" x14ac:dyDescent="0.3">
      <c r="B82" s="14" t="s">
        <v>10</v>
      </c>
      <c r="C82" s="100" t="str">
        <f t="shared" si="12"/>
        <v/>
      </c>
      <c r="D82" s="98"/>
      <c r="E82" s="99"/>
    </row>
    <row r="83" spans="2:15" x14ac:dyDescent="0.3">
      <c r="B83" s="14" t="s">
        <v>11</v>
      </c>
      <c r="C83" s="100" t="str">
        <f t="shared" si="12"/>
        <v/>
      </c>
      <c r="D83" s="98"/>
      <c r="E83" s="99"/>
    </row>
    <row r="84" spans="2:15" x14ac:dyDescent="0.3">
      <c r="B84" s="14" t="s">
        <v>12</v>
      </c>
      <c r="C84" s="100" t="str">
        <f t="shared" si="12"/>
        <v/>
      </c>
      <c r="D84" s="98"/>
      <c r="E84" s="99"/>
    </row>
    <row r="85" spans="2:15" x14ac:dyDescent="0.3">
      <c r="B85" s="14" t="s">
        <v>13</v>
      </c>
      <c r="C85" s="100" t="str">
        <f t="shared" si="12"/>
        <v/>
      </c>
      <c r="D85" s="98"/>
      <c r="E85" s="99"/>
    </row>
    <row r="86" spans="2:15" x14ac:dyDescent="0.3">
      <c r="B86" s="14" t="s">
        <v>14</v>
      </c>
      <c r="C86" s="100" t="str">
        <f t="shared" si="12"/>
        <v/>
      </c>
      <c r="D86" s="98"/>
      <c r="E86" s="99"/>
    </row>
    <row r="88" spans="2:15" ht="15" thickBot="1" x14ac:dyDescent="0.35"/>
    <row r="89" spans="2:15" ht="23.25" customHeight="1" thickBot="1" x14ac:dyDescent="0.35">
      <c r="B89" s="171" t="s">
        <v>84</v>
      </c>
      <c r="C89" s="172"/>
      <c r="D89" s="172"/>
      <c r="E89" s="172"/>
      <c r="F89" s="172"/>
      <c r="G89" s="172"/>
      <c r="H89" s="172"/>
      <c r="I89" s="92"/>
      <c r="J89" s="92"/>
      <c r="K89" s="92"/>
      <c r="L89" s="92"/>
      <c r="M89" s="92"/>
      <c r="N89" s="92"/>
      <c r="O89" s="92"/>
    </row>
    <row r="90" spans="2:15" ht="15" thickBot="1" x14ac:dyDescent="0.35"/>
    <row r="91" spans="2:15" ht="30.6" customHeight="1" thickBot="1" x14ac:dyDescent="0.35">
      <c r="B91" s="164" t="s">
        <v>133</v>
      </c>
      <c r="C91" s="175"/>
      <c r="D91" s="175"/>
      <c r="E91" s="175"/>
      <c r="F91" s="175"/>
      <c r="G91" s="175"/>
      <c r="H91" s="176"/>
      <c r="I91" s="93"/>
      <c r="J91" s="93"/>
      <c r="K91" s="93"/>
      <c r="L91" s="93"/>
      <c r="M91" s="93"/>
      <c r="N91" s="93"/>
      <c r="O91" s="93"/>
    </row>
    <row r="94" spans="2:15" ht="37.200000000000003" customHeight="1" thickBot="1" x14ac:dyDescent="0.35">
      <c r="B94" s="87" t="s">
        <v>2</v>
      </c>
      <c r="C94" s="86" t="s">
        <v>173</v>
      </c>
      <c r="D94" s="55"/>
      <c r="E94" s="55"/>
    </row>
    <row r="95" spans="2:15" ht="15" thickTop="1" x14ac:dyDescent="0.3">
      <c r="B95" s="11" t="s">
        <v>5</v>
      </c>
      <c r="C95" s="100">
        <f t="shared" ref="C95:C104" si="13">IF(COUNTIF($B$17:$B$32,B95)&gt;0,SUMIF($B$17:$B$32,B95,$L$17:$L$32),"")</f>
        <v>36200</v>
      </c>
      <c r="D95" s="98"/>
      <c r="E95" s="99"/>
    </row>
    <row r="96" spans="2:15" x14ac:dyDescent="0.3">
      <c r="B96" s="14" t="s">
        <v>6</v>
      </c>
      <c r="C96" s="100">
        <f t="shared" si="13"/>
        <v>19370</v>
      </c>
      <c r="D96" s="98"/>
      <c r="E96" s="99"/>
    </row>
    <row r="97" spans="2:15" x14ac:dyDescent="0.3">
      <c r="B97" s="14" t="s">
        <v>7</v>
      </c>
      <c r="C97" s="100">
        <f t="shared" si="13"/>
        <v>4255</v>
      </c>
      <c r="D97" s="98"/>
      <c r="E97" s="99"/>
    </row>
    <row r="98" spans="2:15" x14ac:dyDescent="0.3">
      <c r="B98" s="14" t="s">
        <v>8</v>
      </c>
      <c r="C98" s="100">
        <f t="shared" si="13"/>
        <v>6700</v>
      </c>
      <c r="D98" s="98"/>
      <c r="E98" s="99"/>
    </row>
    <row r="99" spans="2:15" x14ac:dyDescent="0.3">
      <c r="B99" s="14" t="s">
        <v>9</v>
      </c>
      <c r="C99" s="100" t="str">
        <f t="shared" si="13"/>
        <v/>
      </c>
      <c r="D99" s="98"/>
      <c r="E99" s="99"/>
    </row>
    <row r="100" spans="2:15" x14ac:dyDescent="0.3">
      <c r="B100" s="14" t="s">
        <v>10</v>
      </c>
      <c r="C100" s="100" t="str">
        <f t="shared" si="13"/>
        <v/>
      </c>
      <c r="D100" s="98"/>
      <c r="E100" s="99"/>
    </row>
    <row r="101" spans="2:15" x14ac:dyDescent="0.3">
      <c r="B101" s="14" t="s">
        <v>11</v>
      </c>
      <c r="C101" s="100" t="str">
        <f t="shared" si="13"/>
        <v/>
      </c>
      <c r="D101" s="98"/>
      <c r="E101" s="99"/>
    </row>
    <row r="102" spans="2:15" x14ac:dyDescent="0.3">
      <c r="B102" s="14" t="s">
        <v>12</v>
      </c>
      <c r="C102" s="100" t="str">
        <f t="shared" si="13"/>
        <v/>
      </c>
      <c r="D102" s="98"/>
      <c r="E102" s="99"/>
    </row>
    <row r="103" spans="2:15" x14ac:dyDescent="0.3">
      <c r="B103" s="14" t="s">
        <v>13</v>
      </c>
      <c r="C103" s="100" t="str">
        <f t="shared" si="13"/>
        <v/>
      </c>
      <c r="D103" s="98"/>
      <c r="E103" s="99"/>
    </row>
    <row r="104" spans="2:15" x14ac:dyDescent="0.3">
      <c r="B104" s="14" t="s">
        <v>14</v>
      </c>
      <c r="C104" s="100" t="str">
        <f t="shared" si="13"/>
        <v/>
      </c>
      <c r="D104" s="98"/>
      <c r="E104" s="99"/>
    </row>
    <row r="106" spans="2:15" ht="15" thickBot="1" x14ac:dyDescent="0.35"/>
    <row r="107" spans="2:15" ht="23.25" customHeight="1" thickBot="1" x14ac:dyDescent="0.35">
      <c r="B107" s="168" t="s">
        <v>83</v>
      </c>
      <c r="C107" s="169"/>
      <c r="D107" s="169"/>
      <c r="E107" s="169"/>
      <c r="F107" s="169"/>
      <c r="G107" s="169"/>
      <c r="H107" s="169"/>
      <c r="I107" s="92"/>
      <c r="J107" s="92"/>
      <c r="K107" s="92"/>
      <c r="L107" s="92"/>
      <c r="M107" s="92"/>
      <c r="N107" s="92"/>
      <c r="O107" s="92"/>
    </row>
    <row r="108" spans="2:15" ht="15" thickBot="1" x14ac:dyDescent="0.35"/>
    <row r="109" spans="2:15" ht="15" thickBot="1" x14ac:dyDescent="0.35">
      <c r="B109" s="167" t="s">
        <v>80</v>
      </c>
      <c r="C109" s="165"/>
      <c r="D109" s="165"/>
      <c r="E109" s="165"/>
      <c r="F109" s="165"/>
      <c r="G109" s="165"/>
      <c r="H109" s="166"/>
      <c r="I109" s="93"/>
      <c r="J109" s="93"/>
      <c r="K109" s="93"/>
      <c r="L109" s="93"/>
      <c r="M109" s="93"/>
      <c r="N109" s="93"/>
      <c r="O109" s="93"/>
    </row>
    <row r="112" spans="2:15" ht="16.2" thickBot="1" x14ac:dyDescent="0.35">
      <c r="B112" s="87" t="s">
        <v>2</v>
      </c>
      <c r="C112" s="86" t="s">
        <v>81</v>
      </c>
      <c r="D112" s="55"/>
      <c r="E112" s="55"/>
    </row>
    <row r="113" spans="2:5" ht="15" thickTop="1" x14ac:dyDescent="0.3">
      <c r="B113" s="11" t="s">
        <v>5</v>
      </c>
      <c r="C113" s="101">
        <v>250</v>
      </c>
      <c r="D113" s="98"/>
      <c r="E113" s="99"/>
    </row>
    <row r="114" spans="2:5" x14ac:dyDescent="0.3">
      <c r="B114" s="14" t="s">
        <v>6</v>
      </c>
      <c r="C114" s="101">
        <v>240</v>
      </c>
      <c r="D114" s="98"/>
      <c r="E114" s="99"/>
    </row>
    <row r="115" spans="2:5" x14ac:dyDescent="0.3">
      <c r="B115" s="14" t="s">
        <v>7</v>
      </c>
      <c r="C115" s="101">
        <v>255</v>
      </c>
      <c r="D115" s="98"/>
      <c r="E115" s="99"/>
    </row>
    <row r="116" spans="2:5" x14ac:dyDescent="0.3">
      <c r="B116" s="14" t="s">
        <v>8</v>
      </c>
      <c r="C116" s="101">
        <v>235</v>
      </c>
      <c r="D116" s="98"/>
      <c r="E116" s="99"/>
    </row>
    <row r="117" spans="2:5" x14ac:dyDescent="0.3">
      <c r="B117" s="14" t="s">
        <v>9</v>
      </c>
      <c r="C117" s="101">
        <v>230</v>
      </c>
      <c r="D117" s="98"/>
      <c r="E117" s="99"/>
    </row>
    <row r="118" spans="2:5" x14ac:dyDescent="0.3">
      <c r="B118" s="14" t="s">
        <v>10</v>
      </c>
      <c r="C118" s="101">
        <v>232</v>
      </c>
      <c r="D118" s="98"/>
      <c r="E118" s="99"/>
    </row>
    <row r="119" spans="2:5" x14ac:dyDescent="0.3">
      <c r="B119" s="14" t="s">
        <v>11</v>
      </c>
      <c r="C119" s="101">
        <v>200</v>
      </c>
      <c r="D119" s="98"/>
      <c r="E119" s="99"/>
    </row>
    <row r="120" spans="2:5" x14ac:dyDescent="0.3">
      <c r="B120" s="14" t="s">
        <v>12</v>
      </c>
      <c r="C120" s="101">
        <v>205</v>
      </c>
      <c r="D120" s="98"/>
      <c r="E120" s="99"/>
    </row>
    <row r="121" spans="2:5" x14ac:dyDescent="0.3">
      <c r="B121" s="14" t="s">
        <v>13</v>
      </c>
      <c r="C121" s="101"/>
      <c r="D121" s="98"/>
      <c r="E121" s="99"/>
    </row>
    <row r="122" spans="2:5" x14ac:dyDescent="0.3">
      <c r="B122" s="14" t="s">
        <v>14</v>
      </c>
      <c r="C122" s="101"/>
      <c r="D122" s="98"/>
      <c r="E122" s="99"/>
    </row>
  </sheetData>
  <mergeCells count="14">
    <mergeCell ref="B107:H107"/>
    <mergeCell ref="B109:H109"/>
    <mergeCell ref="B53:H53"/>
    <mergeCell ref="B55:H55"/>
    <mergeCell ref="B71:H71"/>
    <mergeCell ref="B73:H73"/>
    <mergeCell ref="B89:H89"/>
    <mergeCell ref="B91:H91"/>
    <mergeCell ref="B37:H37"/>
    <mergeCell ref="B2:H2"/>
    <mergeCell ref="B4:H4"/>
    <mergeCell ref="B12:H12"/>
    <mergeCell ref="B14:H14"/>
    <mergeCell ref="B35:H35"/>
  </mergeCells>
  <dataValidations count="1">
    <dataValidation type="list" allowBlank="1" showInputMessage="1" showErrorMessage="1" sqref="C17:C32" xr:uid="{DE97C666-7117-48F5-A2DB-875CDBA0EE93}">
      <formula1>$B$7:$B$10</formula1>
    </dataValidation>
  </dataValidations>
  <pageMargins left="0.7" right="0.7" top="0.75" bottom="0.75" header="0.3" footer="0.3"/>
  <pageSetup paperSize="5"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54844B6-E588-431C-9FB2-68943AB54F94}">
          <x14:formula1>
            <xm:f>'Reference Tables'!$E$64:$E$65</xm:f>
          </x14:formula1>
          <xm:sqref>C7:C8</xm:sqref>
        </x14:dataValidation>
        <x14:dataValidation type="list" allowBlank="1" showInputMessage="1" showErrorMessage="1" xr:uid="{444EEC59-D0B6-43AC-8C13-65CD1A82C3F5}">
          <x14:formula1>
            <xm:f>'Reference Tables'!$C$64:$C$73</xm:f>
          </x14:formula1>
          <xm:sqref>B17:B21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40DBD-52EA-453E-A413-22D3A5010324}">
  <dimension ref="B2:J115"/>
  <sheetViews>
    <sheetView tabSelected="1" zoomScale="90" zoomScaleNormal="90" workbookViewId="0">
      <selection activeCell="E26" sqref="E26"/>
    </sheetView>
  </sheetViews>
  <sheetFormatPr defaultColWidth="8.88671875" defaultRowHeight="14.4" x14ac:dyDescent="0.3"/>
  <cols>
    <col min="1" max="1" width="2.88671875" style="15" customWidth="1"/>
    <col min="2" max="2" width="79.5546875" style="15" hidden="1" customWidth="1"/>
    <col min="3" max="3" width="49.33203125" style="16" customWidth="1"/>
    <col min="4" max="4" width="21.6640625" style="16" customWidth="1"/>
    <col min="5" max="5" width="32.6640625" style="16" customWidth="1"/>
    <col min="6" max="6" width="18" style="16" customWidth="1"/>
    <col min="7" max="7" width="21.44140625" style="16" customWidth="1"/>
    <col min="8" max="8" width="19.77734375" style="15" customWidth="1"/>
    <col min="9" max="9" width="16.109375" style="15" customWidth="1"/>
    <col min="10" max="10" width="18.33203125" style="15" customWidth="1"/>
    <col min="11" max="16384" width="8.88671875" style="15"/>
  </cols>
  <sheetData>
    <row r="2" spans="3:10" ht="43.2" x14ac:dyDescent="0.3">
      <c r="C2" s="144" t="s">
        <v>64</v>
      </c>
      <c r="D2" s="145" t="s">
        <v>164</v>
      </c>
      <c r="E2" s="146" t="s">
        <v>163</v>
      </c>
      <c r="F2" s="145" t="s">
        <v>165</v>
      </c>
      <c r="G2" s="145" t="s">
        <v>166</v>
      </c>
      <c r="H2" s="145" t="s">
        <v>167</v>
      </c>
      <c r="I2" s="145" t="s">
        <v>168</v>
      </c>
      <c r="J2" s="145" t="s">
        <v>169</v>
      </c>
    </row>
    <row r="3" spans="3:10" x14ac:dyDescent="0.3">
      <c r="C3" s="23" t="s">
        <v>22</v>
      </c>
      <c r="D3" s="53">
        <v>240</v>
      </c>
      <c r="E3" s="29">
        <v>22.56</v>
      </c>
      <c r="F3" s="20">
        <v>83963</v>
      </c>
      <c r="G3" s="20">
        <f>(Table2[[#This Row],[Bottle Size (mL)]]/Table2[[#This Row],[Approx. mL used per hour (based on based on 0.5L fresh gas flow rate)]])*Table2[[#This Row],[Carbon Footprint per Hour (gCO2e / hr)]]</f>
        <v>893223.40425531915</v>
      </c>
      <c r="H3" s="147">
        <v>2540</v>
      </c>
      <c r="I3" s="147">
        <v>1.4651000000000001</v>
      </c>
      <c r="J3" s="148">
        <f>Table2[[#This Row],[Bottle Size (mL)]]*Table2[[#This Row],[Global Warming Potential (GWP 100)]]*Table2[[#This Row],[Density (g/ml) (8)]]</f>
        <v>893124.96000000008</v>
      </c>
    </row>
    <row r="4" spans="3:10" x14ac:dyDescent="0.3">
      <c r="C4" s="23" t="s">
        <v>23</v>
      </c>
      <c r="D4" s="52">
        <v>250</v>
      </c>
      <c r="E4" s="29">
        <v>6.19</v>
      </c>
      <c r="F4" s="20">
        <v>4645</v>
      </c>
      <c r="G4" s="20">
        <f>(Table2[[#This Row],[Bottle Size (mL)]]/Table2[[#This Row],[Approx. mL used per hour (based on based on 0.5L fresh gas flow rate)]])*Table2[[#This Row],[Carbon Footprint per Hour (gCO2e / hr)]]</f>
        <v>187600.96930533115</v>
      </c>
      <c r="H4" s="147">
        <v>510</v>
      </c>
      <c r="I4" s="147">
        <v>1.5019</v>
      </c>
      <c r="J4" s="148">
        <f>Table2[[#This Row],[Bottle Size (mL)]]*Table2[[#This Row],[Global Warming Potential (GWP 100)]]*Table2[[#This Row],[Density (g/ml) (8)]]</f>
        <v>191492.25</v>
      </c>
    </row>
    <row r="5" spans="3:10" x14ac:dyDescent="0.3">
      <c r="C5" s="30" t="s">
        <v>24</v>
      </c>
      <c r="D5" s="54">
        <v>250</v>
      </c>
      <c r="E5" s="32">
        <v>12.94</v>
      </c>
      <c r="F5" s="31">
        <v>2575</v>
      </c>
      <c r="G5" s="20">
        <f>(Table2[[#This Row],[Bottle Size (mL)]]/Table2[[#This Row],[Approx. mL used per hour (based on based on 0.5L fresh gas flow rate)]])*Table2[[#This Row],[Carbon Footprint per Hour (gCO2e / hr)]]</f>
        <v>49748.840803709434</v>
      </c>
      <c r="H5" s="147">
        <v>130</v>
      </c>
      <c r="I5" s="147">
        <v>1.5203</v>
      </c>
      <c r="J5" s="148">
        <f>Table2[[#This Row],[Bottle Size (mL)]]*Table2[[#This Row],[Global Warming Potential (GWP 100)]]*Table2[[#This Row],[Density (g/ml) (8)]]</f>
        <v>49409.75</v>
      </c>
    </row>
    <row r="6" spans="3:10" x14ac:dyDescent="0.3">
      <c r="C6" s="21"/>
      <c r="D6" s="21"/>
      <c r="E6" s="21"/>
      <c r="F6" s="21"/>
      <c r="G6" s="22"/>
    </row>
    <row r="7" spans="3:10" ht="31.8" x14ac:dyDescent="0.3">
      <c r="C7" s="25" t="s">
        <v>76</v>
      </c>
      <c r="D7" s="25" t="s">
        <v>79</v>
      </c>
      <c r="E7" s="25" t="s">
        <v>35</v>
      </c>
      <c r="F7" s="50"/>
      <c r="G7" s="22"/>
    </row>
    <row r="8" spans="3:10" ht="41.4" x14ac:dyDescent="0.3">
      <c r="C8" s="26" t="s">
        <v>28</v>
      </c>
      <c r="D8" s="57">
        <f>150+34+2.4+2.2</f>
        <v>188.6</v>
      </c>
      <c r="E8" s="37" t="s">
        <v>105</v>
      </c>
      <c r="F8" s="42"/>
      <c r="G8" s="22"/>
    </row>
    <row r="9" spans="3:10" ht="41.4" x14ac:dyDescent="0.3">
      <c r="C9" s="26" t="s">
        <v>29</v>
      </c>
      <c r="D9" s="58">
        <v>216</v>
      </c>
      <c r="E9" s="37" t="s">
        <v>106</v>
      </c>
      <c r="F9" s="42"/>
      <c r="G9" s="22"/>
    </row>
    <row r="10" spans="3:10" x14ac:dyDescent="0.3">
      <c r="C10" s="27" t="s">
        <v>75</v>
      </c>
      <c r="D10" s="58">
        <f>150+32+44.9</f>
        <v>226.9</v>
      </c>
      <c r="E10" s="36" t="s">
        <v>107</v>
      </c>
      <c r="F10" s="42"/>
      <c r="G10" s="22"/>
    </row>
    <row r="11" spans="3:10" x14ac:dyDescent="0.3">
      <c r="C11" s="27" t="s">
        <v>32</v>
      </c>
      <c r="D11" s="58">
        <v>750</v>
      </c>
      <c r="E11" s="36" t="s">
        <v>108</v>
      </c>
      <c r="F11" s="42"/>
      <c r="G11" s="22"/>
    </row>
    <row r="12" spans="3:10" x14ac:dyDescent="0.3">
      <c r="C12" s="27" t="s">
        <v>31</v>
      </c>
      <c r="D12" s="58">
        <v>800</v>
      </c>
      <c r="E12" s="36" t="s">
        <v>109</v>
      </c>
      <c r="F12" s="42"/>
      <c r="G12" s="22"/>
    </row>
    <row r="13" spans="3:10" ht="124.2" x14ac:dyDescent="0.3">
      <c r="C13" s="27" t="s">
        <v>78</v>
      </c>
      <c r="D13" s="58">
        <f>150+32+40.9+29.2+80.5+64+60.5+25+11.5+17.4+25.2+35.3+67.8+32.1+56.7+80.8+27.9</f>
        <v>836.8</v>
      </c>
      <c r="E13" s="36" t="s">
        <v>110</v>
      </c>
      <c r="F13" s="15"/>
      <c r="G13" s="22"/>
    </row>
    <row r="14" spans="3:10" x14ac:dyDescent="0.3">
      <c r="C14" s="27" t="s">
        <v>33</v>
      </c>
      <c r="D14" s="58">
        <v>2500</v>
      </c>
      <c r="E14" s="36" t="s">
        <v>111</v>
      </c>
      <c r="F14" s="42"/>
      <c r="G14" s="15"/>
    </row>
    <row r="15" spans="3:10" x14ac:dyDescent="0.3">
      <c r="C15" s="26" t="s">
        <v>30</v>
      </c>
      <c r="D15" s="58">
        <v>6800</v>
      </c>
      <c r="E15" s="36" t="s">
        <v>109</v>
      </c>
      <c r="F15" s="42"/>
      <c r="G15" s="15"/>
    </row>
    <row r="16" spans="3:10" x14ac:dyDescent="0.3">
      <c r="C16" s="27" t="s">
        <v>124</v>
      </c>
      <c r="D16" s="58">
        <v>9200</v>
      </c>
      <c r="E16" s="36" t="s">
        <v>125</v>
      </c>
      <c r="F16" s="42"/>
      <c r="G16" s="22"/>
    </row>
    <row r="17" spans="2:7" x14ac:dyDescent="0.3">
      <c r="C17" s="28" t="s">
        <v>34</v>
      </c>
      <c r="D17" s="59">
        <v>25000</v>
      </c>
      <c r="E17" s="38" t="s">
        <v>112</v>
      </c>
      <c r="F17" s="42"/>
      <c r="G17" s="22"/>
    </row>
    <row r="18" spans="2:7" x14ac:dyDescent="0.3">
      <c r="C18" s="21"/>
      <c r="D18" s="21"/>
      <c r="E18" s="21"/>
      <c r="F18" s="21"/>
      <c r="G18" s="22"/>
    </row>
    <row r="19" spans="2:7" x14ac:dyDescent="0.3">
      <c r="C19" s="21"/>
      <c r="D19" s="21"/>
      <c r="E19" s="21"/>
      <c r="F19" s="21"/>
      <c r="G19" s="22"/>
    </row>
    <row r="20" spans="2:7" ht="62.4" x14ac:dyDescent="0.3">
      <c r="B20" s="46" t="s">
        <v>51</v>
      </c>
      <c r="C20" s="25" t="s">
        <v>47</v>
      </c>
      <c r="D20" s="33" t="s">
        <v>44</v>
      </c>
      <c r="E20" s="25" t="s">
        <v>118</v>
      </c>
      <c r="F20" s="25" t="s">
        <v>119</v>
      </c>
    </row>
    <row r="21" spans="2:7" x14ac:dyDescent="0.3">
      <c r="B21" s="47" t="str">
        <f>CONCATENATE(C21, " ", Procedures[[#This Row],[Type of Anesthesia]])</f>
        <v>Breast Surgery General Anesthesia</v>
      </c>
      <c r="C21" s="26" t="s">
        <v>48</v>
      </c>
      <c r="D21" s="41" t="s">
        <v>46</v>
      </c>
      <c r="E21" s="118">
        <v>2</v>
      </c>
      <c r="F21" s="45">
        <f>IF(Procedures[[#This Row],[Type of Anesthesia]]="general anesthesia",Procedures[[#This Row],[Average Length of Anesthetic (hr)]]*$F$5,0)</f>
        <v>5150</v>
      </c>
    </row>
    <row r="22" spans="2:7" x14ac:dyDescent="0.3">
      <c r="B22" s="47" t="str">
        <f>CONCATENATE(C22, " ", Procedures[[#This Row],[Type of Anesthesia]])</f>
        <v>Breast Surgery Regional Anesthesia</v>
      </c>
      <c r="C22" s="26" t="s">
        <v>48</v>
      </c>
      <c r="D22" s="41" t="s">
        <v>45</v>
      </c>
      <c r="E22" s="118">
        <v>2</v>
      </c>
      <c r="F22" s="45">
        <f>IF(Procedures[[#This Row],[Type of Anesthesia]]="general anesthesia",Procedures[[#This Row],[Average Length of Anesthetic (hr)]]*$F$5,0)</f>
        <v>0</v>
      </c>
    </row>
    <row r="23" spans="2:7" ht="13.95" customHeight="1" x14ac:dyDescent="0.3">
      <c r="B23" s="44" t="str">
        <f>CONCATENATE(C23, " ", Procedures[[#This Row],[Type of Anesthesia]])</f>
        <v>Inguinal hernia repair General Anesthesia</v>
      </c>
      <c r="C23" s="102" t="s">
        <v>151</v>
      </c>
      <c r="D23" s="41" t="s">
        <v>46</v>
      </c>
      <c r="E23" s="118">
        <v>0.5</v>
      </c>
      <c r="F23" s="45">
        <f>IF(Procedures[[#This Row],[Type of Anesthesia]]="general anesthesia",Procedures[[#This Row],[Average Length of Anesthetic (hr)]]*$F$5,0)</f>
        <v>1287.5</v>
      </c>
    </row>
    <row r="24" spans="2:7" x14ac:dyDescent="0.3">
      <c r="B24" s="44" t="str">
        <f>CONCATENATE(C24, " ", Procedures[[#This Row],[Type of Anesthesia]])</f>
        <v>Inguinal hernia repair Spinal Anesthesia</v>
      </c>
      <c r="C24" s="102" t="s">
        <v>151</v>
      </c>
      <c r="D24" s="41" t="s">
        <v>146</v>
      </c>
      <c r="E24" s="118">
        <v>0.5</v>
      </c>
      <c r="F24" s="45">
        <f>IF(Procedures[[#This Row],[Type of Anesthesia]]="general anesthesia",Procedures[[#This Row],[Average Length of Anesthetic (hr)]]*$F$5,0)</f>
        <v>0</v>
      </c>
    </row>
    <row r="25" spans="2:7" x14ac:dyDescent="0.3">
      <c r="B25" s="44" t="str">
        <f>CONCATENATE(C25, " ", Procedures[[#This Row],[Type of Anesthesia]])</f>
        <v>Orthopedics - Humerus ORIF General Anesthesia</v>
      </c>
      <c r="C25" s="102" t="s">
        <v>140</v>
      </c>
      <c r="D25" s="41" t="s">
        <v>46</v>
      </c>
      <c r="E25" s="118">
        <v>1.5</v>
      </c>
      <c r="F25" s="45">
        <f>IF(Procedures[[#This Row],[Type of Anesthesia]]="general anesthesia",Procedures[[#This Row],[Average Length of Anesthetic (hr)]]*$F$5,0)</f>
        <v>3862.5</v>
      </c>
    </row>
    <row r="26" spans="2:7" x14ac:dyDescent="0.3">
      <c r="B26" s="44" t="str">
        <f>CONCATENATE(C26, " ", Procedures[[#This Row],[Type of Anesthesia]])</f>
        <v>Orthopedics - Humerus ORIF Regional Anesthesia</v>
      </c>
      <c r="C26" s="102" t="s">
        <v>140</v>
      </c>
      <c r="D26" s="41" t="s">
        <v>45</v>
      </c>
      <c r="E26" s="118">
        <v>1.5</v>
      </c>
      <c r="F26" s="45">
        <f>IF(Procedures[[#This Row],[Type of Anesthesia]]="general anesthesia",Procedures[[#This Row],[Average Length of Anesthetic (hr)]]*$F$5,0)</f>
        <v>0</v>
      </c>
    </row>
    <row r="27" spans="2:7" x14ac:dyDescent="0.3">
      <c r="B27" s="44" t="str">
        <f>CONCATENATE(C27, " ", Procedures[[#This Row],[Type of Anesthesia]])</f>
        <v>Orthopedics - lower extremity ORIF General Anesthesia</v>
      </c>
      <c r="C27" s="102" t="s">
        <v>153</v>
      </c>
      <c r="D27" s="41" t="s">
        <v>46</v>
      </c>
      <c r="E27" s="118">
        <v>1.5</v>
      </c>
      <c r="F27" s="45">
        <f>IF(Procedures[[#This Row],[Type of Anesthesia]]="general anesthesia",Procedures[[#This Row],[Average Length of Anesthetic (hr)]]*$F$5,0)</f>
        <v>3862.5</v>
      </c>
    </row>
    <row r="28" spans="2:7" x14ac:dyDescent="0.3">
      <c r="B28" s="44" t="str">
        <f>CONCATENATE(C28, " ", Procedures[[#This Row],[Type of Anesthesia]])</f>
        <v>Orthopedics - lower extremity ORIF Spinal Anesthesia</v>
      </c>
      <c r="C28" s="102" t="s">
        <v>153</v>
      </c>
      <c r="D28" s="41" t="s">
        <v>146</v>
      </c>
      <c r="E28" s="118">
        <v>1.5</v>
      </c>
      <c r="F28" s="45">
        <f>IF(Procedures[[#This Row],[Type of Anesthesia]]="general anesthesia",Procedures[[#This Row],[Average Length of Anesthetic (hr)]]*$F$5,0)</f>
        <v>0</v>
      </c>
    </row>
    <row r="29" spans="2:7" x14ac:dyDescent="0.3">
      <c r="B29" s="132" t="str">
        <f>CONCATENATE(C29, " ", Procedures[[#This Row],[Type of Anesthesia]])</f>
        <v>Orthopedics - Radius/ulna ORIF General Anesthesia</v>
      </c>
      <c r="C29" s="102" t="s">
        <v>141</v>
      </c>
      <c r="D29" s="130" t="s">
        <v>46</v>
      </c>
      <c r="E29" s="118">
        <v>1</v>
      </c>
      <c r="F29" s="131">
        <f>IF(Procedures[[#This Row],[Type of Anesthesia]]="general anesthesia",Procedures[[#This Row],[Average Length of Anesthetic (hr)]]*$F$5,0)</f>
        <v>2575</v>
      </c>
    </row>
    <row r="30" spans="2:7" x14ac:dyDescent="0.3">
      <c r="B30" s="132" t="str">
        <f>CONCATENATE(C30, " ", Procedures[[#This Row],[Type of Anesthesia]])</f>
        <v>Orthopedics - Radius/ulna ORIF Regional Anesthesia</v>
      </c>
      <c r="C30" s="102" t="s">
        <v>141</v>
      </c>
      <c r="D30" s="130" t="s">
        <v>45</v>
      </c>
      <c r="E30" s="118">
        <v>1</v>
      </c>
      <c r="F30" s="131">
        <f>IF(Procedures[[#This Row],[Type of Anesthesia]]="general anesthesia",Procedures[[#This Row],[Average Length of Anesthetic (hr)]]*$F$5,0)</f>
        <v>0</v>
      </c>
    </row>
    <row r="31" spans="2:7" x14ac:dyDescent="0.3">
      <c r="B31" s="102" t="str">
        <f>CONCATENATE(C31, " ", Procedures[[#This Row],[Type of Anesthesia]])</f>
        <v>Orthopedics - Total hip/knee replacement General Anesthesia</v>
      </c>
      <c r="C31" s="102" t="s">
        <v>144</v>
      </c>
      <c r="D31" s="130" t="s">
        <v>46</v>
      </c>
      <c r="E31" s="118">
        <v>2</v>
      </c>
      <c r="F31" s="131">
        <f>IF(Procedures[[#This Row],[Type of Anesthesia]]="general anesthesia",Procedures[[#This Row],[Average Length of Anesthetic (hr)]]*$F$5,0)</f>
        <v>5150</v>
      </c>
    </row>
    <row r="32" spans="2:7" x14ac:dyDescent="0.3">
      <c r="B32" s="102" t="str">
        <f>CONCATENATE(C32, " ", Procedures[[#This Row],[Type of Anesthesia]])</f>
        <v>Orthopedics - Total hip/knee replacement Spinal Anesthesia</v>
      </c>
      <c r="C32" s="102" t="s">
        <v>144</v>
      </c>
      <c r="D32" s="130" t="s">
        <v>146</v>
      </c>
      <c r="E32" s="118">
        <v>2</v>
      </c>
      <c r="F32" s="131">
        <f>IF(Procedures[[#This Row],[Type of Anesthesia]]="general anesthesia",Procedures[[#This Row],[Average Length of Anesthetic (hr)]]*$F$5,0)</f>
        <v>0</v>
      </c>
    </row>
    <row r="33" spans="2:6" x14ac:dyDescent="0.3">
      <c r="B33" s="47" t="str">
        <f>CONCATENATE(C33, " ", Procedures[[#This Row],[Type of Anesthesia]])</f>
        <v>Other General Anesthesia</v>
      </c>
      <c r="C33" s="102" t="s">
        <v>120</v>
      </c>
      <c r="D33" s="41" t="s">
        <v>46</v>
      </c>
      <c r="E33" s="118"/>
      <c r="F33" s="45">
        <f>IF(Procedures[[#This Row],[Type of Anesthesia]]="general anesthesia",Procedures[[#This Row],[Average Length of Anesthetic (hr)]]*$F$5,0)</f>
        <v>0</v>
      </c>
    </row>
    <row r="34" spans="2:6" x14ac:dyDescent="0.3">
      <c r="B34" s="47" t="str">
        <f>CONCATENATE(C34, " ", Procedures[[#This Row],[Type of Anesthesia]])</f>
        <v>Other Regional Anesthesia</v>
      </c>
      <c r="C34" s="102" t="s">
        <v>120</v>
      </c>
      <c r="D34" s="41" t="s">
        <v>45</v>
      </c>
      <c r="E34" s="118"/>
      <c r="F34" s="45">
        <f>IF(Procedures[[#This Row],[Type of Anesthesia]]="general anesthesia",Procedures[[#This Row],[Average Length of Anesthetic (hr)]]*$F$5,0)</f>
        <v>0</v>
      </c>
    </row>
    <row r="35" spans="2:6" x14ac:dyDescent="0.3">
      <c r="B35" s="102" t="str">
        <f>CONCATENATE(C35, " ", Procedures[[#This Row],[Type of Anesthesia]])</f>
        <v>Other Spinal Anesthesia</v>
      </c>
      <c r="C35" s="102" t="s">
        <v>120</v>
      </c>
      <c r="D35" s="130" t="s">
        <v>146</v>
      </c>
      <c r="E35" s="118"/>
      <c r="F35" s="131">
        <f>IF(Procedures[[#This Row],[Type of Anesthesia]]="general anesthesia",Procedures[[#This Row],[Average Length of Anesthetic (hr)]]*$F$5,0)</f>
        <v>0</v>
      </c>
    </row>
    <row r="36" spans="2:6" x14ac:dyDescent="0.3">
      <c r="B36" s="102" t="str">
        <f>CONCATENATE(C36, " ", Procedures[[#This Row],[Type of Anesthesia]])</f>
        <v>Perianal abscess I+D General Anesthesia</v>
      </c>
      <c r="C36" s="102" t="s">
        <v>152</v>
      </c>
      <c r="D36" s="41" t="s">
        <v>46</v>
      </c>
      <c r="E36" s="118">
        <v>0.75</v>
      </c>
      <c r="F36" s="131">
        <f>IF(Procedures[[#This Row],[Type of Anesthesia]]="general anesthesia",Procedures[[#This Row],[Average Length of Anesthetic (hr)]]*$F$5,0)</f>
        <v>1931.25</v>
      </c>
    </row>
    <row r="37" spans="2:6" x14ac:dyDescent="0.3">
      <c r="B37" s="102" t="str">
        <f>CONCATENATE(C37, " ", Procedures[[#This Row],[Type of Anesthesia]])</f>
        <v>Perianal abscess I+D Spinal Anesthesia</v>
      </c>
      <c r="C37" s="102" t="s">
        <v>152</v>
      </c>
      <c r="D37" s="130" t="s">
        <v>146</v>
      </c>
      <c r="E37" s="118">
        <v>0.75</v>
      </c>
      <c r="F37" s="131">
        <f>IF(Procedures[[#This Row],[Type of Anesthesia]]="general anesthesia",Procedures[[#This Row],[Average Length of Anesthetic (hr)]]*$F$5,0)</f>
        <v>0</v>
      </c>
    </row>
    <row r="38" spans="2:6" x14ac:dyDescent="0.3">
      <c r="B38" s="132" t="str">
        <f>CONCATENATE(C38, " ", Procedures[[#This Row],[Type of Anesthesia]])</f>
        <v>Plastic Surgery - Extremity (ligament, nerve, tendon, ORIF) General Anesthesia</v>
      </c>
      <c r="C38" s="102" t="s">
        <v>150</v>
      </c>
      <c r="D38" s="41" t="s">
        <v>46</v>
      </c>
      <c r="E38" s="118">
        <v>2</v>
      </c>
      <c r="F38" s="131">
        <f>IF(Procedures[[#This Row],[Type of Anesthesia]]="general anesthesia",Procedures[[#This Row],[Average Length of Anesthetic (hr)]]*$F$5,0)</f>
        <v>5150</v>
      </c>
    </row>
    <row r="39" spans="2:6" x14ac:dyDescent="0.3">
      <c r="B39" s="132" t="str">
        <f>CONCATENATE(C39, " ", Procedures[[#This Row],[Type of Anesthesia]])</f>
        <v>Plastic Surgery - Extremity (ligament, nerve, tendon, ORIF) Regional Anesthesia</v>
      </c>
      <c r="C39" s="102" t="s">
        <v>150</v>
      </c>
      <c r="D39" s="130" t="s">
        <v>45</v>
      </c>
      <c r="E39" s="118">
        <v>2</v>
      </c>
      <c r="F39" s="131">
        <f>IF(Procedures[[#This Row],[Type of Anesthesia]]="general anesthesia",Procedures[[#This Row],[Average Length of Anesthetic (hr)]]*$F$5,0)</f>
        <v>0</v>
      </c>
    </row>
    <row r="40" spans="2:6" ht="27.6" x14ac:dyDescent="0.3">
      <c r="B40" s="102" t="str">
        <f>CONCATENATE(C40, " ", Procedures[[#This Row],[Type of Anesthesia]])</f>
        <v>Urology - TURBT (Trans urethral resection of bladder tumour) General Anesthesia</v>
      </c>
      <c r="C40" s="102" t="s">
        <v>147</v>
      </c>
      <c r="D40" s="41" t="s">
        <v>46</v>
      </c>
      <c r="E40" s="118">
        <v>0.5</v>
      </c>
      <c r="F40" s="131">
        <f>IF(Procedures[[#This Row],[Type of Anesthesia]]="general anesthesia",Procedures[[#This Row],[Average Length of Anesthetic (hr)]]*$F$5,0)</f>
        <v>1287.5</v>
      </c>
    </row>
    <row r="41" spans="2:6" ht="27.6" x14ac:dyDescent="0.3">
      <c r="B41" s="102" t="str">
        <f>CONCATENATE(C41, " ", Procedures[[#This Row],[Type of Anesthesia]])</f>
        <v>Urology - TURBT (Trans urethral resection of bladder tumour) Spinal Anesthesia</v>
      </c>
      <c r="C41" s="102" t="s">
        <v>147</v>
      </c>
      <c r="D41" s="130" t="s">
        <v>146</v>
      </c>
      <c r="E41" s="118">
        <v>0.5</v>
      </c>
      <c r="F41" s="131">
        <f>IF(Procedures[[#This Row],[Type of Anesthesia]]="general anesthesia",Procedures[[#This Row],[Average Length of Anesthetic (hr)]]*$F$5,0)</f>
        <v>0</v>
      </c>
    </row>
    <row r="42" spans="2:6" x14ac:dyDescent="0.3">
      <c r="B42" s="132" t="str">
        <f>CONCATENATE(C42, " ", Procedures[[#This Row],[Type of Anesthesia]])</f>
        <v>Urology - TURP (Trans urethral resection of the prostate) General Anesthesia</v>
      </c>
      <c r="C42" s="102" t="s">
        <v>148</v>
      </c>
      <c r="D42" s="130" t="s">
        <v>46</v>
      </c>
      <c r="E42" s="118">
        <v>0.75</v>
      </c>
      <c r="F42" s="131">
        <f>IF(Procedures[[#This Row],[Type of Anesthesia]]="general anesthesia",Procedures[[#This Row],[Average Length of Anesthetic (hr)]]*$F$5,0)</f>
        <v>1931.25</v>
      </c>
    </row>
    <row r="43" spans="2:6" x14ac:dyDescent="0.3">
      <c r="B43" s="132" t="str">
        <f>CONCATENATE(C43, " ", Procedures[[#This Row],[Type of Anesthesia]])</f>
        <v>Urology - TURP (Trans urethral resection of the prostate) Spinal Anesthesia</v>
      </c>
      <c r="C43" s="102" t="s">
        <v>148</v>
      </c>
      <c r="D43" s="130" t="s">
        <v>146</v>
      </c>
      <c r="E43" s="118">
        <v>0.75</v>
      </c>
      <c r="F43" s="131">
        <f>IF(Procedures[[#This Row],[Type of Anesthesia]]="general anesthesia",Procedures[[#This Row],[Average Length of Anesthetic (hr)]]*$F$5,0)</f>
        <v>0</v>
      </c>
    </row>
    <row r="44" spans="2:6" ht="13.2" customHeight="1" x14ac:dyDescent="0.3">
      <c r="B44" s="102" t="str">
        <f>CONCATENATE(C44, " ", Procedures[[#This Row],[Type of Anesthesia]])</f>
        <v>Vascular - Amputations (above knee) General Anesthesia</v>
      </c>
      <c r="C44" s="102" t="s">
        <v>149</v>
      </c>
      <c r="D44" s="41" t="s">
        <v>46</v>
      </c>
      <c r="E44" s="118">
        <v>1</v>
      </c>
      <c r="F44" s="131">
        <f>IF(Procedures[[#This Row],[Type of Anesthesia]]="general anesthesia",Procedures[[#This Row],[Average Length of Anesthetic (hr)]]*$F$5,0)</f>
        <v>2575</v>
      </c>
    </row>
    <row r="45" spans="2:6" ht="16.95" customHeight="1" x14ac:dyDescent="0.3">
      <c r="B45" s="102" t="str">
        <f>CONCATENATE(C45, " ", Procedures[[#This Row],[Type of Anesthesia]])</f>
        <v>Vascular - Amputations (above knee) Spinal Anesthesia</v>
      </c>
      <c r="C45" s="102" t="s">
        <v>149</v>
      </c>
      <c r="D45" s="41" t="s">
        <v>146</v>
      </c>
      <c r="E45" s="118">
        <v>1</v>
      </c>
      <c r="F45" s="131">
        <f>IF(Procedures[[#This Row],[Type of Anesthesia]]="general anesthesia",Procedures[[#This Row],[Average Length of Anesthetic (hr)]]*$F$5,0)</f>
        <v>0</v>
      </c>
    </row>
    <row r="46" spans="2:6" ht="13.95" customHeight="1" x14ac:dyDescent="0.3">
      <c r="B46" s="132" t="str">
        <f>CONCATENATE(C46, " ", Procedures[[#This Row],[Type of Anesthesia]])</f>
        <v>Vascular - Amputations (toe, foot, below knee) General Anesthesia</v>
      </c>
      <c r="C46" s="102" t="s">
        <v>142</v>
      </c>
      <c r="D46" s="41" t="s">
        <v>46</v>
      </c>
      <c r="E46" s="118">
        <v>1</v>
      </c>
      <c r="F46" s="131">
        <f>IF(Procedures[[#This Row],[Type of Anesthesia]]="general anesthesia",Procedures[[#This Row],[Average Length of Anesthetic (hr)]]*$F$5,0)</f>
        <v>2575</v>
      </c>
    </row>
    <row r="47" spans="2:6" ht="18.600000000000001" customHeight="1" x14ac:dyDescent="0.3">
      <c r="B47" s="132" t="str">
        <f>CONCATENATE(C47, " ", Procedures[[#This Row],[Type of Anesthesia]])</f>
        <v>Vascular - Amputations (toe, foot, below knee) Regional Anesthesia</v>
      </c>
      <c r="C47" s="102" t="s">
        <v>142</v>
      </c>
      <c r="D47" s="41" t="s">
        <v>45</v>
      </c>
      <c r="E47" s="118">
        <v>1</v>
      </c>
      <c r="F47" s="131">
        <f>IF(Procedures[[#This Row],[Type of Anesthesia]]="general anesthesia",Procedures[[#This Row],[Average Length of Anesthetic (hr)]]*$F$5,0)</f>
        <v>0</v>
      </c>
    </row>
    <row r="48" spans="2:6" x14ac:dyDescent="0.3">
      <c r="B48" s="102" t="str">
        <f>CONCATENATE(C48, " ", Procedures[[#This Row],[Type of Anesthesia]])</f>
        <v>Vascular - Amputations (toe, foot, below knee) Spinal Anesthesia</v>
      </c>
      <c r="C48" s="102" t="s">
        <v>142</v>
      </c>
      <c r="D48" s="130" t="s">
        <v>146</v>
      </c>
      <c r="E48" s="118">
        <v>1</v>
      </c>
      <c r="F48" s="131">
        <f>IF(Procedures[[#This Row],[Type of Anesthesia]]="general anesthesia",Procedures[[#This Row],[Average Length of Anesthetic (hr)]]*$F$5,0)</f>
        <v>0</v>
      </c>
    </row>
    <row r="49" spans="2:7" x14ac:dyDescent="0.3">
      <c r="B49" s="102" t="str">
        <f>CONCATENATE(C49, " ", Procedures[[#This Row],[Type of Anesthesia]])</f>
        <v>Vascular - AV Fistula General Anesthesia</v>
      </c>
      <c r="C49" s="102" t="s">
        <v>143</v>
      </c>
      <c r="D49" s="41" t="s">
        <v>46</v>
      </c>
      <c r="E49" s="118">
        <v>1.5</v>
      </c>
      <c r="F49" s="131">
        <f>IF(Procedures[[#This Row],[Type of Anesthesia]]="general anesthesia",Procedures[[#This Row],[Average Length of Anesthetic (hr)]]*$F$5,0)</f>
        <v>3862.5</v>
      </c>
    </row>
    <row r="50" spans="2:7" x14ac:dyDescent="0.3">
      <c r="B50" s="44" t="str">
        <f>CONCATENATE(C50, " ", Procedures[[#This Row],[Type of Anesthesia]])</f>
        <v>Vascular - AV Fistula Regional Anesthesia</v>
      </c>
      <c r="C50" s="103" t="s">
        <v>143</v>
      </c>
      <c r="D50" s="130" t="s">
        <v>45</v>
      </c>
      <c r="E50" s="133">
        <v>1.5</v>
      </c>
      <c r="F50" s="45">
        <f>IF(Procedures[[#This Row],[Type of Anesthesia]]="general anesthesia",Procedures[[#This Row],[Average Length of Anesthetic (hr)]]*$F$5,0)</f>
        <v>0</v>
      </c>
    </row>
    <row r="51" spans="2:7" x14ac:dyDescent="0.3">
      <c r="B51" s="102" t="str">
        <f>CONCATENATE(C51, " ", Procedures[[#This Row],[Type of Anesthesia]])</f>
        <v>Vascular - Varicose vein strip General Anesthesia</v>
      </c>
      <c r="C51" s="102" t="s">
        <v>145</v>
      </c>
      <c r="D51" s="41" t="s">
        <v>46</v>
      </c>
      <c r="E51" s="118">
        <v>1.25</v>
      </c>
      <c r="F51" s="131">
        <f>IF(Procedures[[#This Row],[Type of Anesthesia]]="general anesthesia",Procedures[[#This Row],[Average Length of Anesthetic (hr)]]*$F$5,0)</f>
        <v>3218.75</v>
      </c>
    </row>
    <row r="52" spans="2:7" x14ac:dyDescent="0.3">
      <c r="B52" s="44" t="str">
        <f>CONCATENATE(C52, " ", Procedures[[#This Row],[Type of Anesthesia]])</f>
        <v>Vascular - Varicose vein strip Spinal Anesthesia</v>
      </c>
      <c r="C52" s="102" t="s">
        <v>145</v>
      </c>
      <c r="D52" s="130" t="s">
        <v>146</v>
      </c>
      <c r="E52" s="133">
        <v>1.25</v>
      </c>
      <c r="F52" s="51">
        <f>IF(Procedures[[#This Row],[Type of Anesthesia]]="general anesthesia",Procedures[[#This Row],[Average Length of Anesthetic (hr)]]*$F$5,0)</f>
        <v>0</v>
      </c>
      <c r="G52" s="22"/>
    </row>
    <row r="53" spans="2:7" x14ac:dyDescent="0.3">
      <c r="C53" s="43"/>
      <c r="D53" s="44"/>
      <c r="E53" s="42"/>
      <c r="F53" s="42"/>
      <c r="G53" s="22"/>
    </row>
    <row r="54" spans="2:7" ht="31.8" x14ac:dyDescent="0.3">
      <c r="C54" s="24" t="s">
        <v>104</v>
      </c>
      <c r="D54" s="33" t="s">
        <v>89</v>
      </c>
      <c r="E54" s="111" t="s">
        <v>35</v>
      </c>
      <c r="F54" s="50"/>
      <c r="G54" s="50"/>
    </row>
    <row r="55" spans="2:7" ht="41.4" x14ac:dyDescent="0.3">
      <c r="C55" s="23" t="s">
        <v>90</v>
      </c>
      <c r="D55" s="109">
        <v>55400</v>
      </c>
      <c r="E55" s="37" t="s">
        <v>98</v>
      </c>
      <c r="F55" s="51"/>
      <c r="G55" s="51"/>
    </row>
    <row r="56" spans="2:7" ht="41.4" x14ac:dyDescent="0.3">
      <c r="C56" s="23" t="s">
        <v>91</v>
      </c>
      <c r="D56" s="109">
        <v>120800</v>
      </c>
      <c r="E56" s="37" t="s">
        <v>99</v>
      </c>
      <c r="F56" s="51"/>
      <c r="G56" s="51"/>
    </row>
    <row r="57" spans="2:7" x14ac:dyDescent="0.3">
      <c r="C57" s="30" t="s">
        <v>93</v>
      </c>
      <c r="D57" s="108">
        <v>76000</v>
      </c>
      <c r="E57" s="114" t="s">
        <v>100</v>
      </c>
      <c r="F57" s="51"/>
      <c r="G57" s="51"/>
    </row>
    <row r="58" spans="2:7" x14ac:dyDescent="0.3">
      <c r="C58" s="30" t="s">
        <v>95</v>
      </c>
      <c r="D58" s="108">
        <v>66000</v>
      </c>
      <c r="E58" s="114" t="s">
        <v>100</v>
      </c>
      <c r="F58" s="51"/>
      <c r="G58" s="51"/>
    </row>
    <row r="59" spans="2:7" x14ac:dyDescent="0.3">
      <c r="C59" s="23" t="s">
        <v>96</v>
      </c>
      <c r="D59" s="107">
        <v>75000</v>
      </c>
      <c r="E59" s="115" t="s">
        <v>100</v>
      </c>
      <c r="F59" s="51"/>
      <c r="G59" s="51"/>
    </row>
    <row r="60" spans="2:7" x14ac:dyDescent="0.3">
      <c r="C60" s="30" t="s">
        <v>101</v>
      </c>
      <c r="D60" s="108">
        <v>138000</v>
      </c>
      <c r="E60" s="115" t="s">
        <v>102</v>
      </c>
      <c r="F60" s="51"/>
      <c r="G60" s="51"/>
    </row>
    <row r="61" spans="2:7" x14ac:dyDescent="0.3">
      <c r="C61" s="30"/>
      <c r="D61" s="108"/>
      <c r="E61" s="110"/>
      <c r="F61" s="51"/>
      <c r="G61" s="51"/>
    </row>
    <row r="62" spans="2:7" x14ac:dyDescent="0.3">
      <c r="C62" s="43"/>
      <c r="D62" s="44"/>
      <c r="E62" s="42"/>
      <c r="F62" s="42"/>
      <c r="G62" s="22"/>
    </row>
    <row r="63" spans="2:7" ht="15.6" x14ac:dyDescent="0.3">
      <c r="C63" s="10" t="s">
        <v>2</v>
      </c>
      <c r="D63" s="44"/>
      <c r="E63" s="84" t="s">
        <v>72</v>
      </c>
      <c r="F63" s="42"/>
      <c r="G63" s="22"/>
    </row>
    <row r="64" spans="2:7" x14ac:dyDescent="0.3">
      <c r="C64" s="17" t="s">
        <v>5</v>
      </c>
      <c r="D64" s="44"/>
      <c r="E64" s="17" t="s">
        <v>71</v>
      </c>
      <c r="F64" s="42"/>
      <c r="G64" s="22"/>
    </row>
    <row r="65" spans="3:7" x14ac:dyDescent="0.3">
      <c r="C65" s="17" t="s">
        <v>6</v>
      </c>
      <c r="D65" s="44"/>
      <c r="E65" s="60" t="s">
        <v>73</v>
      </c>
      <c r="F65" s="42"/>
      <c r="G65" s="22"/>
    </row>
    <row r="66" spans="3:7" x14ac:dyDescent="0.3">
      <c r="C66" s="17" t="s">
        <v>7</v>
      </c>
      <c r="D66" s="21"/>
      <c r="E66" s="21"/>
      <c r="F66" s="21"/>
      <c r="G66" s="22"/>
    </row>
    <row r="67" spans="3:7" x14ac:dyDescent="0.3">
      <c r="C67" s="17" t="s">
        <v>8</v>
      </c>
      <c r="D67" s="21"/>
      <c r="E67" s="21"/>
      <c r="F67" s="21"/>
      <c r="G67" s="22"/>
    </row>
    <row r="68" spans="3:7" x14ac:dyDescent="0.3">
      <c r="C68" s="17" t="s">
        <v>9</v>
      </c>
      <c r="D68" s="21"/>
      <c r="E68" s="21"/>
      <c r="F68" s="21"/>
      <c r="G68" s="22"/>
    </row>
    <row r="69" spans="3:7" x14ac:dyDescent="0.3">
      <c r="C69" s="17" t="s">
        <v>10</v>
      </c>
      <c r="D69" s="21"/>
      <c r="E69" s="21"/>
      <c r="F69" s="21"/>
      <c r="G69" s="22"/>
    </row>
    <row r="70" spans="3:7" x14ac:dyDescent="0.3">
      <c r="C70" s="17" t="s">
        <v>11</v>
      </c>
      <c r="D70" s="21"/>
      <c r="E70" s="21"/>
      <c r="F70" s="21"/>
      <c r="G70" s="22"/>
    </row>
    <row r="71" spans="3:7" x14ac:dyDescent="0.3">
      <c r="C71" s="17" t="s">
        <v>12</v>
      </c>
      <c r="D71" s="21"/>
      <c r="E71" s="21"/>
      <c r="F71" s="21"/>
      <c r="G71" s="22"/>
    </row>
    <row r="72" spans="3:7" x14ac:dyDescent="0.3">
      <c r="C72" s="17" t="s">
        <v>13</v>
      </c>
      <c r="D72" s="21"/>
      <c r="E72" s="21"/>
      <c r="F72" s="21"/>
      <c r="G72" s="22"/>
    </row>
    <row r="73" spans="3:7" x14ac:dyDescent="0.3">
      <c r="C73" s="60" t="s">
        <v>14</v>
      </c>
      <c r="D73" s="21"/>
      <c r="E73" s="21"/>
      <c r="F73" s="21"/>
      <c r="G73" s="22"/>
    </row>
    <row r="74" spans="3:7" x14ac:dyDescent="0.3">
      <c r="C74" s="21"/>
      <c r="D74" s="21"/>
      <c r="E74" s="21"/>
      <c r="F74" s="21"/>
      <c r="G74" s="22"/>
    </row>
    <row r="75" spans="3:7" x14ac:dyDescent="0.3">
      <c r="C75" s="21"/>
      <c r="D75" s="21"/>
      <c r="E75" s="21"/>
      <c r="F75" s="21"/>
      <c r="G75" s="22"/>
    </row>
    <row r="76" spans="3:7" x14ac:dyDescent="0.3">
      <c r="C76" s="21"/>
      <c r="D76" s="21"/>
      <c r="E76" s="21"/>
      <c r="F76" s="21"/>
      <c r="G76" s="22"/>
    </row>
    <row r="77" spans="3:7" x14ac:dyDescent="0.3">
      <c r="C77" s="21"/>
      <c r="D77" s="21"/>
      <c r="E77" s="21"/>
      <c r="F77" s="21"/>
      <c r="G77" s="22"/>
    </row>
    <row r="78" spans="3:7" x14ac:dyDescent="0.3">
      <c r="C78" s="21"/>
      <c r="D78" s="21"/>
      <c r="E78" s="21"/>
      <c r="F78" s="21"/>
      <c r="G78" s="22"/>
    </row>
    <row r="79" spans="3:7" x14ac:dyDescent="0.3">
      <c r="C79" s="21"/>
      <c r="D79" s="21"/>
      <c r="E79" s="21"/>
      <c r="F79" s="21"/>
      <c r="G79" s="22"/>
    </row>
    <row r="80" spans="3:7" x14ac:dyDescent="0.3">
      <c r="C80" s="21"/>
      <c r="D80" s="21"/>
      <c r="E80" s="21"/>
      <c r="F80" s="21"/>
      <c r="G80" s="22"/>
    </row>
    <row r="81" spans="3:7" x14ac:dyDescent="0.3">
      <c r="C81" s="21"/>
      <c r="D81" s="21"/>
      <c r="E81" s="21"/>
      <c r="F81" s="21"/>
      <c r="G81" s="22"/>
    </row>
    <row r="82" spans="3:7" x14ac:dyDescent="0.3">
      <c r="C82" s="21"/>
      <c r="D82" s="21"/>
      <c r="E82" s="21"/>
      <c r="F82" s="21"/>
      <c r="G82" s="22"/>
    </row>
    <row r="83" spans="3:7" x14ac:dyDescent="0.3">
      <c r="C83" s="21"/>
      <c r="D83" s="21"/>
      <c r="E83" s="21"/>
      <c r="F83" s="21"/>
      <c r="G83" s="22"/>
    </row>
    <row r="84" spans="3:7" x14ac:dyDescent="0.3">
      <c r="C84" s="21"/>
      <c r="D84" s="21"/>
      <c r="E84" s="21"/>
      <c r="F84" s="21"/>
      <c r="G84" s="22"/>
    </row>
    <row r="85" spans="3:7" x14ac:dyDescent="0.3">
      <c r="C85" s="21"/>
      <c r="D85" s="21"/>
      <c r="E85" s="21"/>
      <c r="F85" s="21"/>
      <c r="G85" s="22"/>
    </row>
    <row r="86" spans="3:7" x14ac:dyDescent="0.3">
      <c r="C86" s="21"/>
      <c r="D86" s="21"/>
      <c r="E86" s="21"/>
      <c r="F86" s="21"/>
      <c r="G86" s="22"/>
    </row>
    <row r="87" spans="3:7" x14ac:dyDescent="0.3">
      <c r="C87" s="21"/>
      <c r="D87" s="21"/>
      <c r="E87" s="21"/>
      <c r="F87" s="21"/>
      <c r="G87" s="22"/>
    </row>
    <row r="88" spans="3:7" x14ac:dyDescent="0.3">
      <c r="C88" s="21"/>
      <c r="D88" s="21"/>
      <c r="E88" s="21"/>
      <c r="F88" s="21"/>
      <c r="G88" s="22"/>
    </row>
    <row r="89" spans="3:7" x14ac:dyDescent="0.3">
      <c r="C89" s="21"/>
      <c r="D89" s="21"/>
      <c r="E89" s="21"/>
      <c r="F89" s="21"/>
      <c r="G89" s="22"/>
    </row>
    <row r="90" spans="3:7" x14ac:dyDescent="0.3">
      <c r="C90" s="21"/>
      <c r="D90" s="21"/>
      <c r="E90" s="21"/>
      <c r="F90" s="21"/>
      <c r="G90" s="22"/>
    </row>
    <row r="91" spans="3:7" x14ac:dyDescent="0.3">
      <c r="C91" s="21"/>
      <c r="D91" s="21"/>
      <c r="E91" s="21"/>
      <c r="F91" s="21"/>
      <c r="G91" s="22"/>
    </row>
    <row r="92" spans="3:7" x14ac:dyDescent="0.3">
      <c r="C92" s="21"/>
      <c r="D92" s="21"/>
      <c r="E92" s="21"/>
      <c r="F92" s="21"/>
      <c r="G92" s="22"/>
    </row>
    <row r="93" spans="3:7" x14ac:dyDescent="0.3">
      <c r="C93" s="21"/>
      <c r="D93" s="21"/>
      <c r="E93" s="21"/>
      <c r="F93" s="21"/>
      <c r="G93" s="22"/>
    </row>
    <row r="94" spans="3:7" x14ac:dyDescent="0.3">
      <c r="C94" s="21"/>
      <c r="D94" s="21"/>
      <c r="E94" s="21"/>
      <c r="F94" s="21"/>
      <c r="G94" s="22"/>
    </row>
    <row r="95" spans="3:7" x14ac:dyDescent="0.3">
      <c r="C95" s="21"/>
      <c r="D95" s="21"/>
      <c r="E95" s="21"/>
      <c r="F95" s="21"/>
      <c r="G95" s="22"/>
    </row>
    <row r="96" spans="3:7" x14ac:dyDescent="0.3">
      <c r="C96" s="21"/>
      <c r="D96" s="21"/>
      <c r="E96" s="21"/>
      <c r="F96" s="21"/>
      <c r="G96" s="22"/>
    </row>
    <row r="97" spans="3:7" x14ac:dyDescent="0.3">
      <c r="C97" s="21"/>
      <c r="D97" s="21"/>
      <c r="E97" s="21"/>
      <c r="F97" s="21"/>
      <c r="G97" s="22"/>
    </row>
    <row r="98" spans="3:7" x14ac:dyDescent="0.3">
      <c r="C98" s="21"/>
      <c r="D98" s="21"/>
      <c r="E98" s="21"/>
      <c r="F98" s="21"/>
      <c r="G98" s="22"/>
    </row>
    <row r="99" spans="3:7" x14ac:dyDescent="0.3">
      <c r="C99" s="21"/>
      <c r="D99" s="21"/>
      <c r="E99" s="21"/>
      <c r="F99" s="21"/>
      <c r="G99" s="22"/>
    </row>
    <row r="100" spans="3:7" x14ac:dyDescent="0.3">
      <c r="C100" s="21"/>
      <c r="D100" s="21"/>
      <c r="E100" s="21"/>
      <c r="F100" s="21"/>
      <c r="G100" s="22"/>
    </row>
    <row r="101" spans="3:7" x14ac:dyDescent="0.3">
      <c r="C101" s="21"/>
      <c r="D101" s="21"/>
      <c r="E101" s="21"/>
      <c r="F101" s="21"/>
      <c r="G101" s="22"/>
    </row>
    <row r="102" spans="3:7" x14ac:dyDescent="0.3">
      <c r="C102" s="21"/>
      <c r="D102" s="21"/>
      <c r="E102" s="21"/>
      <c r="F102" s="21"/>
      <c r="G102" s="22"/>
    </row>
    <row r="103" spans="3:7" x14ac:dyDescent="0.3">
      <c r="C103" s="21"/>
      <c r="D103" s="21"/>
      <c r="E103" s="21"/>
      <c r="F103" s="21"/>
      <c r="G103" s="22"/>
    </row>
    <row r="104" spans="3:7" x14ac:dyDescent="0.3">
      <c r="C104" s="21"/>
      <c r="D104" s="21"/>
      <c r="E104" s="21"/>
      <c r="F104" s="21"/>
      <c r="G104" s="22"/>
    </row>
    <row r="105" spans="3:7" x14ac:dyDescent="0.3">
      <c r="C105" s="21"/>
      <c r="D105" s="21"/>
      <c r="E105" s="21"/>
      <c r="F105" s="21"/>
      <c r="G105" s="22"/>
    </row>
    <row r="106" spans="3:7" x14ac:dyDescent="0.3">
      <c r="C106" s="21"/>
      <c r="D106" s="21"/>
      <c r="E106" s="21"/>
      <c r="F106" s="21"/>
      <c r="G106" s="22"/>
    </row>
    <row r="107" spans="3:7" x14ac:dyDescent="0.3">
      <c r="C107" s="21"/>
      <c r="D107" s="21"/>
      <c r="E107" s="21"/>
      <c r="F107" s="21"/>
      <c r="G107" s="22"/>
    </row>
    <row r="108" spans="3:7" x14ac:dyDescent="0.3">
      <c r="C108" s="21"/>
      <c r="D108" s="21"/>
      <c r="E108" s="21"/>
      <c r="F108" s="21"/>
      <c r="G108" s="22"/>
    </row>
    <row r="109" spans="3:7" x14ac:dyDescent="0.3">
      <c r="C109" s="21"/>
      <c r="D109" s="21"/>
      <c r="E109" s="21"/>
      <c r="F109" s="21"/>
      <c r="G109" s="22"/>
    </row>
    <row r="110" spans="3:7" x14ac:dyDescent="0.3">
      <c r="C110" s="21"/>
      <c r="D110" s="21"/>
      <c r="E110" s="21"/>
      <c r="F110" s="21"/>
      <c r="G110" s="22"/>
    </row>
    <row r="111" spans="3:7" x14ac:dyDescent="0.3">
      <c r="C111" s="21"/>
      <c r="D111" s="21"/>
      <c r="E111" s="21"/>
      <c r="F111" s="21"/>
      <c r="G111" s="22"/>
    </row>
    <row r="112" spans="3:7" x14ac:dyDescent="0.3">
      <c r="C112" s="21"/>
      <c r="D112" s="21"/>
      <c r="E112" s="21"/>
      <c r="F112" s="21"/>
      <c r="G112" s="22"/>
    </row>
    <row r="113" spans="3:7" x14ac:dyDescent="0.3">
      <c r="C113" s="21"/>
      <c r="D113" s="21"/>
      <c r="E113" s="21"/>
      <c r="F113" s="21"/>
      <c r="G113" s="22"/>
    </row>
    <row r="114" spans="3:7" x14ac:dyDescent="0.3">
      <c r="C114" s="21"/>
      <c r="D114" s="21"/>
      <c r="E114" s="21"/>
      <c r="F114" s="21"/>
      <c r="G114" s="22"/>
    </row>
    <row r="115" spans="3:7" x14ac:dyDescent="0.3">
      <c r="C115" s="21"/>
      <c r="D115" s="21"/>
      <c r="E115" s="21"/>
      <c r="F115" s="21"/>
      <c r="G115" s="22"/>
    </row>
  </sheetData>
  <phoneticPr fontId="11" type="noConversion"/>
  <conditionalFormatting sqref="E54:E56">
    <cfRule type="cellIs" dxfId="2" priority="1" operator="equal">
      <formula>"low"</formula>
    </cfRule>
  </conditionalFormatting>
  <conditionalFormatting sqref="E7:F12 E13 E14:F17 E62:F62 G116:G1048576">
    <cfRule type="cellIs" dxfId="1" priority="3" operator="equal">
      <formula>"low"</formula>
    </cfRule>
  </conditionalFormatting>
  <conditionalFormatting sqref="E52:F53 F63:F65">
    <cfRule type="cellIs" dxfId="0" priority="2" operator="equal">
      <formula>"low"</formula>
    </cfRule>
  </conditionalFormatting>
  <pageMargins left="0.7" right="0.7" top="0.75" bottom="0.75" header="0.3" footer="0.3"/>
  <pageSetup orientation="portrait" horizontalDpi="1200" verticalDpi="1200" r:id="rId1"/>
  <tableParts count="6">
    <tablePart r:id="rId2"/>
    <tablePart r:id="rId3"/>
    <tablePart r:id="rId4"/>
    <tablePart r:id="rId5"/>
    <tablePart r:id="rId6"/>
    <tablePart r:id="rId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8B5A-2EF9-488E-A473-BF3A673CC1ED}">
  <dimension ref="B2:C9"/>
  <sheetViews>
    <sheetView workbookViewId="0">
      <selection activeCell="C9" sqref="C9"/>
    </sheetView>
  </sheetViews>
  <sheetFormatPr defaultRowHeight="14.4" x14ac:dyDescent="0.3"/>
  <cols>
    <col min="1" max="1" width="2.44140625" customWidth="1"/>
    <col min="2" max="2" width="5" customWidth="1"/>
  </cols>
  <sheetData>
    <row r="2" spans="2:3" x14ac:dyDescent="0.3">
      <c r="B2">
        <v>1</v>
      </c>
      <c r="C2" t="s">
        <v>63</v>
      </c>
    </row>
    <row r="3" spans="2:3" ht="34.200000000000003" customHeight="1" x14ac:dyDescent="0.3">
      <c r="B3">
        <v>2</v>
      </c>
      <c r="C3" s="63" t="s">
        <v>65</v>
      </c>
    </row>
    <row r="4" spans="2:3" ht="45" customHeight="1" x14ac:dyDescent="0.3">
      <c r="B4">
        <v>3</v>
      </c>
      <c r="C4" t="s">
        <v>77</v>
      </c>
    </row>
    <row r="5" spans="2:3" x14ac:dyDescent="0.3">
      <c r="B5">
        <v>4</v>
      </c>
      <c r="C5" t="s">
        <v>66</v>
      </c>
    </row>
    <row r="6" spans="2:3" x14ac:dyDescent="0.3">
      <c r="B6">
        <v>5</v>
      </c>
      <c r="C6" t="s">
        <v>94</v>
      </c>
    </row>
    <row r="7" spans="2:3" x14ac:dyDescent="0.3">
      <c r="B7">
        <v>6</v>
      </c>
      <c r="C7" t="s">
        <v>103</v>
      </c>
    </row>
    <row r="8" spans="2:3" x14ac:dyDescent="0.3">
      <c r="B8">
        <v>7</v>
      </c>
      <c r="C8" t="s">
        <v>126</v>
      </c>
    </row>
    <row r="9" spans="2:3" x14ac:dyDescent="0.3">
      <c r="B9">
        <v>8</v>
      </c>
      <c r="C9" t="s">
        <v>162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26CE7-75AF-45B5-9B8D-C37EF863AE66}">
  <sheetPr>
    <tabColor rgb="FFCDD3C7"/>
    <pageSetUpPr autoPageBreaks="0"/>
  </sheetPr>
  <dimension ref="A1:O36"/>
  <sheetViews>
    <sheetView topLeftCell="A4" zoomScaleNormal="100" workbookViewId="0">
      <selection activeCell="B21" sqref="B21:K21"/>
    </sheetView>
  </sheetViews>
  <sheetFormatPr defaultColWidth="0" defaultRowHeight="14.4" x14ac:dyDescent="0.3"/>
  <cols>
    <col min="1" max="1" width="7" customWidth="1"/>
    <col min="2" max="2" width="16.44140625" customWidth="1"/>
    <col min="3" max="5" width="13"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1" spans="2:11" ht="15" thickBot="1" x14ac:dyDescent="0.35"/>
    <row r="2" spans="2:11" ht="23.25" customHeight="1" thickBot="1" x14ac:dyDescent="0.35">
      <c r="B2" s="168" t="s">
        <v>208</v>
      </c>
      <c r="C2" s="169"/>
      <c r="D2" s="169"/>
      <c r="E2" s="169"/>
      <c r="F2" s="169"/>
      <c r="G2" s="169"/>
      <c r="H2" s="169"/>
      <c r="I2" s="169"/>
      <c r="J2" s="169"/>
      <c r="K2" s="170"/>
    </row>
    <row r="3" spans="2:11" ht="15" thickBot="1" x14ac:dyDescent="0.35"/>
    <row r="4" spans="2:11" ht="90.6" customHeight="1" thickBot="1" x14ac:dyDescent="0.35">
      <c r="B4" s="167" t="s">
        <v>58</v>
      </c>
      <c r="C4" s="165"/>
      <c r="D4" s="165"/>
      <c r="E4" s="165"/>
      <c r="F4" s="165"/>
      <c r="G4" s="165"/>
      <c r="H4" s="165"/>
      <c r="I4" s="165"/>
      <c r="J4" s="165"/>
      <c r="K4" s="166"/>
    </row>
    <row r="7" spans="2:11" ht="63" customHeight="1" thickBot="1" x14ac:dyDescent="0.35">
      <c r="B7" s="10" t="s">
        <v>2</v>
      </c>
      <c r="C7" s="7" t="s">
        <v>57</v>
      </c>
      <c r="D7" s="7" t="s">
        <v>59</v>
      </c>
      <c r="E7" s="7" t="s">
        <v>60</v>
      </c>
      <c r="F7" s="7" t="s">
        <v>15</v>
      </c>
    </row>
    <row r="8" spans="2:11" ht="15" thickTop="1" x14ac:dyDescent="0.3">
      <c r="B8" s="11" t="s">
        <v>5</v>
      </c>
      <c r="C8" s="48"/>
      <c r="D8" s="48"/>
      <c r="E8" s="12"/>
      <c r="F8" s="13" t="str">
        <f>IF(SUM(C8:E8)=0,"",(C8*240)/((C8*240)+(D8*250)+(E8*250)))</f>
        <v/>
      </c>
    </row>
    <row r="9" spans="2:11" x14ac:dyDescent="0.3">
      <c r="B9" s="14" t="s">
        <v>6</v>
      </c>
      <c r="C9" s="49"/>
      <c r="D9" s="49"/>
      <c r="E9" s="9"/>
      <c r="F9" s="8" t="str">
        <f t="shared" ref="F9:F17" si="0">IF(SUM(C9:E9)=0,"",(C9*240)/((C9*240)+(D9*250)+(E9*250)))</f>
        <v/>
      </c>
    </row>
    <row r="10" spans="2:11" x14ac:dyDescent="0.3">
      <c r="B10" s="14" t="s">
        <v>7</v>
      </c>
      <c r="C10" s="49"/>
      <c r="D10" s="49"/>
      <c r="E10" s="9"/>
      <c r="F10" s="8" t="str">
        <f t="shared" si="0"/>
        <v/>
      </c>
    </row>
    <row r="11" spans="2:11" x14ac:dyDescent="0.3">
      <c r="B11" s="14" t="s">
        <v>8</v>
      </c>
      <c r="C11" s="49"/>
      <c r="D11" s="49"/>
      <c r="E11" s="9"/>
      <c r="F11" s="8" t="str">
        <f t="shared" si="0"/>
        <v/>
      </c>
    </row>
    <row r="12" spans="2:11" x14ac:dyDescent="0.3">
      <c r="B12" s="14" t="s">
        <v>9</v>
      </c>
      <c r="C12" s="49"/>
      <c r="D12" s="49"/>
      <c r="E12" s="9"/>
      <c r="F12" s="8" t="str">
        <f t="shared" si="0"/>
        <v/>
      </c>
    </row>
    <row r="13" spans="2:11" x14ac:dyDescent="0.3">
      <c r="B13" s="14" t="s">
        <v>10</v>
      </c>
      <c r="C13" s="49"/>
      <c r="D13" s="49"/>
      <c r="E13" s="9"/>
      <c r="F13" s="8" t="str">
        <f t="shared" si="0"/>
        <v/>
      </c>
    </row>
    <row r="14" spans="2:11" x14ac:dyDescent="0.3">
      <c r="B14" s="14" t="s">
        <v>11</v>
      </c>
      <c r="C14" s="49"/>
      <c r="D14" s="49"/>
      <c r="E14" s="9"/>
      <c r="F14" s="8" t="str">
        <f t="shared" si="0"/>
        <v/>
      </c>
    </row>
    <row r="15" spans="2:11" x14ac:dyDescent="0.3">
      <c r="B15" s="14" t="s">
        <v>12</v>
      </c>
      <c r="C15" s="49"/>
      <c r="D15" s="49"/>
      <c r="E15" s="9"/>
      <c r="F15" s="8" t="str">
        <f t="shared" si="0"/>
        <v/>
      </c>
    </row>
    <row r="16" spans="2:11" x14ac:dyDescent="0.3">
      <c r="B16" s="14" t="s">
        <v>13</v>
      </c>
      <c r="C16" s="49"/>
      <c r="D16" s="49"/>
      <c r="E16" s="9"/>
      <c r="F16" s="8" t="str">
        <f t="shared" si="0"/>
        <v/>
      </c>
    </row>
    <row r="17" spans="2:11" x14ac:dyDescent="0.3">
      <c r="B17" s="14" t="s">
        <v>14</v>
      </c>
      <c r="C17" s="49"/>
      <c r="D17" s="49"/>
      <c r="E17" s="9"/>
      <c r="F17" s="8" t="str">
        <f t="shared" si="0"/>
        <v/>
      </c>
    </row>
    <row r="20" spans="2:11" ht="15" thickBot="1" x14ac:dyDescent="0.35"/>
    <row r="21" spans="2:11" ht="23.25" customHeight="1" thickBot="1" x14ac:dyDescent="0.35">
      <c r="B21" s="171" t="s">
        <v>25</v>
      </c>
      <c r="C21" s="172"/>
      <c r="D21" s="172"/>
      <c r="E21" s="172"/>
      <c r="F21" s="172"/>
      <c r="G21" s="172"/>
      <c r="H21" s="172"/>
      <c r="I21" s="172"/>
      <c r="J21" s="172"/>
      <c r="K21" s="173"/>
    </row>
    <row r="22" spans="2:11" ht="15" thickBot="1" x14ac:dyDescent="0.35"/>
    <row r="23" spans="2:11" ht="34.950000000000003" customHeight="1" thickBot="1" x14ac:dyDescent="0.35">
      <c r="B23" s="164" t="s">
        <v>127</v>
      </c>
      <c r="C23" s="165"/>
      <c r="D23" s="165"/>
      <c r="E23" s="165"/>
      <c r="F23" s="165"/>
      <c r="G23" s="165"/>
      <c r="H23" s="165"/>
      <c r="I23" s="165"/>
      <c r="J23" s="165"/>
      <c r="K23" s="166"/>
    </row>
    <row r="26" spans="2:11" ht="78.599999999999994" thickBot="1" x14ac:dyDescent="0.35">
      <c r="B26" s="10" t="s">
        <v>2</v>
      </c>
      <c r="C26" s="7" t="s">
        <v>25</v>
      </c>
      <c r="D26" s="55"/>
      <c r="E26" s="55"/>
    </row>
    <row r="27" spans="2:11" ht="15" thickTop="1" x14ac:dyDescent="0.3">
      <c r="B27" s="11" t="s">
        <v>5</v>
      </c>
      <c r="C27" s="73">
        <f>(C8*'Reference Tables'!$G$3)+(D8*'Reference Tables'!$G$4)+(E8*'Reference Tables'!$G$5)</f>
        <v>0</v>
      </c>
      <c r="D27" s="56"/>
      <c r="E27" s="56"/>
    </row>
    <row r="28" spans="2:11" x14ac:dyDescent="0.3">
      <c r="B28" s="14" t="s">
        <v>6</v>
      </c>
      <c r="C28" s="77">
        <f>(C9*'Reference Tables'!$G$3)+(D9*'Reference Tables'!$G$4)+(E9*'Reference Tables'!$G$5)</f>
        <v>0</v>
      </c>
      <c r="D28" s="56"/>
      <c r="E28" s="56"/>
    </row>
    <row r="29" spans="2:11" x14ac:dyDescent="0.3">
      <c r="B29" s="14" t="s">
        <v>7</v>
      </c>
      <c r="C29" s="77">
        <f>(C10*'Reference Tables'!$G$3)+(D10*'Reference Tables'!$G$4)+(E10*'Reference Tables'!$G$5)</f>
        <v>0</v>
      </c>
      <c r="D29" s="56"/>
      <c r="E29" s="56"/>
    </row>
    <row r="30" spans="2:11" x14ac:dyDescent="0.3">
      <c r="B30" s="14" t="s">
        <v>8</v>
      </c>
      <c r="C30" s="77">
        <f>(C11*'Reference Tables'!$G$3)+(D11*'Reference Tables'!$G$4)+(E11*'Reference Tables'!$G$5)</f>
        <v>0</v>
      </c>
      <c r="D30" s="56"/>
      <c r="E30" s="56"/>
    </row>
    <row r="31" spans="2:11" x14ac:dyDescent="0.3">
      <c r="B31" s="14" t="s">
        <v>9</v>
      </c>
      <c r="C31" s="77">
        <f>(C12*'Reference Tables'!$G$3)+(D12*'Reference Tables'!$G$4)+(E12*'Reference Tables'!$G$5)</f>
        <v>0</v>
      </c>
      <c r="D31" s="56"/>
      <c r="E31" s="56"/>
    </row>
    <row r="32" spans="2:11" x14ac:dyDescent="0.3">
      <c r="B32" s="14" t="s">
        <v>10</v>
      </c>
      <c r="C32" s="77">
        <f>(C13*'Reference Tables'!$G$3)+(D13*'Reference Tables'!$G$4)+(E13*'Reference Tables'!$G$5)</f>
        <v>0</v>
      </c>
      <c r="D32" s="56"/>
      <c r="E32" s="56"/>
    </row>
    <row r="33" spans="2:5" x14ac:dyDescent="0.3">
      <c r="B33" s="14" t="s">
        <v>11</v>
      </c>
      <c r="C33" s="77">
        <f>(C14*'Reference Tables'!$G$3)+(D14*'Reference Tables'!$G$4)+(E14*'Reference Tables'!$G$5)</f>
        <v>0</v>
      </c>
      <c r="D33" s="56"/>
      <c r="E33" s="56"/>
    </row>
    <row r="34" spans="2:5" x14ac:dyDescent="0.3">
      <c r="B34" s="14" t="s">
        <v>12</v>
      </c>
      <c r="C34" s="77">
        <f>(C15*'Reference Tables'!$G$3)+(D15*'Reference Tables'!$G$4)+(E15*'Reference Tables'!$G$5)</f>
        <v>0</v>
      </c>
      <c r="D34" s="56"/>
      <c r="E34" s="56"/>
    </row>
    <row r="35" spans="2:5" x14ac:dyDescent="0.3">
      <c r="B35" s="14" t="s">
        <v>13</v>
      </c>
      <c r="C35" s="77">
        <f>(C16*'Reference Tables'!$G$3)+(D16*'Reference Tables'!$G$4)+(E16*'Reference Tables'!$G$5)</f>
        <v>0</v>
      </c>
      <c r="D35" s="56"/>
      <c r="E35" s="56"/>
    </row>
    <row r="36" spans="2:5" x14ac:dyDescent="0.3">
      <c r="B36" s="14" t="s">
        <v>14</v>
      </c>
      <c r="C36" s="77">
        <f>(C17*'Reference Tables'!$G$3)+(D17*'Reference Tables'!$G$4)+(E17*'Reference Tables'!$G$5)</f>
        <v>0</v>
      </c>
      <c r="D36" s="56"/>
      <c r="E36" s="56"/>
    </row>
  </sheetData>
  <mergeCells count="4">
    <mergeCell ref="B23:K23"/>
    <mergeCell ref="B4:K4"/>
    <mergeCell ref="B2:K2"/>
    <mergeCell ref="B21:K21"/>
  </mergeCells>
  <pageMargins left="0.7" right="0.7"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76F95-095A-4142-A0B9-D3D57DC27527}">
  <sheetPr>
    <tabColor rgb="FFCDD3C7"/>
    <pageSetUpPr autoPageBreaks="0"/>
  </sheetPr>
  <dimension ref="A1:O57"/>
  <sheetViews>
    <sheetView zoomScaleNormal="100" workbookViewId="0">
      <selection activeCell="B22" sqref="B22:K2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3.109375" customWidth="1"/>
    <col min="9" max="9" width="12.4414062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1" spans="2:11" ht="15" thickBot="1" x14ac:dyDescent="0.35"/>
    <row r="2" spans="2:11" ht="23.25" customHeight="1" thickBot="1" x14ac:dyDescent="0.35">
      <c r="B2" s="168" t="s">
        <v>209</v>
      </c>
      <c r="C2" s="169"/>
      <c r="D2" s="169"/>
      <c r="E2" s="169"/>
      <c r="F2" s="169"/>
      <c r="G2" s="169"/>
      <c r="H2" s="169"/>
      <c r="I2" s="169"/>
      <c r="J2" s="169"/>
      <c r="K2" s="170"/>
    </row>
    <row r="3" spans="2:11" ht="15" thickBot="1" x14ac:dyDescent="0.35"/>
    <row r="4" spans="2:11" ht="104.4" customHeight="1" thickBot="1" x14ac:dyDescent="0.35">
      <c r="B4" s="167" t="s">
        <v>134</v>
      </c>
      <c r="C4" s="165"/>
      <c r="D4" s="165"/>
      <c r="E4" s="165"/>
      <c r="F4" s="165"/>
      <c r="G4" s="165"/>
      <c r="H4" s="165"/>
      <c r="I4" s="165"/>
      <c r="J4" s="165"/>
      <c r="K4" s="166"/>
    </row>
    <row r="7" spans="2:11" ht="31.2" x14ac:dyDescent="0.3">
      <c r="B7" s="5" t="s">
        <v>4</v>
      </c>
      <c r="C7" s="6"/>
    </row>
    <row r="9" spans="2:11" ht="63" thickBot="1" x14ac:dyDescent="0.35">
      <c r="B9" s="10" t="s">
        <v>2</v>
      </c>
      <c r="C9" s="7" t="s">
        <v>26</v>
      </c>
      <c r="D9" s="7" t="s">
        <v>27</v>
      </c>
      <c r="E9" s="7" t="s">
        <v>15</v>
      </c>
    </row>
    <row r="10" spans="2:11" ht="15" thickTop="1" x14ac:dyDescent="0.3">
      <c r="B10" s="11" t="s">
        <v>5</v>
      </c>
      <c r="C10" s="48"/>
      <c r="D10" s="12" t="str">
        <f>(IF(ISBLANK(C$7),"","N/A - Sample"))</f>
        <v/>
      </c>
      <c r="E10" s="13" t="str">
        <f>IF(ISBLANK(C10),"",(C10/(IF(ISBLANK(C$7),D10,C$7))))</f>
        <v/>
      </c>
    </row>
    <row r="11" spans="2:11" x14ac:dyDescent="0.3">
      <c r="B11" s="14" t="s">
        <v>6</v>
      </c>
      <c r="C11" s="49"/>
      <c r="D11" s="9" t="str">
        <f t="shared" ref="D11:D19" si="0">(IF(ISBLANK(C$7),"","N/A - Sample"))</f>
        <v/>
      </c>
      <c r="E11" s="8" t="str">
        <f t="shared" ref="E11:E19" si="1">IF(ISBLANK(C11),"",(C11/(IF(ISBLANK(C$7),D11,C$7))))</f>
        <v/>
      </c>
    </row>
    <row r="12" spans="2:11" x14ac:dyDescent="0.3">
      <c r="B12" s="14" t="s">
        <v>7</v>
      </c>
      <c r="C12" s="49"/>
      <c r="D12" s="9" t="str">
        <f t="shared" si="0"/>
        <v/>
      </c>
      <c r="E12" s="8" t="str">
        <f t="shared" si="1"/>
        <v/>
      </c>
    </row>
    <row r="13" spans="2:11" x14ac:dyDescent="0.3">
      <c r="B13" s="14" t="s">
        <v>8</v>
      </c>
      <c r="C13" s="49"/>
      <c r="D13" s="9" t="str">
        <f t="shared" si="0"/>
        <v/>
      </c>
      <c r="E13" s="8" t="str">
        <f t="shared" si="1"/>
        <v/>
      </c>
    </row>
    <row r="14" spans="2:11" x14ac:dyDescent="0.3">
      <c r="B14" s="14" t="s">
        <v>9</v>
      </c>
      <c r="C14" s="49"/>
      <c r="D14" s="9" t="str">
        <f t="shared" si="0"/>
        <v/>
      </c>
      <c r="E14" s="8" t="str">
        <f t="shared" si="1"/>
        <v/>
      </c>
    </row>
    <row r="15" spans="2:11" x14ac:dyDescent="0.3">
      <c r="B15" s="14" t="s">
        <v>10</v>
      </c>
      <c r="C15" s="49"/>
      <c r="D15" s="9" t="str">
        <f t="shared" si="0"/>
        <v/>
      </c>
      <c r="E15" s="8" t="str">
        <f t="shared" si="1"/>
        <v/>
      </c>
    </row>
    <row r="16" spans="2:11" x14ac:dyDescent="0.3">
      <c r="B16" s="14" t="s">
        <v>11</v>
      </c>
      <c r="C16" s="49"/>
      <c r="D16" s="9" t="str">
        <f t="shared" si="0"/>
        <v/>
      </c>
      <c r="E16" s="8" t="str">
        <f t="shared" si="1"/>
        <v/>
      </c>
    </row>
    <row r="17" spans="2:11" x14ac:dyDescent="0.3">
      <c r="B17" s="14" t="s">
        <v>12</v>
      </c>
      <c r="C17" s="49"/>
      <c r="D17" s="9" t="str">
        <f t="shared" si="0"/>
        <v/>
      </c>
      <c r="E17" s="8" t="str">
        <f t="shared" si="1"/>
        <v/>
      </c>
    </row>
    <row r="18" spans="2:11" x14ac:dyDescent="0.3">
      <c r="B18" s="14" t="s">
        <v>13</v>
      </c>
      <c r="C18" s="49"/>
      <c r="D18" s="9" t="str">
        <f t="shared" si="0"/>
        <v/>
      </c>
      <c r="E18" s="8" t="str">
        <f t="shared" si="1"/>
        <v/>
      </c>
    </row>
    <row r="19" spans="2:11" x14ac:dyDescent="0.3">
      <c r="B19" s="14" t="s">
        <v>14</v>
      </c>
      <c r="C19" s="49"/>
      <c r="D19" s="9" t="str">
        <f t="shared" si="0"/>
        <v/>
      </c>
      <c r="E19" s="8" t="str">
        <f t="shared" si="1"/>
        <v/>
      </c>
    </row>
    <row r="21" spans="2:11" ht="15" thickBot="1" x14ac:dyDescent="0.35"/>
    <row r="22" spans="2:11" ht="23.25" customHeight="1" thickBot="1" x14ac:dyDescent="0.35">
      <c r="B22" s="171" t="s">
        <v>210</v>
      </c>
      <c r="C22" s="172"/>
      <c r="D22" s="172"/>
      <c r="E22" s="172"/>
      <c r="F22" s="172"/>
      <c r="G22" s="172"/>
      <c r="H22" s="172"/>
      <c r="I22" s="172"/>
      <c r="J22" s="172"/>
      <c r="K22" s="173"/>
    </row>
    <row r="23" spans="2:11" ht="15" thickBot="1" x14ac:dyDescent="0.35"/>
    <row r="24" spans="2:11" ht="34.950000000000003" customHeight="1" thickBot="1" x14ac:dyDescent="0.35">
      <c r="B24" s="164" t="s">
        <v>36</v>
      </c>
      <c r="C24" s="165"/>
      <c r="D24" s="165"/>
      <c r="E24" s="165"/>
      <c r="F24" s="165"/>
      <c r="G24" s="165"/>
      <c r="H24" s="165"/>
      <c r="I24" s="165"/>
      <c r="J24" s="165"/>
      <c r="K24" s="166"/>
    </row>
    <row r="26" spans="2:11" ht="63" thickBot="1" x14ac:dyDescent="0.35">
      <c r="B26" s="10" t="s">
        <v>2</v>
      </c>
      <c r="C26" s="7" t="s">
        <v>37</v>
      </c>
      <c r="D26" s="7" t="s">
        <v>38</v>
      </c>
      <c r="E26" s="7" t="s">
        <v>40</v>
      </c>
      <c r="F26" s="7" t="s">
        <v>39</v>
      </c>
      <c r="I26" s="10" t="s">
        <v>2</v>
      </c>
      <c r="J26" s="7" t="s">
        <v>41</v>
      </c>
    </row>
    <row r="27" spans="2:11" ht="15" thickTop="1" x14ac:dyDescent="0.3">
      <c r="B27" s="34"/>
      <c r="C27" s="35"/>
      <c r="D27" s="18"/>
      <c r="E27" s="19" t="str">
        <f>IF(ISBLANK(C27),"",VLOOKUP(C27,Tests[#All],2,FALSE))</f>
        <v/>
      </c>
      <c r="F27" s="40" t="str">
        <f>IF(ISBLANK(C27),"",D27*E27)</f>
        <v/>
      </c>
      <c r="I27" s="11" t="s">
        <v>5</v>
      </c>
      <c r="J27" s="39">
        <f t="shared" ref="J27:J36" si="2">SUMIF($B$27:$B$50,I27,$F$27:$F$50)</f>
        <v>0</v>
      </c>
    </row>
    <row r="28" spans="2:11" x14ac:dyDescent="0.3">
      <c r="B28" s="34"/>
      <c r="C28" s="35"/>
      <c r="D28" s="18"/>
      <c r="E28" s="19" t="str">
        <f>IF(ISBLANK(C28),"",VLOOKUP(C28,Tests[#All],2,FALSE))</f>
        <v/>
      </c>
      <c r="F28" s="40" t="str">
        <f>IF(ISBLANK(C28),"",D28*E28)</f>
        <v/>
      </c>
      <c r="I28" s="14" t="s">
        <v>6</v>
      </c>
      <c r="J28" s="39">
        <f t="shared" si="2"/>
        <v>0</v>
      </c>
    </row>
    <row r="29" spans="2:11" x14ac:dyDescent="0.3">
      <c r="B29" s="34"/>
      <c r="C29" s="35"/>
      <c r="D29" s="18"/>
      <c r="E29" s="19" t="str">
        <f>IF(ISBLANK(C29),"",VLOOKUP(C29,Tests[#All],2,FALSE))</f>
        <v/>
      </c>
      <c r="F29" s="40" t="str">
        <f t="shared" ref="F29:F42" si="3">IF(ISBLANK(C29),"",D29*E29)</f>
        <v/>
      </c>
      <c r="I29" s="14" t="s">
        <v>7</v>
      </c>
      <c r="J29" s="39">
        <f t="shared" si="2"/>
        <v>0</v>
      </c>
    </row>
    <row r="30" spans="2:11" x14ac:dyDescent="0.3">
      <c r="B30" s="34"/>
      <c r="C30" s="35"/>
      <c r="D30" s="18"/>
      <c r="E30" s="19" t="str">
        <f>IF(ISBLANK(C30),"",VLOOKUP(C30,Tests[#All],2,FALSE))</f>
        <v/>
      </c>
      <c r="F30" s="40" t="str">
        <f t="shared" si="3"/>
        <v/>
      </c>
      <c r="I30" s="14" t="s">
        <v>8</v>
      </c>
      <c r="J30" s="39">
        <f t="shared" si="2"/>
        <v>0</v>
      </c>
    </row>
    <row r="31" spans="2:11" x14ac:dyDescent="0.3">
      <c r="B31" s="34"/>
      <c r="C31" s="35"/>
      <c r="D31" s="18"/>
      <c r="E31" s="19" t="str">
        <f>IF(ISBLANK(C31),"",VLOOKUP(C31,Tests[#All],2,FALSE))</f>
        <v/>
      </c>
      <c r="F31" s="40" t="str">
        <f t="shared" si="3"/>
        <v/>
      </c>
      <c r="I31" s="14" t="s">
        <v>9</v>
      </c>
      <c r="J31" s="39">
        <f t="shared" si="2"/>
        <v>0</v>
      </c>
    </row>
    <row r="32" spans="2:11" x14ac:dyDescent="0.3">
      <c r="B32" s="34"/>
      <c r="C32" s="35"/>
      <c r="D32" s="18"/>
      <c r="E32" s="19" t="str">
        <f>IF(ISBLANK(C32),"",VLOOKUP(C32,Tests[#All],2,FALSE))</f>
        <v/>
      </c>
      <c r="F32" s="40" t="str">
        <f t="shared" si="3"/>
        <v/>
      </c>
      <c r="I32" s="14" t="s">
        <v>10</v>
      </c>
      <c r="J32" s="39">
        <f t="shared" si="2"/>
        <v>0</v>
      </c>
    </row>
    <row r="33" spans="2:10" x14ac:dyDescent="0.3">
      <c r="B33" s="34"/>
      <c r="C33" s="35"/>
      <c r="D33" s="18"/>
      <c r="E33" s="19" t="str">
        <f>IF(ISBLANK(C33),"",VLOOKUP(C33,Tests[#All],2,FALSE))</f>
        <v/>
      </c>
      <c r="F33" s="40" t="str">
        <f t="shared" si="3"/>
        <v/>
      </c>
      <c r="I33" s="14" t="s">
        <v>11</v>
      </c>
      <c r="J33" s="39">
        <f t="shared" si="2"/>
        <v>0</v>
      </c>
    </row>
    <row r="34" spans="2:10" x14ac:dyDescent="0.3">
      <c r="B34" s="34"/>
      <c r="C34" s="35"/>
      <c r="D34" s="18"/>
      <c r="E34" s="19" t="str">
        <f>IF(ISBLANK(C34),"",VLOOKUP(C34,Tests[#All],2,FALSE))</f>
        <v/>
      </c>
      <c r="F34" s="40" t="str">
        <f t="shared" si="3"/>
        <v/>
      </c>
      <c r="I34" s="14" t="s">
        <v>12</v>
      </c>
      <c r="J34" s="39">
        <f t="shared" si="2"/>
        <v>0</v>
      </c>
    </row>
    <row r="35" spans="2:10" x14ac:dyDescent="0.3">
      <c r="B35" s="34"/>
      <c r="C35" s="35"/>
      <c r="D35" s="18"/>
      <c r="E35" s="19" t="str">
        <f>IF(ISBLANK(C35),"",VLOOKUP(C35,Tests[#All],2,FALSE))</f>
        <v/>
      </c>
      <c r="F35" s="40" t="str">
        <f t="shared" si="3"/>
        <v/>
      </c>
      <c r="I35" s="14" t="s">
        <v>13</v>
      </c>
      <c r="J35" s="39">
        <f t="shared" si="2"/>
        <v>0</v>
      </c>
    </row>
    <row r="36" spans="2:10" x14ac:dyDescent="0.3">
      <c r="B36" s="34"/>
      <c r="C36" s="35"/>
      <c r="D36" s="18"/>
      <c r="E36" s="19" t="str">
        <f>IF(ISBLANK(C36),"",VLOOKUP(C36,Tests[#All],2,FALSE))</f>
        <v/>
      </c>
      <c r="F36" s="40" t="str">
        <f t="shared" si="3"/>
        <v/>
      </c>
      <c r="I36" s="14" t="s">
        <v>14</v>
      </c>
      <c r="J36" s="39">
        <f t="shared" si="2"/>
        <v>0</v>
      </c>
    </row>
    <row r="37" spans="2:10" x14ac:dyDescent="0.3">
      <c r="B37" s="34"/>
      <c r="C37" s="35"/>
      <c r="D37" s="18"/>
      <c r="E37" s="19" t="str">
        <f>IF(ISBLANK(C37),"",VLOOKUP(C37,Tests[#All],2,FALSE))</f>
        <v/>
      </c>
      <c r="F37" s="40" t="str">
        <f t="shared" si="3"/>
        <v/>
      </c>
    </row>
    <row r="38" spans="2:10" x14ac:dyDescent="0.3">
      <c r="B38" s="34"/>
      <c r="C38" s="35"/>
      <c r="D38" s="18"/>
      <c r="E38" s="19" t="str">
        <f>IF(ISBLANK(C38),"",VLOOKUP(C38,Tests[#All],2,FALSE))</f>
        <v/>
      </c>
      <c r="F38" s="40" t="str">
        <f t="shared" si="3"/>
        <v/>
      </c>
    </row>
    <row r="39" spans="2:10" x14ac:dyDescent="0.3">
      <c r="B39" s="34"/>
      <c r="C39" s="35"/>
      <c r="D39" s="18"/>
      <c r="E39" s="19" t="str">
        <f>IF(ISBLANK(C39),"",VLOOKUP(C39,Tests[#All],2,FALSE))</f>
        <v/>
      </c>
      <c r="F39" s="40" t="str">
        <f t="shared" si="3"/>
        <v/>
      </c>
    </row>
    <row r="40" spans="2:10" x14ac:dyDescent="0.3">
      <c r="B40" s="34"/>
      <c r="C40" s="35"/>
      <c r="D40" s="18"/>
      <c r="E40" s="19" t="str">
        <f>IF(ISBLANK(C40),"",VLOOKUP(C40,Tests[#All],2,FALSE))</f>
        <v/>
      </c>
      <c r="F40" s="40" t="str">
        <f t="shared" si="3"/>
        <v/>
      </c>
    </row>
    <row r="41" spans="2:10" x14ac:dyDescent="0.3">
      <c r="B41" s="34"/>
      <c r="C41" s="35"/>
      <c r="D41" s="18"/>
      <c r="E41" s="19" t="str">
        <f>IF(ISBLANK(C41),"",VLOOKUP(C41,Tests[#All],2,FALSE))</f>
        <v/>
      </c>
      <c r="F41" s="40" t="str">
        <f t="shared" si="3"/>
        <v/>
      </c>
    </row>
    <row r="42" spans="2:10" x14ac:dyDescent="0.3">
      <c r="B42" s="34"/>
      <c r="C42" s="35"/>
      <c r="D42" s="18"/>
      <c r="E42" s="19" t="str">
        <f>IF(ISBLANK(C42),"",VLOOKUP(C42,Tests[#All],2,FALSE))</f>
        <v/>
      </c>
      <c r="F42" s="40" t="str">
        <f t="shared" si="3"/>
        <v/>
      </c>
    </row>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sheetData>
  <mergeCells count="4">
    <mergeCell ref="B2:K2"/>
    <mergeCell ref="B4:K4"/>
    <mergeCell ref="B22:K22"/>
    <mergeCell ref="B24:K24"/>
  </mergeCells>
  <phoneticPr fontId="11" type="noConversion"/>
  <dataValidations count="1">
    <dataValidation type="whole" allowBlank="1" showInputMessage="1" showErrorMessage="1" sqref="C7" xr:uid="{A5468C59-6F6E-4731-B3FC-49EC45DC5875}">
      <formula1>1</formula1>
      <formula2>1000</formula2>
    </dataValidation>
  </dataValidations>
  <pageMargins left="0.7" right="0.7" top="0.75" bottom="0.75" header="0.3" footer="0.3"/>
  <pageSetup paperSize="5" orientation="landscape" r:id="rId1"/>
  <ignoredErrors>
    <ignoredError sqref="D10:D19"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E73498-BBBD-4708-8498-5E7BE63CFD28}">
          <x14:formula1>
            <xm:f>'Reference Tables'!$C$64:$C$73</xm:f>
          </x14:formula1>
          <xm:sqref>B27:B42</xm:sqref>
        </x14:dataValidation>
        <x14:dataValidation type="list" allowBlank="1" showInputMessage="1" showErrorMessage="1" xr:uid="{F9B6738A-856E-43BF-BE9C-4BA426B05BDC}">
          <x14:formula1>
            <xm:f>'Reference Tables'!$C$8:$C$17</xm:f>
          </x14:formula1>
          <xm:sqref>C27:C42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3662A-7DAB-4959-8A0D-7B75897520FA}">
  <sheetPr>
    <tabColor rgb="FFCDD3C7"/>
    <pageSetUpPr autoPageBreaks="0"/>
  </sheetPr>
  <dimension ref="A1:O54"/>
  <sheetViews>
    <sheetView topLeftCell="A8" zoomScaleNormal="100" workbookViewId="0">
      <selection activeCell="B22" sqref="B22:K22"/>
    </sheetView>
  </sheetViews>
  <sheetFormatPr defaultColWidth="0" defaultRowHeight="14.4" x14ac:dyDescent="0.3"/>
  <cols>
    <col min="1" max="1" width="7" customWidth="1"/>
    <col min="2" max="2" width="16.44140625" customWidth="1"/>
    <col min="3" max="3" width="18.44140625" customWidth="1"/>
    <col min="4" max="4" width="21.5546875" customWidth="1"/>
    <col min="5" max="5" width="10.88671875" customWidth="1"/>
    <col min="6" max="6" width="40.5546875" hidden="1" customWidth="1"/>
    <col min="7" max="7" width="16.33203125" customWidth="1"/>
    <col min="8" max="8" width="13.109375" customWidth="1"/>
    <col min="9" max="9" width="3.664062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1" spans="2:11" ht="15" thickBot="1" x14ac:dyDescent="0.35"/>
    <row r="2" spans="2:11" ht="23.25" customHeight="1" thickBot="1" x14ac:dyDescent="0.35">
      <c r="B2" s="168" t="s">
        <v>211</v>
      </c>
      <c r="C2" s="169"/>
      <c r="D2" s="169"/>
      <c r="E2" s="169"/>
      <c r="F2" s="169"/>
      <c r="G2" s="169"/>
      <c r="H2" s="169"/>
      <c r="I2" s="169"/>
      <c r="J2" s="169"/>
      <c r="K2" s="170"/>
    </row>
    <row r="3" spans="2:11" ht="15" thickBot="1" x14ac:dyDescent="0.35"/>
    <row r="4" spans="2:11" ht="133.19999999999999" customHeight="1" thickBot="1" x14ac:dyDescent="0.35">
      <c r="B4" s="167" t="s">
        <v>135</v>
      </c>
      <c r="C4" s="165"/>
      <c r="D4" s="165"/>
      <c r="E4" s="165"/>
      <c r="F4" s="165"/>
      <c r="G4" s="165"/>
      <c r="H4" s="165"/>
      <c r="I4" s="165"/>
      <c r="J4" s="165"/>
      <c r="K4" s="166"/>
    </row>
    <row r="7" spans="2:11" ht="31.2" x14ac:dyDescent="0.3">
      <c r="B7" s="5" t="s">
        <v>4</v>
      </c>
      <c r="C7" s="6"/>
    </row>
    <row r="9" spans="2:11" ht="78.599999999999994" thickBot="1" x14ac:dyDescent="0.35">
      <c r="B9" s="10" t="s">
        <v>2</v>
      </c>
      <c r="C9" s="7" t="s">
        <v>42</v>
      </c>
      <c r="D9" s="7" t="s">
        <v>43</v>
      </c>
      <c r="E9" s="7" t="s">
        <v>15</v>
      </c>
    </row>
    <row r="10" spans="2:11" ht="15" thickTop="1" x14ac:dyDescent="0.3">
      <c r="B10" s="11" t="s">
        <v>5</v>
      </c>
      <c r="C10" s="48"/>
      <c r="D10" s="12" t="str">
        <f t="shared" ref="D10:D19" si="0">(IF(ISBLANK(C$7),"","N/A - Sample"))</f>
        <v/>
      </c>
      <c r="E10" s="13" t="str">
        <f>IF(ISBLANK(C10),"",(C10/(IF(ISBLANK(C$7),D10,C$7))))</f>
        <v/>
      </c>
    </row>
    <row r="11" spans="2:11" x14ac:dyDescent="0.3">
      <c r="B11" s="14" t="s">
        <v>6</v>
      </c>
      <c r="C11" s="49"/>
      <c r="D11" s="9" t="str">
        <f t="shared" si="0"/>
        <v/>
      </c>
      <c r="E11" s="8" t="str">
        <f t="shared" ref="E11:E19" si="1">IF(ISBLANK(C11),"",(C11/(IF(ISBLANK(C$7),D11,C$7))))</f>
        <v/>
      </c>
    </row>
    <row r="12" spans="2:11" x14ac:dyDescent="0.3">
      <c r="B12" s="14" t="s">
        <v>7</v>
      </c>
      <c r="C12" s="49"/>
      <c r="D12" s="9" t="str">
        <f t="shared" si="0"/>
        <v/>
      </c>
      <c r="E12" s="8" t="str">
        <f t="shared" si="1"/>
        <v/>
      </c>
    </row>
    <row r="13" spans="2:11" x14ac:dyDescent="0.3">
      <c r="B13" s="14" t="s">
        <v>8</v>
      </c>
      <c r="C13" s="49"/>
      <c r="D13" s="9" t="str">
        <f t="shared" si="0"/>
        <v/>
      </c>
      <c r="E13" s="8" t="str">
        <f t="shared" si="1"/>
        <v/>
      </c>
    </row>
    <row r="14" spans="2:11" x14ac:dyDescent="0.3">
      <c r="B14" s="14" t="s">
        <v>9</v>
      </c>
      <c r="C14" s="49"/>
      <c r="D14" s="9" t="str">
        <f t="shared" si="0"/>
        <v/>
      </c>
      <c r="E14" s="8" t="str">
        <f t="shared" si="1"/>
        <v/>
      </c>
    </row>
    <row r="15" spans="2:11" x14ac:dyDescent="0.3">
      <c r="B15" s="14" t="s">
        <v>10</v>
      </c>
      <c r="C15" s="49"/>
      <c r="D15" s="9" t="str">
        <f t="shared" si="0"/>
        <v/>
      </c>
      <c r="E15" s="8" t="str">
        <f t="shared" si="1"/>
        <v/>
      </c>
    </row>
    <row r="16" spans="2:11" x14ac:dyDescent="0.3">
      <c r="B16" s="14" t="s">
        <v>11</v>
      </c>
      <c r="C16" s="49"/>
      <c r="D16" s="9" t="str">
        <f t="shared" si="0"/>
        <v/>
      </c>
      <c r="E16" s="8" t="str">
        <f t="shared" si="1"/>
        <v/>
      </c>
    </row>
    <row r="17" spans="2:11" x14ac:dyDescent="0.3">
      <c r="B17" s="14" t="s">
        <v>12</v>
      </c>
      <c r="C17" s="49"/>
      <c r="D17" s="9" t="str">
        <f t="shared" si="0"/>
        <v/>
      </c>
      <c r="E17" s="8" t="str">
        <f t="shared" si="1"/>
        <v/>
      </c>
    </row>
    <row r="18" spans="2:11" x14ac:dyDescent="0.3">
      <c r="B18" s="14" t="s">
        <v>13</v>
      </c>
      <c r="C18" s="49"/>
      <c r="D18" s="9" t="str">
        <f t="shared" si="0"/>
        <v/>
      </c>
      <c r="E18" s="8" t="str">
        <f t="shared" si="1"/>
        <v/>
      </c>
    </row>
    <row r="19" spans="2:11" x14ac:dyDescent="0.3">
      <c r="B19" s="14" t="s">
        <v>14</v>
      </c>
      <c r="C19" s="49"/>
      <c r="D19" s="9" t="str">
        <f t="shared" si="0"/>
        <v/>
      </c>
      <c r="E19" s="8" t="str">
        <f t="shared" si="1"/>
        <v/>
      </c>
    </row>
    <row r="21" spans="2:11" ht="15" thickBot="1" x14ac:dyDescent="0.35"/>
    <row r="22" spans="2:11" ht="23.25" customHeight="1" thickBot="1" x14ac:dyDescent="0.35">
      <c r="B22" s="171" t="s">
        <v>212</v>
      </c>
      <c r="C22" s="172"/>
      <c r="D22" s="172"/>
      <c r="E22" s="172"/>
      <c r="F22" s="172"/>
      <c r="G22" s="172"/>
      <c r="H22" s="172"/>
      <c r="I22" s="172"/>
      <c r="J22" s="172"/>
      <c r="K22" s="173"/>
    </row>
    <row r="25" spans="2:11" ht="93.6" x14ac:dyDescent="0.3">
      <c r="B25" s="10" t="s">
        <v>2</v>
      </c>
      <c r="C25" s="7" t="s">
        <v>47</v>
      </c>
      <c r="D25" s="7" t="s">
        <v>44</v>
      </c>
      <c r="E25" s="7" t="s">
        <v>49</v>
      </c>
      <c r="F25" s="7" t="s">
        <v>50</v>
      </c>
      <c r="G25" s="7" t="s">
        <v>121</v>
      </c>
      <c r="H25" s="7" t="s">
        <v>122</v>
      </c>
    </row>
    <row r="26" spans="2:11" x14ac:dyDescent="0.3">
      <c r="B26" s="34"/>
      <c r="C26" s="35"/>
      <c r="D26" s="18"/>
      <c r="E26" s="18"/>
      <c r="F26" t="str">
        <f>CONCATENATE(C26," ",D26)</f>
        <v xml:space="preserve"> </v>
      </c>
      <c r="G26" s="19" t="str">
        <f>IF(ISBLANK(E26),"",VLOOKUP(F26,Procedures[#All],5,FALSE))</f>
        <v/>
      </c>
      <c r="H26" s="40" t="str">
        <f>IF(ISBLANK(E26),"",E26*G26)</f>
        <v/>
      </c>
    </row>
    <row r="27" spans="2:11" x14ac:dyDescent="0.3">
      <c r="B27" s="34"/>
      <c r="C27" s="35"/>
      <c r="D27" s="18"/>
      <c r="E27" s="18"/>
      <c r="F27" t="str">
        <f>CONCATENATE(C27," ",D27)</f>
        <v xml:space="preserve"> </v>
      </c>
      <c r="G27" s="19" t="str">
        <f>IF(ISBLANK(E27),"",VLOOKUP(F27,Procedures[#All],5,FALSE))</f>
        <v/>
      </c>
      <c r="H27" s="40" t="str">
        <f t="shared" ref="H27:H41" si="2">IF(ISBLANK(E27),"",E27*G27)</f>
        <v/>
      </c>
    </row>
    <row r="28" spans="2:11" x14ac:dyDescent="0.3">
      <c r="B28" s="34"/>
      <c r="C28" s="35"/>
      <c r="D28" s="18"/>
      <c r="E28" s="18"/>
      <c r="F28" t="str">
        <f t="shared" ref="F28:F41" si="3">CONCATENATE(C28," ",D28)</f>
        <v xml:space="preserve"> </v>
      </c>
      <c r="G28" s="19" t="str">
        <f>IF(ISBLANK(E28),"",VLOOKUP(F28,Procedures[#All],5,FALSE))</f>
        <v/>
      </c>
      <c r="H28" s="40" t="str">
        <f t="shared" si="2"/>
        <v/>
      </c>
    </row>
    <row r="29" spans="2:11" x14ac:dyDescent="0.3">
      <c r="B29" s="34"/>
      <c r="C29" s="35"/>
      <c r="D29" s="18"/>
      <c r="E29" s="18"/>
      <c r="F29" t="str">
        <f t="shared" si="3"/>
        <v xml:space="preserve"> </v>
      </c>
      <c r="G29" s="19" t="str">
        <f>IF(ISBLANK(E29),"",VLOOKUP(F29,Procedures[#All],5,FALSE))</f>
        <v/>
      </c>
      <c r="H29" s="40" t="str">
        <f t="shared" si="2"/>
        <v/>
      </c>
    </row>
    <row r="30" spans="2:11" x14ac:dyDescent="0.3">
      <c r="B30" s="34"/>
      <c r="C30" s="35"/>
      <c r="D30" s="18"/>
      <c r="E30" s="18"/>
      <c r="F30" t="str">
        <f t="shared" si="3"/>
        <v xml:space="preserve"> </v>
      </c>
      <c r="G30" s="19" t="str">
        <f>IF(ISBLANK(E30),"",VLOOKUP(F30,Procedures[#All],5,FALSE))</f>
        <v/>
      </c>
      <c r="H30" s="40" t="str">
        <f t="shared" si="2"/>
        <v/>
      </c>
    </row>
    <row r="31" spans="2:11" x14ac:dyDescent="0.3">
      <c r="B31" s="34"/>
      <c r="C31" s="35"/>
      <c r="D31" s="18"/>
      <c r="E31" s="18"/>
      <c r="F31" t="str">
        <f t="shared" si="3"/>
        <v xml:space="preserve"> </v>
      </c>
      <c r="G31" s="19" t="str">
        <f>IF(ISBLANK(E31),"",VLOOKUP(F31,Procedures[#All],5,FALSE))</f>
        <v/>
      </c>
      <c r="H31" s="40" t="str">
        <f t="shared" si="2"/>
        <v/>
      </c>
    </row>
    <row r="32" spans="2:11" x14ac:dyDescent="0.3">
      <c r="B32" s="34"/>
      <c r="C32" s="35"/>
      <c r="D32" s="18"/>
      <c r="E32" s="18"/>
      <c r="F32" t="str">
        <f t="shared" si="3"/>
        <v xml:space="preserve"> </v>
      </c>
      <c r="G32" s="19" t="str">
        <f>IF(ISBLANK(E32),"",VLOOKUP(F32,Procedures[#All],5,FALSE))</f>
        <v/>
      </c>
      <c r="H32" s="40" t="str">
        <f t="shared" si="2"/>
        <v/>
      </c>
    </row>
    <row r="33" spans="2:8" x14ac:dyDescent="0.3">
      <c r="B33" s="34"/>
      <c r="C33" s="35"/>
      <c r="D33" s="18"/>
      <c r="E33" s="18"/>
      <c r="F33" t="str">
        <f t="shared" si="3"/>
        <v xml:space="preserve"> </v>
      </c>
      <c r="G33" s="19" t="str">
        <f>IF(ISBLANK(E33),"",VLOOKUP(F33,Procedures[#All],5,FALSE))</f>
        <v/>
      </c>
      <c r="H33" s="40" t="str">
        <f t="shared" si="2"/>
        <v/>
      </c>
    </row>
    <row r="34" spans="2:8" x14ac:dyDescent="0.3">
      <c r="B34" s="34"/>
      <c r="C34" s="35"/>
      <c r="D34" s="18"/>
      <c r="E34" s="18"/>
      <c r="F34" t="str">
        <f t="shared" si="3"/>
        <v xml:space="preserve"> </v>
      </c>
      <c r="G34" s="19" t="str">
        <f>IF(ISBLANK(E34),"",VLOOKUP(F34,Procedures[#All],5,FALSE))</f>
        <v/>
      </c>
      <c r="H34" s="40" t="str">
        <f t="shared" si="2"/>
        <v/>
      </c>
    </row>
    <row r="35" spans="2:8" x14ac:dyDescent="0.3">
      <c r="B35" s="34"/>
      <c r="C35" s="35"/>
      <c r="D35" s="18"/>
      <c r="E35" s="18"/>
      <c r="F35" t="str">
        <f t="shared" si="3"/>
        <v xml:space="preserve"> </v>
      </c>
      <c r="G35" s="19" t="str">
        <f>IF(ISBLANK(E35),"",VLOOKUP(F35,Procedures[#All],5,FALSE))</f>
        <v/>
      </c>
      <c r="H35" s="40" t="str">
        <f t="shared" si="2"/>
        <v/>
      </c>
    </row>
    <row r="36" spans="2:8" x14ac:dyDescent="0.3">
      <c r="B36" s="34"/>
      <c r="C36" s="35"/>
      <c r="D36" s="18"/>
      <c r="E36" s="18"/>
      <c r="F36" t="str">
        <f t="shared" si="3"/>
        <v xml:space="preserve"> </v>
      </c>
      <c r="G36" s="19" t="str">
        <f>IF(ISBLANK(E36),"",VLOOKUP(F36,Procedures[#All],5,FALSE))</f>
        <v/>
      </c>
      <c r="H36" s="40" t="str">
        <f t="shared" si="2"/>
        <v/>
      </c>
    </row>
    <row r="37" spans="2:8" x14ac:dyDescent="0.3">
      <c r="B37" s="34"/>
      <c r="C37" s="35"/>
      <c r="D37" s="18"/>
      <c r="E37" s="18"/>
      <c r="F37" t="str">
        <f t="shared" si="3"/>
        <v xml:space="preserve"> </v>
      </c>
      <c r="G37" s="19" t="str">
        <f>IF(ISBLANK(E37),"",VLOOKUP(F37,Procedures[#All],5,FALSE))</f>
        <v/>
      </c>
      <c r="H37" s="40" t="str">
        <f t="shared" si="2"/>
        <v/>
      </c>
    </row>
    <row r="38" spans="2:8" x14ac:dyDescent="0.3">
      <c r="B38" s="34"/>
      <c r="C38" s="35"/>
      <c r="D38" s="18"/>
      <c r="E38" s="18"/>
      <c r="F38" t="str">
        <f t="shared" si="3"/>
        <v xml:space="preserve"> </v>
      </c>
      <c r="G38" s="19" t="str">
        <f>IF(ISBLANK(E38),"",VLOOKUP(F38,Procedures[#All],5,FALSE))</f>
        <v/>
      </c>
      <c r="H38" s="40" t="str">
        <f t="shared" si="2"/>
        <v/>
      </c>
    </row>
    <row r="39" spans="2:8" x14ac:dyDescent="0.3">
      <c r="B39" s="34"/>
      <c r="C39" s="35"/>
      <c r="D39" s="18"/>
      <c r="E39" s="18"/>
      <c r="F39" t="str">
        <f t="shared" si="3"/>
        <v xml:space="preserve"> </v>
      </c>
      <c r="G39" s="19" t="str">
        <f>IF(ISBLANK(E39),"",VLOOKUP(F39,Procedures[#All],5,FALSE))</f>
        <v/>
      </c>
      <c r="H39" s="40" t="str">
        <f t="shared" si="2"/>
        <v/>
      </c>
    </row>
    <row r="40" spans="2:8" x14ac:dyDescent="0.3">
      <c r="B40" s="34"/>
      <c r="C40" s="35"/>
      <c r="D40" s="18"/>
      <c r="E40" s="18"/>
      <c r="F40" t="str">
        <f t="shared" si="3"/>
        <v xml:space="preserve"> </v>
      </c>
      <c r="G40" s="19" t="str">
        <f>IF(ISBLANK(E40),"",VLOOKUP(F40,Procedures[#All],5,FALSE))</f>
        <v/>
      </c>
      <c r="H40" s="40" t="str">
        <f t="shared" si="2"/>
        <v/>
      </c>
    </row>
    <row r="41" spans="2:8" x14ac:dyDescent="0.3">
      <c r="B41" s="34"/>
      <c r="C41" s="35"/>
      <c r="D41" s="18"/>
      <c r="E41" s="18"/>
      <c r="F41" t="str">
        <f t="shared" si="3"/>
        <v xml:space="preserve"> </v>
      </c>
      <c r="G41" s="19" t="str">
        <f>IF(ISBLANK(E41),"",VLOOKUP(F41,Procedures[#All],5,FALSE))</f>
        <v/>
      </c>
      <c r="H41" s="40" t="str">
        <f t="shared" si="2"/>
        <v/>
      </c>
    </row>
    <row r="44" spans="2:8" ht="31.8" thickBot="1" x14ac:dyDescent="0.35">
      <c r="B44" s="10" t="s">
        <v>2</v>
      </c>
      <c r="C44" s="7" t="s">
        <v>41</v>
      </c>
    </row>
    <row r="45" spans="2:8" ht="15" thickTop="1" x14ac:dyDescent="0.3">
      <c r="B45" s="11" t="s">
        <v>5</v>
      </c>
      <c r="C45" s="39">
        <f>SUMIF($B$26:$B$41,B45,$H$26:$H$41)</f>
        <v>0</v>
      </c>
    </row>
    <row r="46" spans="2:8" x14ac:dyDescent="0.3">
      <c r="B46" s="14" t="s">
        <v>6</v>
      </c>
      <c r="C46" s="39">
        <f t="shared" ref="C46:C54" si="4">SUMIF($B$26:$B$41,B46,$H$26:$H$41)</f>
        <v>0</v>
      </c>
    </row>
    <row r="47" spans="2:8" x14ac:dyDescent="0.3">
      <c r="B47" s="14" t="s">
        <v>7</v>
      </c>
      <c r="C47" s="39">
        <f t="shared" si="4"/>
        <v>0</v>
      </c>
    </row>
    <row r="48" spans="2:8" x14ac:dyDescent="0.3">
      <c r="B48" s="14" t="s">
        <v>8</v>
      </c>
      <c r="C48" s="39">
        <f t="shared" si="4"/>
        <v>0</v>
      </c>
    </row>
    <row r="49" spans="2:3" x14ac:dyDescent="0.3">
      <c r="B49" s="14" t="s">
        <v>9</v>
      </c>
      <c r="C49" s="39">
        <f t="shared" si="4"/>
        <v>0</v>
      </c>
    </row>
    <row r="50" spans="2:3" x14ac:dyDescent="0.3">
      <c r="B50" s="14" t="s">
        <v>10</v>
      </c>
      <c r="C50" s="39">
        <f t="shared" si="4"/>
        <v>0</v>
      </c>
    </row>
    <row r="51" spans="2:3" x14ac:dyDescent="0.3">
      <c r="B51" s="14" t="s">
        <v>11</v>
      </c>
      <c r="C51" s="39">
        <f t="shared" si="4"/>
        <v>0</v>
      </c>
    </row>
    <row r="52" spans="2:3" x14ac:dyDescent="0.3">
      <c r="B52" s="14" t="s">
        <v>12</v>
      </c>
      <c r="C52" s="39">
        <f t="shared" si="4"/>
        <v>0</v>
      </c>
    </row>
    <row r="53" spans="2:3" x14ac:dyDescent="0.3">
      <c r="B53" s="14" t="s">
        <v>13</v>
      </c>
      <c r="C53" s="39">
        <f t="shared" si="4"/>
        <v>0</v>
      </c>
    </row>
    <row r="54" spans="2:3" x14ac:dyDescent="0.3">
      <c r="B54" s="14" t="s">
        <v>14</v>
      </c>
      <c r="C54" s="39">
        <f t="shared" si="4"/>
        <v>0</v>
      </c>
    </row>
  </sheetData>
  <mergeCells count="3">
    <mergeCell ref="B2:K2"/>
    <mergeCell ref="B4:K4"/>
    <mergeCell ref="B22:K22"/>
  </mergeCells>
  <dataValidations count="1">
    <dataValidation type="whole" allowBlank="1" showInputMessage="1" showErrorMessage="1" sqref="C7" xr:uid="{CBF4DDEC-C5F3-487B-95E7-263C561A50AA}">
      <formula1>1</formula1>
      <formula2>1000</formula2>
    </dataValidation>
  </dataValidations>
  <pageMargins left="0.7" right="0.7" top="0.75" bottom="0.75" header="0.3" footer="0.3"/>
  <pageSetup paperSize="5" orientation="landscape" r:id="rId1"/>
  <ignoredErrors>
    <ignoredError sqref="D10:D19"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440A724-707C-40E0-9A7C-5860C1098BB3}">
          <x14:formula1>
            <xm:f>'Reference Tables'!$C$64:$C$73</xm:f>
          </x14:formula1>
          <xm:sqref>B26:B41</xm:sqref>
        </x14:dataValidation>
        <x14:dataValidation type="list" allowBlank="1" showInputMessage="1" showErrorMessage="1" xr:uid="{246BDB39-6547-4967-B4D2-CC411ACA8A5B}">
          <x14:formula1>
            <xm:f>'Reference Tables'!$C$21:$C$52</xm:f>
          </x14:formula1>
          <xm:sqref>C26:C41</xm:sqref>
        </x14:dataValidation>
        <x14:dataValidation type="list" allowBlank="1" showInputMessage="1" showErrorMessage="1" xr:uid="{1FF1C6F5-A405-49CA-91EA-AE3E5EBCBC39}">
          <x14:formula1>
            <xm:f>'Reference Tables'!$D$21:$D$34</xm:f>
          </x14:formula1>
          <xm:sqref>D26:D41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7B2F-9E5B-4E39-AA25-80AED485AA94}">
  <sheetPr>
    <tabColor rgb="FFD4BFC5"/>
    <pageSetUpPr autoPageBreaks="0"/>
  </sheetPr>
  <dimension ref="A2:O19"/>
  <sheetViews>
    <sheetView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2" spans="2:11" ht="23.25" customHeight="1" x14ac:dyDescent="0.3">
      <c r="B2" s="174" t="s">
        <v>213</v>
      </c>
      <c r="C2" s="174"/>
      <c r="D2" s="174"/>
      <c r="E2" s="174"/>
      <c r="F2" s="174"/>
      <c r="G2" s="174"/>
      <c r="H2" s="174"/>
      <c r="I2" s="174"/>
      <c r="J2" s="174"/>
      <c r="K2" s="174"/>
    </row>
    <row r="3" spans="2:11" ht="15" thickBot="1" x14ac:dyDescent="0.35"/>
    <row r="4" spans="2:11" ht="104.4" customHeight="1" thickBot="1" x14ac:dyDescent="0.35">
      <c r="B4" s="167" t="s">
        <v>136</v>
      </c>
      <c r="C4" s="165"/>
      <c r="D4" s="165"/>
      <c r="E4" s="165"/>
      <c r="F4" s="165"/>
      <c r="G4" s="165"/>
      <c r="H4" s="165"/>
      <c r="I4" s="165"/>
      <c r="J4" s="165"/>
      <c r="K4" s="166"/>
    </row>
    <row r="7" spans="2:11" ht="31.2" x14ac:dyDescent="0.3">
      <c r="B7" s="5" t="s">
        <v>4</v>
      </c>
      <c r="C7" s="6"/>
    </row>
    <row r="9" spans="2:11" ht="47.4" thickBot="1" x14ac:dyDescent="0.35">
      <c r="B9" s="10" t="s">
        <v>2</v>
      </c>
      <c r="C9" s="7" t="s">
        <v>128</v>
      </c>
      <c r="D9" s="7" t="s">
        <v>52</v>
      </c>
      <c r="E9" s="7" t="s">
        <v>15</v>
      </c>
    </row>
    <row r="10" spans="2:11" ht="15" thickTop="1" x14ac:dyDescent="0.3">
      <c r="B10" s="11" t="s">
        <v>5</v>
      </c>
      <c r="C10" s="48"/>
      <c r="D10" s="12" t="str">
        <f t="shared" ref="D10:D19" si="0">(IF(ISBLANK(C$7),"","N/A - Sample"))</f>
        <v/>
      </c>
      <c r="E10" s="13" t="str">
        <f>IF(ISBLANK(C10),"",(C10/(IF(ISBLANK(C$7),D10,C$7))))</f>
        <v/>
      </c>
    </row>
    <row r="11" spans="2:11" x14ac:dyDescent="0.3">
      <c r="B11" s="14" t="s">
        <v>6</v>
      </c>
      <c r="C11" s="49"/>
      <c r="D11" s="9" t="str">
        <f t="shared" si="0"/>
        <v/>
      </c>
      <c r="E11" s="8" t="str">
        <f t="shared" ref="E11:E19" si="1">IF(ISBLANK(C11),"",(C11/(IF(ISBLANK(C$7),D11,C$7))))</f>
        <v/>
      </c>
    </row>
    <row r="12" spans="2:11" x14ac:dyDescent="0.3">
      <c r="B12" s="14" t="s">
        <v>7</v>
      </c>
      <c r="C12" s="49"/>
      <c r="D12" s="9" t="str">
        <f t="shared" si="0"/>
        <v/>
      </c>
      <c r="E12" s="8" t="str">
        <f t="shared" si="1"/>
        <v/>
      </c>
    </row>
    <row r="13" spans="2:11" x14ac:dyDescent="0.3">
      <c r="B13" s="14" t="s">
        <v>8</v>
      </c>
      <c r="C13" s="49"/>
      <c r="D13" s="9" t="str">
        <f t="shared" si="0"/>
        <v/>
      </c>
      <c r="E13" s="8" t="str">
        <f t="shared" si="1"/>
        <v/>
      </c>
    </row>
    <row r="14" spans="2:11" x14ac:dyDescent="0.3">
      <c r="B14" s="14" t="s">
        <v>9</v>
      </c>
      <c r="C14" s="49"/>
      <c r="D14" s="9" t="str">
        <f t="shared" si="0"/>
        <v/>
      </c>
      <c r="E14" s="8" t="str">
        <f t="shared" si="1"/>
        <v/>
      </c>
    </row>
    <row r="15" spans="2:11" x14ac:dyDescent="0.3">
      <c r="B15" s="14" t="s">
        <v>10</v>
      </c>
      <c r="C15" s="49"/>
      <c r="D15" s="9" t="str">
        <f t="shared" si="0"/>
        <v/>
      </c>
      <c r="E15" s="8" t="str">
        <f t="shared" si="1"/>
        <v/>
      </c>
    </row>
    <row r="16" spans="2:11" x14ac:dyDescent="0.3">
      <c r="B16" s="14" t="s">
        <v>11</v>
      </c>
      <c r="C16" s="49"/>
      <c r="D16" s="9" t="str">
        <f t="shared" si="0"/>
        <v/>
      </c>
      <c r="E16" s="8" t="str">
        <f t="shared" si="1"/>
        <v/>
      </c>
    </row>
    <row r="17" spans="2:5" x14ac:dyDescent="0.3">
      <c r="B17" s="14" t="s">
        <v>12</v>
      </c>
      <c r="C17" s="49"/>
      <c r="D17" s="9" t="str">
        <f t="shared" si="0"/>
        <v/>
      </c>
      <c r="E17" s="8" t="str">
        <f t="shared" si="1"/>
        <v/>
      </c>
    </row>
    <row r="18" spans="2:5" x14ac:dyDescent="0.3">
      <c r="B18" s="14" t="s">
        <v>13</v>
      </c>
      <c r="C18" s="49"/>
      <c r="D18" s="9" t="str">
        <f t="shared" si="0"/>
        <v/>
      </c>
      <c r="E18" s="8" t="str">
        <f t="shared" si="1"/>
        <v/>
      </c>
    </row>
    <row r="19" spans="2:5" x14ac:dyDescent="0.3">
      <c r="B19" s="14" t="s">
        <v>14</v>
      </c>
      <c r="C19" s="49"/>
      <c r="D19" s="9" t="str">
        <f t="shared" si="0"/>
        <v/>
      </c>
      <c r="E19" s="8" t="str">
        <f t="shared" si="1"/>
        <v/>
      </c>
    </row>
  </sheetData>
  <mergeCells count="2">
    <mergeCell ref="B2:K2"/>
    <mergeCell ref="B4:K4"/>
  </mergeCells>
  <dataValidations count="1">
    <dataValidation type="whole" allowBlank="1" showInputMessage="1" showErrorMessage="1" sqref="C7" xr:uid="{6EBDE6F1-42A4-48CA-B77A-399BD2FC5FB2}">
      <formula1>1</formula1>
      <formula2>1000</formula2>
    </dataValidation>
  </dataValidations>
  <pageMargins left="0.7" right="0.7" top="0.75" bottom="0.75" header="0.3" footer="0.3"/>
  <pageSetup paperSize="5" orientation="landscape" r:id="rId1"/>
  <ignoredErrors>
    <ignoredError sqref="D10:D19"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8F2A-576D-42C2-954F-656C4C3D9CCB}">
  <sheetPr>
    <tabColor rgb="FFD4BFC5"/>
    <pageSetUpPr autoPageBreaks="0"/>
  </sheetPr>
  <dimension ref="A2:O19"/>
  <sheetViews>
    <sheetView topLeftCell="A14"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2" spans="2:11" ht="23.25" customHeight="1" x14ac:dyDescent="0.3">
      <c r="B2" s="174" t="s">
        <v>214</v>
      </c>
      <c r="C2" s="174"/>
      <c r="D2" s="174"/>
      <c r="E2" s="174"/>
      <c r="F2" s="174"/>
      <c r="G2" s="174"/>
      <c r="H2" s="174"/>
      <c r="I2" s="174"/>
      <c r="J2" s="174"/>
      <c r="K2" s="174"/>
    </row>
    <row r="3" spans="2:11" ht="15" thickBot="1" x14ac:dyDescent="0.35"/>
    <row r="4" spans="2:11" ht="118.2" customHeight="1" thickBot="1" x14ac:dyDescent="0.35">
      <c r="B4" s="167" t="s">
        <v>137</v>
      </c>
      <c r="C4" s="165"/>
      <c r="D4" s="165"/>
      <c r="E4" s="165"/>
      <c r="F4" s="165"/>
      <c r="G4" s="165"/>
      <c r="H4" s="165"/>
      <c r="I4" s="165"/>
      <c r="J4" s="165"/>
      <c r="K4" s="166"/>
    </row>
    <row r="7" spans="2:11" ht="31.2" x14ac:dyDescent="0.3">
      <c r="B7" s="5" t="s">
        <v>4</v>
      </c>
      <c r="C7" s="6"/>
    </row>
    <row r="9" spans="2:11" ht="78.599999999999994" thickBot="1" x14ac:dyDescent="0.35">
      <c r="B9" s="10" t="s">
        <v>2</v>
      </c>
      <c r="C9" s="7" t="s">
        <v>56</v>
      </c>
      <c r="D9" s="7" t="s">
        <v>54</v>
      </c>
      <c r="E9" s="7" t="s">
        <v>15</v>
      </c>
    </row>
    <row r="10" spans="2:11" ht="15" thickTop="1" x14ac:dyDescent="0.3">
      <c r="B10" s="11" t="s">
        <v>5</v>
      </c>
      <c r="C10" s="48"/>
      <c r="D10" s="12" t="str">
        <f t="shared" ref="D10:D19" si="0">(IF(ISBLANK(C$7),"","N/A - Sample"))</f>
        <v/>
      </c>
      <c r="E10" s="13" t="str">
        <f>IF(ISBLANK(C10),"",(C10/(IF(ISBLANK(C$7),D10,C$7))))</f>
        <v/>
      </c>
    </row>
    <row r="11" spans="2:11" x14ac:dyDescent="0.3">
      <c r="B11" s="14" t="s">
        <v>6</v>
      </c>
      <c r="C11" s="49"/>
      <c r="D11" s="9" t="str">
        <f t="shared" si="0"/>
        <v/>
      </c>
      <c r="E11" s="8" t="str">
        <f t="shared" ref="E11:E19" si="1">IF(ISBLANK(C11),"",(C11/(IF(ISBLANK(C$7),D11,C$7))))</f>
        <v/>
      </c>
    </row>
    <row r="12" spans="2:11" x14ac:dyDescent="0.3">
      <c r="B12" s="14" t="s">
        <v>7</v>
      </c>
      <c r="C12" s="49"/>
      <c r="D12" s="9" t="str">
        <f t="shared" si="0"/>
        <v/>
      </c>
      <c r="E12" s="8" t="str">
        <f t="shared" si="1"/>
        <v/>
      </c>
    </row>
    <row r="13" spans="2:11" x14ac:dyDescent="0.3">
      <c r="B13" s="14" t="s">
        <v>8</v>
      </c>
      <c r="C13" s="49"/>
      <c r="D13" s="9" t="str">
        <f t="shared" si="0"/>
        <v/>
      </c>
      <c r="E13" s="8" t="str">
        <f t="shared" si="1"/>
        <v/>
      </c>
    </row>
    <row r="14" spans="2:11" x14ac:dyDescent="0.3">
      <c r="B14" s="14" t="s">
        <v>9</v>
      </c>
      <c r="C14" s="49"/>
      <c r="D14" s="9" t="str">
        <f t="shared" si="0"/>
        <v/>
      </c>
      <c r="E14" s="8" t="str">
        <f t="shared" si="1"/>
        <v/>
      </c>
    </row>
    <row r="15" spans="2:11" x14ac:dyDescent="0.3">
      <c r="B15" s="14" t="s">
        <v>10</v>
      </c>
      <c r="C15" s="49"/>
      <c r="D15" s="9" t="str">
        <f t="shared" si="0"/>
        <v/>
      </c>
      <c r="E15" s="8" t="str">
        <f t="shared" si="1"/>
        <v/>
      </c>
    </row>
    <row r="16" spans="2:11" x14ac:dyDescent="0.3">
      <c r="B16" s="14" t="s">
        <v>11</v>
      </c>
      <c r="C16" s="49"/>
      <c r="D16" s="9" t="str">
        <f t="shared" si="0"/>
        <v/>
      </c>
      <c r="E16" s="8" t="str">
        <f t="shared" si="1"/>
        <v/>
      </c>
    </row>
    <row r="17" spans="2:5" x14ac:dyDescent="0.3">
      <c r="B17" s="14" t="s">
        <v>12</v>
      </c>
      <c r="C17" s="49"/>
      <c r="D17" s="9" t="str">
        <f t="shared" si="0"/>
        <v/>
      </c>
      <c r="E17" s="8" t="str">
        <f t="shared" si="1"/>
        <v/>
      </c>
    </row>
    <row r="18" spans="2:5" x14ac:dyDescent="0.3">
      <c r="B18" s="14" t="s">
        <v>13</v>
      </c>
      <c r="C18" s="49"/>
      <c r="D18" s="9" t="str">
        <f t="shared" si="0"/>
        <v/>
      </c>
      <c r="E18" s="8" t="str">
        <f t="shared" si="1"/>
        <v/>
      </c>
    </row>
    <row r="19" spans="2:5" x14ac:dyDescent="0.3">
      <c r="B19" s="14" t="s">
        <v>14</v>
      </c>
      <c r="C19" s="49"/>
      <c r="D19" s="9" t="str">
        <f t="shared" si="0"/>
        <v/>
      </c>
      <c r="E19" s="8" t="str">
        <f t="shared" si="1"/>
        <v/>
      </c>
    </row>
  </sheetData>
  <mergeCells count="2">
    <mergeCell ref="B2:K2"/>
    <mergeCell ref="B4:K4"/>
  </mergeCells>
  <dataValidations count="1">
    <dataValidation type="whole" allowBlank="1" showInputMessage="1" showErrorMessage="1" sqref="C7" xr:uid="{13A29DF3-123F-4724-A259-FE34EAEF0502}">
      <formula1>1</formula1>
      <formula2>1000</formula2>
    </dataValidation>
  </dataValidations>
  <pageMargins left="0.7" right="0.7" top="0.75" bottom="0.75" header="0.3" footer="0.3"/>
  <pageSetup paperSize="5" orientation="landscape" r:id="rId1"/>
  <ignoredErrors>
    <ignoredError sqref="D10:D19"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781A-1FCD-42E9-9B1C-FCD8BADE2835}">
  <sheetPr>
    <tabColor rgb="FFD4BFC5"/>
    <pageSetUpPr autoPageBreaks="0"/>
  </sheetPr>
  <dimension ref="A2:O19"/>
  <sheetViews>
    <sheetView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2" spans="2:11" ht="23.25" customHeight="1" x14ac:dyDescent="0.3">
      <c r="B2" s="174" t="s">
        <v>215</v>
      </c>
      <c r="C2" s="174"/>
      <c r="D2" s="174"/>
      <c r="E2" s="174"/>
      <c r="F2" s="174"/>
      <c r="G2" s="174"/>
      <c r="H2" s="174"/>
      <c r="I2" s="174"/>
      <c r="J2" s="174"/>
      <c r="K2" s="174"/>
    </row>
    <row r="3" spans="2:11" ht="15" thickBot="1" x14ac:dyDescent="0.35"/>
    <row r="4" spans="2:11" ht="116.4" customHeight="1" thickBot="1" x14ac:dyDescent="0.35">
      <c r="B4" s="167" t="s">
        <v>138</v>
      </c>
      <c r="C4" s="165"/>
      <c r="D4" s="165"/>
      <c r="E4" s="165"/>
      <c r="F4" s="165"/>
      <c r="G4" s="165"/>
      <c r="H4" s="165"/>
      <c r="I4" s="165"/>
      <c r="J4" s="165"/>
      <c r="K4" s="166"/>
    </row>
    <row r="7" spans="2:11" ht="31.2" x14ac:dyDescent="0.3">
      <c r="B7" s="5" t="s">
        <v>4</v>
      </c>
      <c r="C7" s="6"/>
    </row>
    <row r="9" spans="2:11" ht="78.599999999999994" thickBot="1" x14ac:dyDescent="0.35">
      <c r="B9" s="10" t="s">
        <v>2</v>
      </c>
      <c r="C9" s="7" t="s">
        <v>61</v>
      </c>
      <c r="D9" s="7" t="s">
        <v>54</v>
      </c>
      <c r="E9" s="7" t="s">
        <v>62</v>
      </c>
    </row>
    <row r="10" spans="2:11" ht="15" thickTop="1" x14ac:dyDescent="0.3">
      <c r="B10" s="11" t="s">
        <v>5</v>
      </c>
      <c r="C10" s="48"/>
      <c r="D10" s="12" t="str">
        <f t="shared" ref="D10:D19" si="0">(IF(ISBLANK(C$7),"","N/A - Sample"))</f>
        <v/>
      </c>
      <c r="E10" s="61" t="str">
        <f>IF(ISBLANK(C10),"",(C10/(IF(ISBLANK(C$7),D10,C$7))))</f>
        <v/>
      </c>
    </row>
    <row r="11" spans="2:11" x14ac:dyDescent="0.3">
      <c r="B11" s="14" t="s">
        <v>6</v>
      </c>
      <c r="C11" s="49"/>
      <c r="D11" s="9" t="str">
        <f t="shared" si="0"/>
        <v/>
      </c>
      <c r="E11" s="62" t="str">
        <f t="shared" ref="E11:E19" si="1">IF(ISBLANK(C11),"",(C11/(IF(ISBLANK(C$7),D11,C$7))))</f>
        <v/>
      </c>
    </row>
    <row r="12" spans="2:11" x14ac:dyDescent="0.3">
      <c r="B12" s="14" t="s">
        <v>7</v>
      </c>
      <c r="C12" s="49"/>
      <c r="D12" s="9" t="str">
        <f t="shared" si="0"/>
        <v/>
      </c>
      <c r="E12" s="62" t="str">
        <f t="shared" si="1"/>
        <v/>
      </c>
    </row>
    <row r="13" spans="2:11" x14ac:dyDescent="0.3">
      <c r="B13" s="14" t="s">
        <v>8</v>
      </c>
      <c r="C13" s="49"/>
      <c r="D13" s="9" t="str">
        <f t="shared" si="0"/>
        <v/>
      </c>
      <c r="E13" s="62" t="str">
        <f t="shared" si="1"/>
        <v/>
      </c>
    </row>
    <row r="14" spans="2:11" x14ac:dyDescent="0.3">
      <c r="B14" s="14" t="s">
        <v>9</v>
      </c>
      <c r="C14" s="49"/>
      <c r="D14" s="9" t="str">
        <f t="shared" si="0"/>
        <v/>
      </c>
      <c r="E14" s="62" t="str">
        <f t="shared" si="1"/>
        <v/>
      </c>
    </row>
    <row r="15" spans="2:11" x14ac:dyDescent="0.3">
      <c r="B15" s="14" t="s">
        <v>10</v>
      </c>
      <c r="C15" s="49"/>
      <c r="D15" s="9" t="str">
        <f t="shared" si="0"/>
        <v/>
      </c>
      <c r="E15" s="62" t="str">
        <f t="shared" si="1"/>
        <v/>
      </c>
    </row>
    <row r="16" spans="2:11" x14ac:dyDescent="0.3">
      <c r="B16" s="14" t="s">
        <v>11</v>
      </c>
      <c r="C16" s="49"/>
      <c r="D16" s="9" t="str">
        <f t="shared" si="0"/>
        <v/>
      </c>
      <c r="E16" s="62" t="str">
        <f t="shared" si="1"/>
        <v/>
      </c>
    </row>
    <row r="17" spans="2:5" x14ac:dyDescent="0.3">
      <c r="B17" s="14" t="s">
        <v>12</v>
      </c>
      <c r="C17" s="49"/>
      <c r="D17" s="9" t="str">
        <f t="shared" si="0"/>
        <v/>
      </c>
      <c r="E17" s="62" t="str">
        <f t="shared" si="1"/>
        <v/>
      </c>
    </row>
    <row r="18" spans="2:5" x14ac:dyDescent="0.3">
      <c r="B18" s="14" t="s">
        <v>13</v>
      </c>
      <c r="C18" s="49"/>
      <c r="D18" s="9" t="str">
        <f t="shared" si="0"/>
        <v/>
      </c>
      <c r="E18" s="62" t="str">
        <f t="shared" si="1"/>
        <v/>
      </c>
    </row>
    <row r="19" spans="2:5" x14ac:dyDescent="0.3">
      <c r="B19" s="14" t="s">
        <v>14</v>
      </c>
      <c r="C19" s="49"/>
      <c r="D19" s="9" t="str">
        <f t="shared" si="0"/>
        <v/>
      </c>
      <c r="E19" s="62" t="str">
        <f t="shared" si="1"/>
        <v/>
      </c>
    </row>
  </sheetData>
  <mergeCells count="2">
    <mergeCell ref="B2:K2"/>
    <mergeCell ref="B4:K4"/>
  </mergeCells>
  <dataValidations count="1">
    <dataValidation type="whole" allowBlank="1" showInputMessage="1" showErrorMessage="1" sqref="C7" xr:uid="{3B3F8F7A-3CE3-4715-8D0B-96DFACB72C19}">
      <formula1>1</formula1>
      <formula2>1000</formula2>
    </dataValidation>
  </dataValidations>
  <pageMargins left="0.7" right="0.7" top="0.75" bottom="0.75" header="0.3" footer="0.3"/>
  <pageSetup paperSize="5" orientation="landscape" r:id="rId1"/>
  <ignoredErrors>
    <ignoredError sqref="D10:D19"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3FE20-F944-4E1B-9402-AA92E12D6810}">
  <sheetPr>
    <tabColor rgb="FFC5D7E1"/>
    <pageSetUpPr autoPageBreaks="0"/>
  </sheetPr>
  <dimension ref="A1:O19"/>
  <sheetViews>
    <sheetView topLeftCell="A6"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1" spans="2:11" ht="15" thickBot="1" x14ac:dyDescent="0.35"/>
    <row r="2" spans="2:11" ht="23.25" customHeight="1" thickBot="1" x14ac:dyDescent="0.35">
      <c r="B2" s="171" t="s">
        <v>216</v>
      </c>
      <c r="C2" s="172"/>
      <c r="D2" s="172"/>
      <c r="E2" s="172"/>
      <c r="F2" s="172"/>
      <c r="G2" s="172"/>
      <c r="H2" s="172"/>
      <c r="I2" s="172"/>
      <c r="J2" s="172"/>
      <c r="K2" s="173"/>
    </row>
    <row r="3" spans="2:11" ht="15" thickBot="1" x14ac:dyDescent="0.35"/>
    <row r="4" spans="2:11" ht="104.4" customHeight="1" thickBot="1" x14ac:dyDescent="0.35">
      <c r="B4" s="167" t="s">
        <v>139</v>
      </c>
      <c r="C4" s="165"/>
      <c r="D4" s="165"/>
      <c r="E4" s="165"/>
      <c r="F4" s="165"/>
      <c r="G4" s="165"/>
      <c r="H4" s="165"/>
      <c r="I4" s="165"/>
      <c r="J4" s="165"/>
      <c r="K4" s="166"/>
    </row>
    <row r="7" spans="2:11" ht="31.2" x14ac:dyDescent="0.3">
      <c r="B7" s="5" t="s">
        <v>4</v>
      </c>
      <c r="C7" s="6"/>
    </row>
    <row r="9" spans="2:11" ht="63" thickBot="1" x14ac:dyDescent="0.35">
      <c r="B9" s="10" t="s">
        <v>2</v>
      </c>
      <c r="C9" s="7" t="s">
        <v>53</v>
      </c>
      <c r="D9" s="7" t="s">
        <v>54</v>
      </c>
      <c r="E9" s="7" t="s">
        <v>55</v>
      </c>
    </row>
    <row r="10" spans="2:11" ht="15" thickTop="1" x14ac:dyDescent="0.3">
      <c r="B10" s="11" t="s">
        <v>5</v>
      </c>
      <c r="C10" s="48"/>
      <c r="D10" s="12" t="str">
        <f>(IF(ISBLANK(C$7),"","N/A - Sample"))</f>
        <v/>
      </c>
      <c r="E10" s="61" t="str">
        <f>IF(ISBLANK(C10),"",(C10/(IF(ISBLANK(C$7),D10,C$7))))</f>
        <v/>
      </c>
    </row>
    <row r="11" spans="2:11" x14ac:dyDescent="0.3">
      <c r="B11" s="14" t="s">
        <v>6</v>
      </c>
      <c r="C11" s="49"/>
      <c r="D11" s="9" t="str">
        <f t="shared" ref="D11:D19" si="0">(IF(ISBLANK(C$7),"","N/A - Sample"))</f>
        <v/>
      </c>
      <c r="E11" s="62" t="str">
        <f t="shared" ref="E11:E19" si="1">IF(ISBLANK(C11),"",(C11/(IF(ISBLANK(C$7),D11,C$7))))</f>
        <v/>
      </c>
    </row>
    <row r="12" spans="2:11" x14ac:dyDescent="0.3">
      <c r="B12" s="14" t="s">
        <v>7</v>
      </c>
      <c r="C12" s="49"/>
      <c r="D12" s="9" t="str">
        <f t="shared" si="0"/>
        <v/>
      </c>
      <c r="E12" s="62" t="str">
        <f t="shared" si="1"/>
        <v/>
      </c>
    </row>
    <row r="13" spans="2:11" x14ac:dyDescent="0.3">
      <c r="B13" s="14" t="s">
        <v>8</v>
      </c>
      <c r="C13" s="49"/>
      <c r="D13" s="9" t="str">
        <f t="shared" si="0"/>
        <v/>
      </c>
      <c r="E13" s="62" t="str">
        <f t="shared" si="1"/>
        <v/>
      </c>
    </row>
    <row r="14" spans="2:11" x14ac:dyDescent="0.3">
      <c r="B14" s="14" t="s">
        <v>9</v>
      </c>
      <c r="C14" s="49"/>
      <c r="D14" s="9" t="str">
        <f t="shared" si="0"/>
        <v/>
      </c>
      <c r="E14" s="62" t="str">
        <f t="shared" si="1"/>
        <v/>
      </c>
    </row>
    <row r="15" spans="2:11" x14ac:dyDescent="0.3">
      <c r="B15" s="14" t="s">
        <v>10</v>
      </c>
      <c r="C15" s="49"/>
      <c r="D15" s="9" t="str">
        <f t="shared" si="0"/>
        <v/>
      </c>
      <c r="E15" s="62" t="str">
        <f t="shared" si="1"/>
        <v/>
      </c>
    </row>
    <row r="16" spans="2:11" x14ac:dyDescent="0.3">
      <c r="B16" s="14" t="s">
        <v>11</v>
      </c>
      <c r="C16" s="49"/>
      <c r="D16" s="9" t="str">
        <f t="shared" si="0"/>
        <v/>
      </c>
      <c r="E16" s="62" t="str">
        <f t="shared" si="1"/>
        <v/>
      </c>
    </row>
    <row r="17" spans="2:5" x14ac:dyDescent="0.3">
      <c r="B17" s="14" t="s">
        <v>12</v>
      </c>
      <c r="C17" s="49"/>
      <c r="D17" s="9" t="str">
        <f t="shared" si="0"/>
        <v/>
      </c>
      <c r="E17" s="62" t="str">
        <f t="shared" si="1"/>
        <v/>
      </c>
    </row>
    <row r="18" spans="2:5" x14ac:dyDescent="0.3">
      <c r="B18" s="14" t="s">
        <v>13</v>
      </c>
      <c r="C18" s="49"/>
      <c r="D18" s="9" t="str">
        <f t="shared" si="0"/>
        <v/>
      </c>
      <c r="E18" s="62" t="str">
        <f t="shared" si="1"/>
        <v/>
      </c>
    </row>
    <row r="19" spans="2:5" x14ac:dyDescent="0.3">
      <c r="B19" s="14" t="s">
        <v>14</v>
      </c>
      <c r="C19" s="49"/>
      <c r="D19" s="9" t="str">
        <f t="shared" si="0"/>
        <v/>
      </c>
      <c r="E19" s="62" t="str">
        <f t="shared" si="1"/>
        <v/>
      </c>
    </row>
  </sheetData>
  <mergeCells count="2">
    <mergeCell ref="B2:K2"/>
    <mergeCell ref="B4:K4"/>
  </mergeCells>
  <dataValidations count="1">
    <dataValidation type="whole" allowBlank="1" showInputMessage="1" showErrorMessage="1" sqref="C7" xr:uid="{98C415E9-F042-4297-A843-DDFED3D255D2}">
      <formula1>1</formula1>
      <formula2>1000</formula2>
    </dataValidation>
  </dataValidations>
  <pageMargins left="0.7" right="0.7" top="0.75" bottom="0.75" header="0.3" footer="0.3"/>
  <pageSetup paperSize="5" orientation="landscape" r:id="rId1"/>
  <ignoredErrors>
    <ignoredError sqref="D10:D19"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3B426-12AE-4D04-9C77-A3CEE490CE92}">
  <sheetPr>
    <tabColor rgb="FFD4BFC5"/>
    <pageSetUpPr autoPageBreaks="0"/>
  </sheetPr>
  <dimension ref="A2:O17"/>
  <sheetViews>
    <sheetView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2" spans="2:11" ht="23.25" customHeight="1" x14ac:dyDescent="0.3">
      <c r="B2" s="174" t="s">
        <v>217</v>
      </c>
      <c r="C2" s="174"/>
      <c r="D2" s="174"/>
      <c r="E2" s="174"/>
      <c r="F2" s="174"/>
      <c r="G2" s="174"/>
      <c r="H2" s="174"/>
      <c r="I2" s="174"/>
      <c r="J2" s="174"/>
      <c r="K2" s="174"/>
    </row>
    <row r="3" spans="2:11" ht="15" thickBot="1" x14ac:dyDescent="0.35"/>
    <row r="4" spans="2:11" ht="77.400000000000006" customHeight="1" thickBot="1" x14ac:dyDescent="0.35">
      <c r="B4" s="167" t="s">
        <v>16</v>
      </c>
      <c r="C4" s="165"/>
      <c r="D4" s="165"/>
      <c r="E4" s="165"/>
      <c r="F4" s="165"/>
      <c r="G4" s="165"/>
      <c r="H4" s="165"/>
      <c r="I4" s="165"/>
      <c r="J4" s="165"/>
      <c r="K4" s="166"/>
    </row>
    <row r="7" spans="2:11" ht="63" thickBot="1" x14ac:dyDescent="0.35">
      <c r="B7" s="10" t="s">
        <v>2</v>
      </c>
      <c r="C7" s="7" t="s">
        <v>17</v>
      </c>
      <c r="D7" s="7" t="s">
        <v>18</v>
      </c>
      <c r="E7" s="7" t="s">
        <v>15</v>
      </c>
    </row>
    <row r="8" spans="2:11" ht="15" thickTop="1" x14ac:dyDescent="0.3">
      <c r="B8" s="11" t="s">
        <v>5</v>
      </c>
      <c r="C8" s="48"/>
      <c r="D8" s="12"/>
      <c r="E8" s="13" t="str">
        <f>IF(ISBLANK(C8),"",(C8/D8))</f>
        <v/>
      </c>
    </row>
    <row r="9" spans="2:11" x14ac:dyDescent="0.3">
      <c r="B9" s="14" t="s">
        <v>6</v>
      </c>
      <c r="C9" s="49"/>
      <c r="D9" s="9"/>
      <c r="E9" s="8" t="str">
        <f t="shared" ref="E9:E17" si="0">IF(ISBLANK(C9),"",(C9/D9))</f>
        <v/>
      </c>
    </row>
    <row r="10" spans="2:11" x14ac:dyDescent="0.3">
      <c r="B10" s="14" t="s">
        <v>7</v>
      </c>
      <c r="C10" s="49"/>
      <c r="D10" s="9"/>
      <c r="E10" s="8" t="str">
        <f t="shared" si="0"/>
        <v/>
      </c>
    </row>
    <row r="11" spans="2:11" x14ac:dyDescent="0.3">
      <c r="B11" s="14" t="s">
        <v>8</v>
      </c>
      <c r="C11" s="49"/>
      <c r="D11" s="9"/>
      <c r="E11" s="8" t="str">
        <f t="shared" si="0"/>
        <v/>
      </c>
    </row>
    <row r="12" spans="2:11" x14ac:dyDescent="0.3">
      <c r="B12" s="14" t="s">
        <v>9</v>
      </c>
      <c r="C12" s="49"/>
      <c r="D12" s="9"/>
      <c r="E12" s="8" t="str">
        <f t="shared" si="0"/>
        <v/>
      </c>
    </row>
    <row r="13" spans="2:11" x14ac:dyDescent="0.3">
      <c r="B13" s="14" t="s">
        <v>10</v>
      </c>
      <c r="C13" s="49"/>
      <c r="D13" s="9"/>
      <c r="E13" s="8" t="str">
        <f t="shared" si="0"/>
        <v/>
      </c>
    </row>
    <row r="14" spans="2:11" x14ac:dyDescent="0.3">
      <c r="B14" s="14" t="s">
        <v>11</v>
      </c>
      <c r="C14" s="49"/>
      <c r="D14" s="9"/>
      <c r="E14" s="8" t="str">
        <f t="shared" si="0"/>
        <v/>
      </c>
    </row>
    <row r="15" spans="2:11" x14ac:dyDescent="0.3">
      <c r="B15" s="14" t="s">
        <v>12</v>
      </c>
      <c r="C15" s="49"/>
      <c r="D15" s="9"/>
      <c r="E15" s="8" t="str">
        <f t="shared" si="0"/>
        <v/>
      </c>
    </row>
    <row r="16" spans="2:11" x14ac:dyDescent="0.3">
      <c r="B16" s="14" t="s">
        <v>13</v>
      </c>
      <c r="C16" s="49"/>
      <c r="D16" s="9"/>
      <c r="E16" s="8" t="str">
        <f t="shared" si="0"/>
        <v/>
      </c>
    </row>
    <row r="17" spans="2:5" x14ac:dyDescent="0.3">
      <c r="B17" s="14" t="s">
        <v>14</v>
      </c>
      <c r="C17" s="49"/>
      <c r="D17" s="9"/>
      <c r="E17" s="8" t="str">
        <f t="shared" si="0"/>
        <v/>
      </c>
    </row>
  </sheetData>
  <mergeCells count="2">
    <mergeCell ref="B2:K2"/>
    <mergeCell ref="B4:K4"/>
  </mergeCells>
  <pageMargins left="0.7" right="0.7" top="0.75" bottom="0.75" header="0.3" footer="0.3"/>
  <pageSetup paperSize="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53378259A6EB4DA195289753B7884C" ma:contentTypeVersion="17" ma:contentTypeDescription="Create a new document." ma:contentTypeScope="" ma:versionID="6e99b2a26451f7e264335fcd712e4ab7">
  <xsd:schema xmlns:xsd="http://www.w3.org/2001/XMLSchema" xmlns:xs="http://www.w3.org/2001/XMLSchema" xmlns:p="http://schemas.microsoft.com/office/2006/metadata/properties" xmlns:ns3="e79539f0-4385-4b08-af0b-ded2a4c747d2" xmlns:ns4="3e4c5926-db56-4034-bf74-5cd0f591b6b1" targetNamespace="http://schemas.microsoft.com/office/2006/metadata/properties" ma:root="true" ma:fieldsID="2107b7b876710374dfa9ba6ed3280fca" ns3:_="" ns4:_="">
    <xsd:import namespace="e79539f0-4385-4b08-af0b-ded2a4c747d2"/>
    <xsd:import namespace="3e4c5926-db56-4034-bf74-5cd0f591b6b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539f0-4385-4b08-af0b-ded2a4c747d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4c5926-db56-4034-bf74-5cd0f591b6b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e4c5926-db56-4034-bf74-5cd0f591b6b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9205F3-DD1A-4428-93F1-B3AF980590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9539f0-4385-4b08-af0b-ded2a4c747d2"/>
    <ds:schemaRef ds:uri="3e4c5926-db56-4034-bf74-5cd0f591b6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26A42F-0993-4E29-BEB5-D8956157AC9C}">
  <ds:schemaRef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3e4c5926-db56-4034-bf74-5cd0f591b6b1"/>
    <ds:schemaRef ds:uri="e79539f0-4385-4b08-af0b-ded2a4c747d2"/>
    <ds:schemaRef ds:uri="http://purl.org/dc/terms/"/>
  </ds:schemaRefs>
</ds:datastoreItem>
</file>

<file path=customXml/itemProps3.xml><?xml version="1.0" encoding="utf-8"?>
<ds:datastoreItem xmlns:ds="http://schemas.openxmlformats.org/officeDocument/2006/customXml" ds:itemID="{6399E3F0-93DB-4C52-9380-428012180B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vt:lpstr>
      <vt:lpstr>Anesthetic Gases</vt:lpstr>
      <vt:lpstr>Unnecessary Tests</vt:lpstr>
      <vt:lpstr>Regional Blocks</vt:lpstr>
      <vt:lpstr>Adverse Events</vt:lpstr>
      <vt:lpstr>PACU Usage</vt:lpstr>
      <vt:lpstr>OR Usage</vt:lpstr>
      <vt:lpstr>Post-Op Pain</vt:lpstr>
      <vt:lpstr>Patient Experience</vt:lpstr>
      <vt:lpstr>HCP Experience</vt:lpstr>
      <vt:lpstr>Length of Stay</vt:lpstr>
      <vt:lpstr>Waste Reduction</vt:lpstr>
      <vt:lpstr>Readmissions</vt:lpstr>
      <vt:lpstr>Visits</vt:lpstr>
      <vt:lpstr>Waste Reduction - Example</vt:lpstr>
      <vt:lpstr>Reference Tables</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Donna Molina</dc:creator>
  <cp:keywords/>
  <dc:description/>
  <cp:lastModifiedBy>Andrea Wnuk</cp:lastModifiedBy>
  <cp:revision/>
  <dcterms:created xsi:type="dcterms:W3CDTF">2023-09-20T16:28:15Z</dcterms:created>
  <dcterms:modified xsi:type="dcterms:W3CDTF">2025-07-25T17:42:53Z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0x0101002253378259A6EB4DA195289753B7884C</vt:lpwstr>
  </property>
  <property fmtid="{D5CDD505-2E9C-101B-9397-08002B2CF9AE}" pid="3" name="MediaServiceImageTags">
    <vt:lpwstr/>
  </property>
</Properties>
</file>