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tables/table3.xml" ContentType="application/vnd.openxmlformats-officedocument.spreadsheetml.table+xml"/>
  <Override PartName="/xl/charts/chart7.xml" ContentType="application/vnd.openxmlformats-officedocument.drawingml.chart+xml"/>
  <Override PartName="/xl/drawings/drawing14.xml" ContentType="application/vnd.openxmlformats-officedocument.drawing+xml"/>
  <Override PartName="/xl/tables/table4.xml" ContentType="application/vnd.openxmlformats-officedocument.spreadsheetml.table+xml"/>
  <Override PartName="/xl/charts/chart8.xml" ContentType="application/vnd.openxmlformats-officedocument.drawingml.chart+xml"/>
  <Override PartName="/xl/drawings/drawing15.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drawings/drawing16.xml" ContentType="application/vnd.openxmlformats-officedocument.drawing+xml"/>
  <Override PartName="/xl/tables/table6.xml" ContentType="application/vnd.openxmlformats-officedocument.spreadsheetml.table+xml"/>
  <Override PartName="/xl/charts/chart10.xml" ContentType="application/vnd.openxmlformats-officedocument.drawingml.chart+xml"/>
  <Override PartName="/xl/drawings/drawing17.xml" ContentType="application/vnd.openxmlformats-officedocument.drawing+xml"/>
  <Override PartName="/xl/tables/table7.xml" ContentType="application/vnd.openxmlformats-officedocument.spreadsheetml.table+xml"/>
  <Override PartName="/xl/charts/chart11.xml" ContentType="application/vnd.openxmlformats-officedocument.drawingml.chart+xml"/>
  <Override PartName="/xl/drawings/drawing18.xml" ContentType="application/vnd.openxmlformats-officedocument.drawing+xml"/>
  <Override PartName="/xl/tables/table8.xml" ContentType="application/vnd.openxmlformats-officedocument.spreadsheetml.table+xml"/>
  <Override PartName="/xl/charts/chart12.xml" ContentType="application/vnd.openxmlformats-officedocument.drawingml.chart+xml"/>
  <Override PartName="/xl/drawings/drawing19.xml" ContentType="application/vnd.openxmlformats-officedocument.drawing+xml"/>
  <Override PartName="/xl/tables/table9.xml" ContentType="application/vnd.openxmlformats-officedocument.spreadsheetml.table+xml"/>
  <Override PartName="/xl/charts/chart13.xml" ContentType="application/vnd.openxmlformats-officedocument.drawingml.chart+xml"/>
  <Override PartName="/xl/drawings/drawing2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omments3.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6200" windowHeight="9300" tabRatio="884"/>
  </bookViews>
  <sheets>
    <sheet name="Home" sheetId="12" r:id="rId1"/>
    <sheet name="Instructions" sheetId="16" r:id="rId2"/>
    <sheet name="ResidentData" sheetId="10" r:id="rId3"/>
    <sheet name="PDSAData" sheetId="28" r:id="rId4"/>
    <sheet name="Summary" sheetId="4" r:id="rId5"/>
    <sheet name="Sheet1" sheetId="9" state="hidden" r:id="rId6"/>
    <sheet name="ReductionForm" sheetId="29" r:id="rId7"/>
    <sheet name="CumulativeProg" sheetId="30" state="hidden" r:id="rId8"/>
    <sheet name="ScatterPlot" sheetId="19" r:id="rId9"/>
    <sheet name="Histogram" sheetId="20" r:id="rId10"/>
    <sheet name="Pareto" sheetId="21" r:id="rId11"/>
    <sheet name="RunChart1" sheetId="22" r:id="rId12"/>
    <sheet name="RunChart2" sheetId="25" r:id="rId13"/>
    <sheet name="RunChart3" sheetId="26" r:id="rId14"/>
    <sheet name="RunChart4" sheetId="27" r:id="rId15"/>
    <sheet name="RunChartRules" sheetId="17" r:id="rId16"/>
    <sheet name="ListLookup" sheetId="11" state="hidden" r:id="rId17"/>
    <sheet name="MedList" sheetId="31" r:id="rId18"/>
  </sheets>
  <definedNames>
    <definedName name="_xlnm._FilterDatabase" localSheetId="3" hidden="1">PDSAData!$A$5:$BB$305</definedName>
    <definedName name="_xlnm._FilterDatabase" localSheetId="2" hidden="1">ResidentData!$A$5:$O$68</definedName>
    <definedName name="Graph_AdditionalDataInappropriate">OFFSET(Summary!$L$143,0,0,1,Var_DisplayMonth)</definedName>
    <definedName name="Graph_AdditionalDataTotal">OFFSET(Summary!$L$136,0,0,1,Var_DisplayMonth)</definedName>
    <definedName name="Graph_DataInappropriate">OFFSET(Summary!$L$25,0,0,1,Var_DisplayMonth)</definedName>
    <definedName name="Graph_DataTotal">OFFSET(Summary!$L$18,0,0,1,Var_DisplayMonth)</definedName>
    <definedName name="Graph_OriginalDataInappropriate">OFFSET(Summary!$L$121,0,0,1,Var_DisplayMonth)</definedName>
    <definedName name="Graph_OriginalDataTotal">OFFSET(Summary!$L$114,0,0,1,Var_DisplayMonth)</definedName>
    <definedName name="List_Cohort">OFFSET(ListLookup!$B$3,0,0,COUNTA(ListLookup!$B:$B)-1,1)</definedName>
    <definedName name="List_Diagnosis">OFFSET(ListLookup!$I$3,0,0,COUNTA(ListLookup!$I:$I)-1,1)</definedName>
    <definedName name="List_DRTCheck">OFFSET(ListLookup!$G$3,0,0,COUNTA(ListLookup!$G:$G)-1,1)</definedName>
    <definedName name="List_InterCheck">OFFSET(ListLookup!$F$3,0,0,COUNTA(ListLookup!$F:$F)-1,1)</definedName>
    <definedName name="List_MedCheck">OFFSET(ListLookup!$H$3,0,0,COUNTA(ListLookup!$H:$H)-1,1)</definedName>
    <definedName name="List_MedicationName">OFFSET(ListLookup!$C$3,0,0,COUNTA(ListLookup!$C:$C)-1,1)</definedName>
    <definedName name="List_MedicationStatus">OFFSET(ListLookup!$D$3,0,0,COUNTA(ListLookup!$D:$D)-1,1)</definedName>
    <definedName name="List_MonthDate">OFFSET(ListLookup!$K$3,0,0,COUNTA(ListLookup!$K:$K)-1,1)</definedName>
    <definedName name="List_MonthNum">OFFSET(ListLookup!$J$3,0,0,COUNTA(ListLookup!$J:$J)-1,1)</definedName>
    <definedName name="List_MonthText">OFFSET(ListLookup!$L$3,0,0,COUNTA(ListLookup!$L:$L)-1,1)</definedName>
    <definedName name="List_ResidentNamesSorted">OFFSET(ListLookup!$M$3,0,0,COUNTA(ResidentData!$A:$A)-4,1)</definedName>
    <definedName name="List_ResidentStatus">OFFSET(ListLookup!$A$3,0,0,COUNTA(ListLookup!$A:$A)-1,1)</definedName>
    <definedName name="_xlnm.Print_Area" localSheetId="9">Histogram!$A$1:$P$34</definedName>
    <definedName name="_xlnm.Print_Area" localSheetId="10">Pareto!$A$1:$P$36</definedName>
    <definedName name="_xlnm.Print_Area" localSheetId="6">ReductionForm!$A$3:$P$49,ReductionForm!$R$3:$AG$49</definedName>
    <definedName name="_xlnm.Print_Area" localSheetId="11">RunChart1!$A$1:$Q$42</definedName>
    <definedName name="_xlnm.Print_Area" localSheetId="12">RunChart2!$A$1:$Q$42</definedName>
    <definedName name="_xlnm.Print_Area" localSheetId="13">RunChart3!$A$1:$Q$42</definedName>
    <definedName name="_xlnm.Print_Area" localSheetId="8">ScatterPlot!$A$1:$P$44</definedName>
    <definedName name="_xlnm.Print_Area" localSheetId="4">Summary!$A$2:$AI$192</definedName>
    <definedName name="Rng_HistogramFreq">OFFSET(Histogram!$B$5,0,0,Histogram!$B$2,1)</definedName>
    <definedName name="Rng_ParetoCumulative">OFFSET(Pareto!$E$5,0,0,Pareto!$B$2,1)</definedName>
    <definedName name="Rng_ParetoPercent">OFFSET(Pareto!$D$5,0,0,Pareto!$B$2,1)</definedName>
    <definedName name="Var_DisplayMonth">Summary!$L$35</definedName>
  </definedNames>
  <calcPr calcId="145621"/>
</workbook>
</file>

<file path=xl/calcChain.xml><?xml version="1.0" encoding="utf-8"?>
<calcChain xmlns="http://schemas.openxmlformats.org/spreadsheetml/2006/main">
  <c r="M197" i="11" l="1" a="1"/>
  <c r="M197" i="11" s="1"/>
  <c r="M198" i="11" a="1"/>
  <c r="M198" i="11" s="1"/>
  <c r="M199" i="11" a="1"/>
  <c r="M199" i="11" s="1"/>
  <c r="M200" i="11" a="1"/>
  <c r="M200" i="11" s="1"/>
  <c r="M201" i="11" a="1"/>
  <c r="M201" i="11" s="1"/>
  <c r="M202" i="11" a="1"/>
  <c r="M202" i="11" s="1"/>
  <c r="M203" i="11" a="1"/>
  <c r="M203" i="11" s="1"/>
  <c r="M204" i="11" a="1"/>
  <c r="M204" i="11" s="1"/>
  <c r="M205" i="11" a="1"/>
  <c r="M205" i="11" s="1"/>
  <c r="M206" i="11" a="1"/>
  <c r="M206" i="11" s="1"/>
  <c r="M207" i="11" a="1"/>
  <c r="M207" i="11" s="1"/>
  <c r="M208" i="11" a="1"/>
  <c r="M208" i="11" s="1"/>
  <c r="M209" i="11" a="1"/>
  <c r="M209" i="11" s="1"/>
  <c r="M210" i="11" a="1"/>
  <c r="M210" i="11" s="1"/>
  <c r="M211" i="11" a="1"/>
  <c r="M211" i="11" s="1"/>
  <c r="M212" i="11" a="1"/>
  <c r="M212" i="11" s="1"/>
  <c r="M213" i="11" a="1"/>
  <c r="M213" i="11" s="1"/>
  <c r="M214" i="11" a="1"/>
  <c r="M214" i="11" s="1"/>
  <c r="M215" i="11" a="1"/>
  <c r="M215" i="11" s="1"/>
  <c r="M216" i="11" a="1"/>
  <c r="M216" i="11" s="1"/>
  <c r="M217" i="11" a="1"/>
  <c r="M217" i="11" s="1"/>
  <c r="M218" i="11" a="1"/>
  <c r="M218" i="11" s="1"/>
  <c r="M219" i="11" a="1"/>
  <c r="M219" i="11" s="1"/>
  <c r="M220" i="11" a="1"/>
  <c r="M220" i="11" s="1"/>
  <c r="M221" i="11" a="1"/>
  <c r="M221" i="11" s="1"/>
  <c r="M222" i="11" a="1"/>
  <c r="M222" i="11" s="1"/>
  <c r="M223" i="11" a="1"/>
  <c r="M223" i="11" s="1"/>
  <c r="M224" i="11" a="1"/>
  <c r="M224" i="11" s="1"/>
  <c r="M225" i="11" a="1"/>
  <c r="M225" i="11" s="1"/>
  <c r="M226" i="11" a="1"/>
  <c r="M226" i="11" s="1"/>
  <c r="M227" i="11" a="1"/>
  <c r="M227" i="11" s="1"/>
  <c r="M228" i="11" a="1"/>
  <c r="M228" i="11" s="1"/>
  <c r="M229" i="11" a="1"/>
  <c r="M229" i="11" s="1"/>
  <c r="M230" i="11" a="1"/>
  <c r="M230" i="11" s="1"/>
  <c r="M231" i="11" a="1"/>
  <c r="M231" i="11" s="1"/>
  <c r="M232" i="11" a="1"/>
  <c r="M232" i="11" s="1"/>
  <c r="M233" i="11" a="1"/>
  <c r="M233" i="11" s="1"/>
  <c r="M234" i="11" a="1"/>
  <c r="M234" i="11" s="1"/>
  <c r="M235" i="11" a="1"/>
  <c r="M235" i="11" s="1"/>
  <c r="M236" i="11" a="1"/>
  <c r="M236" i="11" s="1"/>
  <c r="M237" i="11" a="1"/>
  <c r="M237" i="11" s="1"/>
  <c r="M238" i="11" a="1"/>
  <c r="M238" i="11" s="1"/>
  <c r="M239" i="11" a="1"/>
  <c r="M239" i="11" s="1"/>
  <c r="M240" i="11" a="1"/>
  <c r="M240" i="11" s="1"/>
  <c r="M241" i="11" a="1"/>
  <c r="M241" i="11" s="1"/>
  <c r="M242" i="11" a="1"/>
  <c r="M242" i="11" s="1"/>
  <c r="M243" i="11" a="1"/>
  <c r="M243" i="11" s="1"/>
  <c r="M244" i="11" a="1"/>
  <c r="M244" i="11" s="1"/>
  <c r="M245" i="11" a="1"/>
  <c r="M245" i="11" s="1"/>
  <c r="M246" i="11" a="1"/>
  <c r="M246" i="11" s="1"/>
  <c r="M247" i="11" a="1"/>
  <c r="M247" i="11" s="1"/>
  <c r="M248" i="11" a="1"/>
  <c r="M248" i="11" s="1"/>
  <c r="M249" i="11" a="1"/>
  <c r="M249" i="11" s="1"/>
  <c r="M250" i="11" a="1"/>
  <c r="M250" i="11" s="1"/>
  <c r="M251" i="11" a="1"/>
  <c r="M251" i="11" s="1"/>
  <c r="M252" i="11" a="1"/>
  <c r="M252" i="11" s="1"/>
  <c r="M253" i="11" a="1"/>
  <c r="M253" i="11" s="1"/>
  <c r="M254" i="11" a="1"/>
  <c r="M254" i="11" s="1"/>
  <c r="M255" i="11" a="1"/>
  <c r="M255" i="11" s="1"/>
  <c r="M256" i="11" a="1"/>
  <c r="M256" i="11" s="1"/>
  <c r="M257" i="11" a="1"/>
  <c r="M257" i="11" s="1"/>
  <c r="M258" i="11" a="1"/>
  <c r="M258" i="11" s="1"/>
  <c r="M259" i="11" a="1"/>
  <c r="M259" i="11" s="1"/>
  <c r="M260" i="11" a="1"/>
  <c r="M260" i="11" s="1"/>
  <c r="M261" i="11" a="1"/>
  <c r="M261" i="11" s="1"/>
  <c r="M262" i="11" a="1"/>
  <c r="M262" i="11" s="1"/>
  <c r="M263" i="11" a="1"/>
  <c r="M263" i="11" s="1"/>
  <c r="M264" i="11" a="1"/>
  <c r="M264" i="11" s="1"/>
  <c r="M265" i="11" a="1"/>
  <c r="M265" i="11" s="1"/>
  <c r="M266" i="11" a="1"/>
  <c r="M266" i="11" s="1"/>
  <c r="M267" i="11" a="1"/>
  <c r="M267" i="11" s="1"/>
  <c r="M268" i="11" a="1"/>
  <c r="M268" i="11" s="1"/>
  <c r="M269" i="11" a="1"/>
  <c r="M269" i="11" s="1"/>
  <c r="M270" i="11" a="1"/>
  <c r="M270" i="11" s="1"/>
  <c r="M271" i="11" a="1"/>
  <c r="M271" i="11" s="1"/>
  <c r="M272" i="11" a="1"/>
  <c r="M272" i="11" s="1"/>
  <c r="M273" i="11" a="1"/>
  <c r="M273" i="11" s="1"/>
  <c r="M274" i="11" a="1"/>
  <c r="M274" i="11" s="1"/>
  <c r="M275" i="11" a="1"/>
  <c r="M275" i="11" s="1"/>
  <c r="M276" i="11" a="1"/>
  <c r="M276" i="11" s="1"/>
  <c r="M277" i="11" a="1"/>
  <c r="M277" i="11" s="1"/>
  <c r="M278" i="11" a="1"/>
  <c r="M278" i="11" s="1"/>
  <c r="M279" i="11" a="1"/>
  <c r="M279" i="11" s="1"/>
  <c r="M280" i="11" a="1"/>
  <c r="M280" i="11" s="1"/>
  <c r="M281" i="11" a="1"/>
  <c r="M281" i="11" s="1"/>
  <c r="M282" i="11" a="1"/>
  <c r="M282" i="11" s="1"/>
  <c r="M283" i="11" a="1"/>
  <c r="M283" i="11" s="1"/>
  <c r="M284" i="11" a="1"/>
  <c r="M284" i="11" s="1"/>
  <c r="M285" i="11" a="1"/>
  <c r="M285" i="11" s="1"/>
  <c r="M286" i="11" a="1"/>
  <c r="M286" i="11" s="1"/>
  <c r="M287" i="11" a="1"/>
  <c r="M287" i="11" s="1"/>
  <c r="M288" i="11" a="1"/>
  <c r="M288" i="11" s="1"/>
  <c r="M289" i="11" a="1"/>
  <c r="M289" i="11" s="1"/>
  <c r="M290" i="11" a="1"/>
  <c r="M290" i="11" s="1"/>
  <c r="M291" i="11" a="1"/>
  <c r="M291" i="11" s="1"/>
  <c r="M292" i="11" a="1"/>
  <c r="M292" i="11" s="1"/>
  <c r="M293" i="11" a="1"/>
  <c r="M293" i="11" s="1"/>
  <c r="M294" i="11" a="1"/>
  <c r="M294" i="11" s="1"/>
  <c r="M295" i="11" a="1"/>
  <c r="M295" i="11" s="1"/>
  <c r="M296" i="11" a="1"/>
  <c r="M296" i="11" s="1"/>
  <c r="M297" i="11" a="1"/>
  <c r="M297" i="11" s="1"/>
  <c r="M298" i="11" a="1"/>
  <c r="M298" i="11" s="1"/>
  <c r="M299" i="11" a="1"/>
  <c r="M299" i="11" s="1"/>
  <c r="M300" i="11" a="1"/>
  <c r="M300" i="11" s="1"/>
  <c r="M301" i="11" a="1"/>
  <c r="M301" i="11" s="1"/>
  <c r="M302" i="11" a="1"/>
  <c r="M302" i="11" s="1"/>
  <c r="J68" i="4"/>
  <c r="I68" i="4"/>
  <c r="G68" i="4"/>
  <c r="F68" i="4"/>
  <c r="J67" i="4"/>
  <c r="I67" i="4"/>
  <c r="G67" i="4"/>
  <c r="F67" i="4"/>
  <c r="J66" i="4"/>
  <c r="I66" i="4"/>
  <c r="G66" i="4"/>
  <c r="F66" i="4"/>
  <c r="J65" i="4"/>
  <c r="I65" i="4"/>
  <c r="G65" i="4"/>
  <c r="F65" i="4"/>
  <c r="T200" i="10"/>
  <c r="T199" i="10"/>
  <c r="T198" i="10"/>
  <c r="T197" i="10"/>
  <c r="T196" i="10"/>
  <c r="T195" i="10"/>
  <c r="T194" i="10"/>
  <c r="T193" i="10"/>
  <c r="T192" i="10"/>
  <c r="T191" i="10"/>
  <c r="T190" i="10"/>
  <c r="T189" i="10"/>
  <c r="T188" i="10"/>
  <c r="T187" i="10"/>
  <c r="T186" i="10"/>
  <c r="T185" i="10"/>
  <c r="T184" i="10"/>
  <c r="T183" i="10"/>
  <c r="T182" i="10"/>
  <c r="T181" i="10"/>
  <c r="T180" i="10"/>
  <c r="T179" i="10"/>
  <c r="T178" i="10"/>
  <c r="T177" i="10"/>
  <c r="T176" i="10"/>
  <c r="T175" i="10"/>
  <c r="T174" i="10"/>
  <c r="T173" i="10"/>
  <c r="T172" i="10"/>
  <c r="T171" i="10"/>
  <c r="T170" i="10"/>
  <c r="T169" i="10"/>
  <c r="T168" i="10"/>
  <c r="T167" i="10"/>
  <c r="T166" i="10"/>
  <c r="T165" i="10"/>
  <c r="T164" i="10"/>
  <c r="T163" i="10"/>
  <c r="T162" i="10"/>
  <c r="T161" i="10"/>
  <c r="T160" i="10"/>
  <c r="T159" i="10"/>
  <c r="T158" i="10"/>
  <c r="T157" i="10"/>
  <c r="T156" i="10"/>
  <c r="T155" i="10"/>
  <c r="T154" i="10"/>
  <c r="T153" i="10"/>
  <c r="T152" i="10"/>
  <c r="T151" i="10"/>
  <c r="T150" i="10"/>
  <c r="T149" i="10"/>
  <c r="T148" i="10"/>
  <c r="T147" i="10"/>
  <c r="T146" i="10"/>
  <c r="T145" i="10"/>
  <c r="T144" i="10"/>
  <c r="T143" i="10"/>
  <c r="T142" i="10"/>
  <c r="T141" i="10"/>
  <c r="T140" i="10"/>
  <c r="T139" i="10"/>
  <c r="T138" i="10"/>
  <c r="T137" i="10"/>
  <c r="T136" i="10"/>
  <c r="T135" i="10"/>
  <c r="T134" i="10"/>
  <c r="T133" i="10"/>
  <c r="T132" i="10"/>
  <c r="T131" i="10"/>
  <c r="T130" i="10"/>
  <c r="T129" i="10"/>
  <c r="T128" i="10"/>
  <c r="T127" i="10"/>
  <c r="T126" i="10"/>
  <c r="T125" i="10"/>
  <c r="T124" i="10"/>
  <c r="T123" i="10"/>
  <c r="T122" i="10"/>
  <c r="T121" i="10"/>
  <c r="T120" i="10"/>
  <c r="T119" i="10"/>
  <c r="T118" i="10"/>
  <c r="T117" i="10"/>
  <c r="T116" i="10"/>
  <c r="T115" i="10"/>
  <c r="T114" i="10"/>
  <c r="T113" i="10"/>
  <c r="T112" i="10"/>
  <c r="T111" i="10"/>
  <c r="T110" i="10"/>
  <c r="T109" i="10"/>
  <c r="T108" i="10"/>
  <c r="T107" i="10"/>
  <c r="T106" i="10"/>
  <c r="T105" i="10"/>
  <c r="T104" i="10"/>
  <c r="T103" i="10"/>
  <c r="T102" i="10"/>
  <c r="T101" i="10"/>
  <c r="T100" i="10"/>
  <c r="T99" i="10"/>
  <c r="T98" i="10"/>
  <c r="T97" i="10"/>
  <c r="T96" i="10"/>
  <c r="T95" i="10"/>
  <c r="T94" i="10"/>
  <c r="T93" i="10"/>
  <c r="T92" i="10"/>
  <c r="T91" i="10"/>
  <c r="T90" i="10"/>
  <c r="T89" i="10"/>
  <c r="T88" i="10"/>
  <c r="T87" i="10"/>
  <c r="T86" i="10"/>
  <c r="T85" i="10"/>
  <c r="T84" i="10"/>
  <c r="T83" i="10"/>
  <c r="T82" i="10"/>
  <c r="T81" i="10"/>
  <c r="T80" i="10"/>
  <c r="T79" i="10"/>
  <c r="T78" i="10"/>
  <c r="T77" i="10"/>
  <c r="T76" i="10"/>
  <c r="T75" i="10"/>
  <c r="T74" i="10"/>
  <c r="T73" i="10"/>
  <c r="T72" i="10"/>
  <c r="T71" i="10"/>
  <c r="T70" i="10"/>
  <c r="T69" i="10"/>
  <c r="T68" i="10"/>
  <c r="T67" i="10"/>
  <c r="T66" i="10"/>
  <c r="T65" i="10"/>
  <c r="T64" i="10"/>
  <c r="T63" i="10"/>
  <c r="J63" i="4" s="1"/>
  <c r="T62" i="10"/>
  <c r="T61" i="10"/>
  <c r="T60" i="10"/>
  <c r="T59" i="10"/>
  <c r="T58" i="10"/>
  <c r="T57" i="10"/>
  <c r="T56" i="10"/>
  <c r="T55" i="10"/>
  <c r="T54" i="10"/>
  <c r="T53" i="10"/>
  <c r="T52" i="10"/>
  <c r="T51" i="10"/>
  <c r="T50" i="10"/>
  <c r="T49" i="10"/>
  <c r="T48" i="10"/>
  <c r="T47" i="10"/>
  <c r="T46" i="10"/>
  <c r="T45" i="10"/>
  <c r="T44" i="10"/>
  <c r="T43" i="10"/>
  <c r="T42" i="10"/>
  <c r="T41" i="10"/>
  <c r="T40" i="10"/>
  <c r="T39" i="10"/>
  <c r="T38" i="10"/>
  <c r="T37" i="10"/>
  <c r="T36" i="10"/>
  <c r="T35" i="10"/>
  <c r="T34" i="10"/>
  <c r="T33" i="10"/>
  <c r="T32" i="10"/>
  <c r="T31" i="10"/>
  <c r="T30" i="10"/>
  <c r="T29" i="10"/>
  <c r="T28" i="10"/>
  <c r="T27" i="10"/>
  <c r="T26" i="10"/>
  <c r="T25" i="10"/>
  <c r="T24" i="10"/>
  <c r="T23" i="10"/>
  <c r="T22" i="10"/>
  <c r="T21" i="10"/>
  <c r="T20" i="10"/>
  <c r="T19" i="10"/>
  <c r="T18" i="10"/>
  <c r="T17" i="10"/>
  <c r="T16" i="10"/>
  <c r="T15" i="10"/>
  <c r="T14" i="10"/>
  <c r="T13" i="10"/>
  <c r="T12" i="10"/>
  <c r="T11" i="10"/>
  <c r="T10" i="10"/>
  <c r="T9" i="10"/>
  <c r="T8" i="10"/>
  <c r="T7" i="10"/>
  <c r="T6" i="10"/>
  <c r="S200" i="10"/>
  <c r="S199" i="10"/>
  <c r="S198" i="10"/>
  <c r="S197" i="10"/>
  <c r="S196" i="10"/>
  <c r="S195" i="10"/>
  <c r="S194" i="10"/>
  <c r="S193" i="10"/>
  <c r="S192" i="10"/>
  <c r="S191" i="10"/>
  <c r="S190" i="10"/>
  <c r="S189" i="10"/>
  <c r="S188" i="10"/>
  <c r="S187" i="10"/>
  <c r="S186" i="10"/>
  <c r="S185" i="10"/>
  <c r="S184" i="10"/>
  <c r="S183" i="10"/>
  <c r="S182" i="10"/>
  <c r="S181" i="10"/>
  <c r="S180" i="10"/>
  <c r="S179" i="10"/>
  <c r="S178" i="10"/>
  <c r="S177" i="10"/>
  <c r="S176" i="10"/>
  <c r="S175" i="10"/>
  <c r="S174" i="10"/>
  <c r="S173" i="10"/>
  <c r="S172" i="10"/>
  <c r="S171" i="10"/>
  <c r="S170" i="10"/>
  <c r="S169" i="10"/>
  <c r="S168" i="10"/>
  <c r="S167" i="10"/>
  <c r="S166" i="10"/>
  <c r="S165" i="10"/>
  <c r="S164" i="10"/>
  <c r="S163" i="10"/>
  <c r="S162" i="10"/>
  <c r="S161" i="10"/>
  <c r="S160" i="10"/>
  <c r="S159" i="10"/>
  <c r="S158" i="10"/>
  <c r="S157" i="10"/>
  <c r="S156" i="10"/>
  <c r="S155" i="10"/>
  <c r="S154" i="10"/>
  <c r="S153" i="10"/>
  <c r="S152" i="10"/>
  <c r="S151" i="10"/>
  <c r="S150" i="10"/>
  <c r="S149" i="10"/>
  <c r="S148" i="10"/>
  <c r="S147" i="10"/>
  <c r="S146" i="10"/>
  <c r="S145" i="10"/>
  <c r="S144" i="10"/>
  <c r="S143" i="10"/>
  <c r="S142" i="10"/>
  <c r="S141" i="10"/>
  <c r="S140" i="10"/>
  <c r="S139" i="10"/>
  <c r="S138" i="10"/>
  <c r="S137" i="10"/>
  <c r="S136" i="10"/>
  <c r="S135" i="10"/>
  <c r="S134" i="10"/>
  <c r="S133" i="10"/>
  <c r="S132" i="10"/>
  <c r="S131" i="10"/>
  <c r="S130" i="10"/>
  <c r="S129" i="10"/>
  <c r="S128" i="10"/>
  <c r="S127" i="10"/>
  <c r="S126" i="10"/>
  <c r="S125" i="10"/>
  <c r="S124" i="10"/>
  <c r="S123" i="10"/>
  <c r="S122" i="10"/>
  <c r="S121" i="10"/>
  <c r="S120" i="10"/>
  <c r="S119" i="10"/>
  <c r="S118" i="10"/>
  <c r="S117" i="10"/>
  <c r="S116" i="10"/>
  <c r="S115" i="10"/>
  <c r="S114" i="10"/>
  <c r="S113" i="10"/>
  <c r="S112" i="10"/>
  <c r="S111" i="10"/>
  <c r="S110" i="10"/>
  <c r="S109" i="10"/>
  <c r="S108" i="10"/>
  <c r="S107" i="10"/>
  <c r="S106" i="10"/>
  <c r="S105" i="10"/>
  <c r="S104" i="10"/>
  <c r="S103" i="10"/>
  <c r="S102" i="10"/>
  <c r="S101" i="10"/>
  <c r="S100" i="10"/>
  <c r="S99" i="10"/>
  <c r="S98" i="10"/>
  <c r="S97" i="10"/>
  <c r="S96" i="10"/>
  <c r="S95" i="10"/>
  <c r="S94" i="10"/>
  <c r="S93" i="10"/>
  <c r="S92" i="10"/>
  <c r="S91" i="10"/>
  <c r="S90" i="10"/>
  <c r="S89" i="10"/>
  <c r="S88" i="10"/>
  <c r="S87" i="10"/>
  <c r="S86" i="10"/>
  <c r="S85" i="10"/>
  <c r="S84" i="10"/>
  <c r="S83" i="10"/>
  <c r="S82" i="10"/>
  <c r="S81" i="10"/>
  <c r="S80" i="10"/>
  <c r="S79" i="10"/>
  <c r="S78" i="10"/>
  <c r="S77" i="10"/>
  <c r="S76" i="10"/>
  <c r="S75" i="10"/>
  <c r="S74" i="10"/>
  <c r="S73" i="10"/>
  <c r="S72" i="10"/>
  <c r="S71" i="10"/>
  <c r="S70" i="10"/>
  <c r="S69" i="10"/>
  <c r="S68" i="10"/>
  <c r="S67" i="10"/>
  <c r="S66" i="10"/>
  <c r="S65" i="10"/>
  <c r="S64" i="10"/>
  <c r="S63" i="10"/>
  <c r="S62" i="10"/>
  <c r="S61" i="10"/>
  <c r="S60" i="10"/>
  <c r="S59" i="10"/>
  <c r="S58" i="10"/>
  <c r="S57" i="10"/>
  <c r="S56" i="10"/>
  <c r="S55" i="10"/>
  <c r="S54" i="10"/>
  <c r="S53" i="10"/>
  <c r="S52" i="10"/>
  <c r="S51" i="10"/>
  <c r="S50" i="10"/>
  <c r="S49" i="10"/>
  <c r="S48" i="10"/>
  <c r="S47" i="10"/>
  <c r="S46" i="10"/>
  <c r="S45" i="10"/>
  <c r="S44" i="10"/>
  <c r="S43" i="10"/>
  <c r="S42" i="10"/>
  <c r="S41" i="10"/>
  <c r="S40" i="10"/>
  <c r="S39" i="10"/>
  <c r="S38" i="10"/>
  <c r="S37" i="10"/>
  <c r="S36" i="10"/>
  <c r="S35" i="10"/>
  <c r="S34" i="10"/>
  <c r="S33" i="10"/>
  <c r="S32" i="10"/>
  <c r="S31" i="10"/>
  <c r="S30" i="10"/>
  <c r="S29" i="10"/>
  <c r="S28" i="10"/>
  <c r="S27" i="10"/>
  <c r="S26" i="10"/>
  <c r="S25" i="10"/>
  <c r="S24" i="10"/>
  <c r="S23" i="10"/>
  <c r="S22" i="10"/>
  <c r="S21" i="10"/>
  <c r="S20" i="10"/>
  <c r="S19" i="10"/>
  <c r="S18" i="10"/>
  <c r="S17" i="10"/>
  <c r="S16" i="10"/>
  <c r="S15" i="10"/>
  <c r="S14" i="10"/>
  <c r="S13" i="10"/>
  <c r="S12" i="10"/>
  <c r="S11" i="10"/>
  <c r="S10" i="10"/>
  <c r="S9" i="10"/>
  <c r="S8" i="10"/>
  <c r="S7" i="10"/>
  <c r="S6" i="10"/>
  <c r="J62" i="4" l="1"/>
  <c r="U63" i="4"/>
  <c r="J64" i="4"/>
  <c r="G63" i="4"/>
  <c r="G64" i="4"/>
  <c r="G62" i="4"/>
  <c r="Y63" i="4"/>
  <c r="F62" i="4"/>
  <c r="T62" i="4"/>
  <c r="F63" i="4"/>
  <c r="T63" i="4"/>
  <c r="F64" i="4"/>
  <c r="U62" i="4"/>
  <c r="I62" i="4"/>
  <c r="W62" i="4"/>
  <c r="I63" i="4"/>
  <c r="W63" i="4"/>
  <c r="I64" i="4"/>
  <c r="X62" i="4"/>
  <c r="X63" i="4"/>
  <c r="V63" i="4"/>
  <c r="Y62" i="4"/>
  <c r="V62" i="4"/>
  <c r="U13" i="29"/>
  <c r="U12" i="29"/>
  <c r="D13" i="29"/>
  <c r="D12" i="29"/>
  <c r="Z8" i="29"/>
  <c r="I8" i="29"/>
  <c r="G9" i="29"/>
  <c r="M66" i="4" l="1"/>
  <c r="L65" i="4"/>
  <c r="L66" i="4"/>
  <c r="L67" i="4"/>
  <c r="L68" i="4"/>
  <c r="H62" i="4"/>
  <c r="M65" i="4" l="1"/>
  <c r="M68" i="4"/>
  <c r="M67" i="4"/>
  <c r="L149" i="4"/>
  <c r="AI31" i="4" l="1"/>
  <c r="AH31" i="4"/>
  <c r="AG31" i="4"/>
  <c r="AF31" i="4"/>
  <c r="AE31" i="4"/>
  <c r="AD31" i="4"/>
  <c r="AC31" i="4"/>
  <c r="AB31" i="4"/>
  <c r="AA31" i="4"/>
  <c r="Z31" i="4"/>
  <c r="Y31" i="4"/>
  <c r="X31" i="4"/>
  <c r="W31" i="4"/>
  <c r="V31" i="4"/>
  <c r="U31" i="4"/>
  <c r="T31" i="4"/>
  <c r="S31" i="4"/>
  <c r="R31" i="4"/>
  <c r="Q31" i="4"/>
  <c r="P31" i="4"/>
  <c r="O31" i="4"/>
  <c r="N31" i="4"/>
  <c r="M31" i="4"/>
  <c r="AI32" i="4"/>
  <c r="AH32" i="4"/>
  <c r="AG32" i="4"/>
  <c r="AF32" i="4"/>
  <c r="AE32" i="4"/>
  <c r="AD32" i="4"/>
  <c r="AC32" i="4"/>
  <c r="AB32" i="4"/>
  <c r="AA32" i="4"/>
  <c r="Z32" i="4"/>
  <c r="Y32" i="4"/>
  <c r="X32" i="4"/>
  <c r="W32" i="4"/>
  <c r="V32" i="4"/>
  <c r="U32" i="4"/>
  <c r="T32" i="4"/>
  <c r="S32" i="4"/>
  <c r="R32" i="4"/>
  <c r="Q32" i="4"/>
  <c r="P32" i="4"/>
  <c r="O32" i="4"/>
  <c r="N32" i="4"/>
  <c r="M32" i="4"/>
  <c r="L32" i="4"/>
  <c r="L31" i="4" l="1"/>
  <c r="BB24" i="28" l="1"/>
  <c r="BB25" i="28"/>
  <c r="BB26" i="28"/>
  <c r="BB27" i="28"/>
  <c r="BB28" i="28"/>
  <c r="BB29" i="28"/>
  <c r="BB30" i="28"/>
  <c r="BB31" i="28"/>
  <c r="BB32" i="28"/>
  <c r="BB33" i="28"/>
  <c r="BB34" i="28"/>
  <c r="BB35" i="28"/>
  <c r="BB36" i="28"/>
  <c r="BB37" i="28"/>
  <c r="BB38" i="28"/>
  <c r="BB39" i="28"/>
  <c r="BB40" i="28"/>
  <c r="BB41" i="28"/>
  <c r="BB42" i="28"/>
  <c r="BB43" i="28"/>
  <c r="BB44" i="28"/>
  <c r="BB45" i="28"/>
  <c r="BB46" i="28"/>
  <c r="BB47" i="28"/>
  <c r="BB48" i="28"/>
  <c r="BB49" i="28"/>
  <c r="BB50" i="28"/>
  <c r="BB51" i="28"/>
  <c r="BB52" i="28"/>
  <c r="BB53" i="28"/>
  <c r="BB54" i="28"/>
  <c r="BB55" i="28"/>
  <c r="BB56" i="28"/>
  <c r="BB57" i="28"/>
  <c r="BB58" i="28"/>
  <c r="BB59" i="28"/>
  <c r="BB60" i="28"/>
  <c r="BB61" i="28"/>
  <c r="BB62" i="28"/>
  <c r="BB63" i="28"/>
  <c r="BB64" i="28"/>
  <c r="BB65" i="28"/>
  <c r="BB66" i="28"/>
  <c r="BB67" i="28"/>
  <c r="BB68" i="28"/>
  <c r="BB69" i="28"/>
  <c r="BB70" i="28"/>
  <c r="BB71" i="28"/>
  <c r="BB72" i="28"/>
  <c r="BB73" i="28"/>
  <c r="BB74" i="28"/>
  <c r="BB75" i="28"/>
  <c r="BB76" i="28"/>
  <c r="BB77" i="28"/>
  <c r="BB78" i="28"/>
  <c r="BB79" i="28"/>
  <c r="BB80" i="28"/>
  <c r="BB81" i="28"/>
  <c r="BB82" i="28"/>
  <c r="BB83" i="28"/>
  <c r="BB84" i="28"/>
  <c r="BB85" i="28"/>
  <c r="BB86" i="28"/>
  <c r="BB87" i="28"/>
  <c r="BB88" i="28"/>
  <c r="BB89" i="28"/>
  <c r="BB90" i="28"/>
  <c r="BB91" i="28"/>
  <c r="BB92" i="28"/>
  <c r="BB93" i="28"/>
  <c r="BB94" i="28"/>
  <c r="BB95" i="28"/>
  <c r="BB96" i="28"/>
  <c r="BB97" i="28"/>
  <c r="BB98" i="28"/>
  <c r="BB99" i="28"/>
  <c r="BB100" i="28"/>
  <c r="BB101" i="28"/>
  <c r="BB102" i="28"/>
  <c r="BB103" i="28"/>
  <c r="BB104" i="28"/>
  <c r="BB105" i="28"/>
  <c r="BB106" i="28"/>
  <c r="BB107" i="28"/>
  <c r="BB108" i="28"/>
  <c r="BB109" i="28"/>
  <c r="BB110" i="28"/>
  <c r="BB111" i="28"/>
  <c r="BB112" i="28"/>
  <c r="BB113" i="28"/>
  <c r="BB114" i="28"/>
  <c r="BB115" i="28"/>
  <c r="BB116" i="28"/>
  <c r="BB117" i="28"/>
  <c r="BB118" i="28"/>
  <c r="BB119" i="28"/>
  <c r="BB120" i="28"/>
  <c r="BB121" i="28"/>
  <c r="BB122" i="28"/>
  <c r="BB123" i="28"/>
  <c r="BB124" i="28"/>
  <c r="BB125" i="28"/>
  <c r="BB126" i="28"/>
  <c r="BB127" i="28"/>
  <c r="BB128" i="28"/>
  <c r="BB129" i="28"/>
  <c r="BB130" i="28"/>
  <c r="BB131" i="28"/>
  <c r="BB132" i="28"/>
  <c r="BB133" i="28"/>
  <c r="BB134" i="28"/>
  <c r="BB135" i="28"/>
  <c r="BB136" i="28"/>
  <c r="BB137" i="28"/>
  <c r="BB138" i="28"/>
  <c r="BB139" i="28"/>
  <c r="BB140" i="28"/>
  <c r="BB141" i="28"/>
  <c r="BB142" i="28"/>
  <c r="BB143" i="28"/>
  <c r="BB144" i="28"/>
  <c r="BB145" i="28"/>
  <c r="BB146" i="28"/>
  <c r="BB147" i="28"/>
  <c r="BB148" i="28"/>
  <c r="BB149" i="28"/>
  <c r="BB150" i="28"/>
  <c r="BB151" i="28"/>
  <c r="BB152" i="28"/>
  <c r="BB153" i="28"/>
  <c r="BB154" i="28"/>
  <c r="BB155" i="28"/>
  <c r="BB156" i="28"/>
  <c r="BB157" i="28"/>
  <c r="BB158" i="28"/>
  <c r="BB159" i="28"/>
  <c r="BB160" i="28"/>
  <c r="BB161" i="28"/>
  <c r="BB162" i="28"/>
  <c r="BB163" i="28"/>
  <c r="BB164" i="28"/>
  <c r="BB165" i="28"/>
  <c r="BB166" i="28"/>
  <c r="BB167" i="28"/>
  <c r="BB168" i="28"/>
  <c r="BB169" i="28"/>
  <c r="BB170" i="28"/>
  <c r="BB171" i="28"/>
  <c r="BB172" i="28"/>
  <c r="BB173" i="28"/>
  <c r="BB174" i="28"/>
  <c r="BB175" i="28"/>
  <c r="BB176" i="28"/>
  <c r="BB177" i="28"/>
  <c r="BB178" i="28"/>
  <c r="BB179" i="28"/>
  <c r="BB180" i="28"/>
  <c r="BB181" i="28"/>
  <c r="BB182" i="28"/>
  <c r="BB183" i="28"/>
  <c r="BB184" i="28"/>
  <c r="BB185" i="28"/>
  <c r="BB186" i="28"/>
  <c r="BB187" i="28"/>
  <c r="BB188" i="28"/>
  <c r="BB189" i="28"/>
  <c r="BB190" i="28"/>
  <c r="BB191" i="28"/>
  <c r="BB192" i="28"/>
  <c r="BB193" i="28"/>
  <c r="BB194" i="28"/>
  <c r="BB195" i="28"/>
  <c r="BB196" i="28"/>
  <c r="BB197" i="28"/>
  <c r="BB198" i="28"/>
  <c r="BB199" i="28"/>
  <c r="BB200" i="28"/>
  <c r="BB201" i="28"/>
  <c r="BB202" i="28"/>
  <c r="BB203" i="28"/>
  <c r="BB204" i="28"/>
  <c r="BB205" i="28"/>
  <c r="BB206" i="28"/>
  <c r="BB207" i="28"/>
  <c r="BB208" i="28"/>
  <c r="BB209" i="28"/>
  <c r="BB210" i="28"/>
  <c r="BB211" i="28"/>
  <c r="BB212" i="28"/>
  <c r="BB213" i="28"/>
  <c r="BB214" i="28"/>
  <c r="BB215" i="28"/>
  <c r="BB216" i="28"/>
  <c r="BB217" i="28"/>
  <c r="BB218" i="28"/>
  <c r="BB219" i="28"/>
  <c r="BB220" i="28"/>
  <c r="BB221" i="28"/>
  <c r="BB222" i="28"/>
  <c r="BB223" i="28"/>
  <c r="BB224" i="28"/>
  <c r="BB225" i="28"/>
  <c r="BB226" i="28"/>
  <c r="BB227" i="28"/>
  <c r="BB228" i="28"/>
  <c r="BB229" i="28"/>
  <c r="BB230" i="28"/>
  <c r="BB231" i="28"/>
  <c r="BB232" i="28"/>
  <c r="BB233" i="28"/>
  <c r="BB234" i="28"/>
  <c r="BB235" i="28"/>
  <c r="BB236" i="28"/>
  <c r="BB237" i="28"/>
  <c r="BB238" i="28"/>
  <c r="BB239" i="28"/>
  <c r="BB240" i="28"/>
  <c r="BB241" i="28"/>
  <c r="BB242" i="28"/>
  <c r="BB243" i="28"/>
  <c r="BB244" i="28"/>
  <c r="BB245" i="28"/>
  <c r="BB246" i="28"/>
  <c r="BB247" i="28"/>
  <c r="BB248" i="28"/>
  <c r="BB249" i="28"/>
  <c r="BB250" i="28"/>
  <c r="BB251" i="28"/>
  <c r="BB252" i="28"/>
  <c r="BB253" i="28"/>
  <c r="BB254" i="28"/>
  <c r="BB255" i="28"/>
  <c r="BB256" i="28"/>
  <c r="BB257" i="28"/>
  <c r="BB258" i="28"/>
  <c r="BB259" i="28"/>
  <c r="BB260" i="28"/>
  <c r="BB261" i="28"/>
  <c r="BB262" i="28"/>
  <c r="BB263" i="28"/>
  <c r="BB264" i="28"/>
  <c r="BB265" i="28"/>
  <c r="BB266" i="28"/>
  <c r="BB267" i="28"/>
  <c r="BB268" i="28"/>
  <c r="BB269" i="28"/>
  <c r="BB270" i="28"/>
  <c r="BB271" i="28"/>
  <c r="BB272" i="28"/>
  <c r="BB273" i="28"/>
  <c r="BB274" i="28"/>
  <c r="BB275" i="28"/>
  <c r="BB276" i="28"/>
  <c r="BB277" i="28"/>
  <c r="BB278" i="28"/>
  <c r="BB279" i="28"/>
  <c r="BB280" i="28"/>
  <c r="BB281" i="28"/>
  <c r="BB282" i="28"/>
  <c r="BB283" i="28"/>
  <c r="BB284" i="28"/>
  <c r="BB285" i="28"/>
  <c r="BB286" i="28"/>
  <c r="BB287" i="28"/>
  <c r="BB288" i="28"/>
  <c r="BB289" i="28"/>
  <c r="BB290" i="28"/>
  <c r="BB291" i="28"/>
  <c r="BB292" i="28"/>
  <c r="BB293" i="28"/>
  <c r="BB294" i="28"/>
  <c r="BB295" i="28"/>
  <c r="BB296" i="28"/>
  <c r="BB297" i="28"/>
  <c r="BB298" i="28"/>
  <c r="BB299" i="28"/>
  <c r="BB300" i="28"/>
  <c r="BB301" i="28"/>
  <c r="BB302" i="28"/>
  <c r="BB303" i="28"/>
  <c r="BB304" i="28"/>
  <c r="BB305" i="28"/>
  <c r="BA10" i="28"/>
  <c r="BA13" i="28"/>
  <c r="BA15" i="28"/>
  <c r="BA19" i="28"/>
  <c r="BA20" i="28"/>
  <c r="BA22" i="28"/>
  <c r="BA23" i="28"/>
  <c r="BA24" i="28"/>
  <c r="BA25" i="28"/>
  <c r="BA26" i="28"/>
  <c r="BA27" i="28"/>
  <c r="BA28" i="28"/>
  <c r="BA29" i="28"/>
  <c r="BA30" i="28"/>
  <c r="BA31" i="28"/>
  <c r="BA32" i="28"/>
  <c r="BA33" i="28"/>
  <c r="BA34" i="28"/>
  <c r="BA35" i="28"/>
  <c r="BA36" i="28"/>
  <c r="BA37" i="28"/>
  <c r="BA38" i="28"/>
  <c r="BA39" i="28"/>
  <c r="BA40" i="28"/>
  <c r="BA41" i="28"/>
  <c r="BA42" i="28"/>
  <c r="BA43" i="28"/>
  <c r="BA44" i="28"/>
  <c r="BA45" i="28"/>
  <c r="BA46" i="28"/>
  <c r="BA47" i="28"/>
  <c r="BA48" i="28"/>
  <c r="BA49" i="28"/>
  <c r="BA50" i="28"/>
  <c r="BA51" i="28"/>
  <c r="BA52" i="28"/>
  <c r="BA53" i="28"/>
  <c r="BA54" i="28"/>
  <c r="BA55" i="28"/>
  <c r="BA56" i="28"/>
  <c r="BA57" i="28"/>
  <c r="BA58" i="28"/>
  <c r="BA59" i="28"/>
  <c r="BA60" i="28"/>
  <c r="BA61" i="28"/>
  <c r="BA62" i="28"/>
  <c r="BA63" i="28"/>
  <c r="BA64" i="28"/>
  <c r="BA65" i="28"/>
  <c r="BA66" i="28"/>
  <c r="BA67" i="28"/>
  <c r="BA68" i="28"/>
  <c r="BA69" i="28"/>
  <c r="BA70" i="28"/>
  <c r="BA71" i="28"/>
  <c r="BA72" i="28"/>
  <c r="BA73" i="28"/>
  <c r="BA74" i="28"/>
  <c r="BA75" i="28"/>
  <c r="BA76" i="28"/>
  <c r="BA77" i="28"/>
  <c r="BA78" i="28"/>
  <c r="BA79" i="28"/>
  <c r="BA80" i="28"/>
  <c r="BA81" i="28"/>
  <c r="BA82" i="28"/>
  <c r="BA83" i="28"/>
  <c r="BA84" i="28"/>
  <c r="BA85" i="28"/>
  <c r="BA86" i="28"/>
  <c r="BA87" i="28"/>
  <c r="BA88" i="28"/>
  <c r="BA89" i="28"/>
  <c r="BA90" i="28"/>
  <c r="BA91" i="28"/>
  <c r="BA92" i="28"/>
  <c r="BA93" i="28"/>
  <c r="BA94" i="28"/>
  <c r="BA95" i="28"/>
  <c r="BA96" i="28"/>
  <c r="BA97" i="28"/>
  <c r="BA98" i="28"/>
  <c r="BA99" i="28"/>
  <c r="BA100" i="28"/>
  <c r="BA101" i="28"/>
  <c r="BA102" i="28"/>
  <c r="BA103" i="28"/>
  <c r="BA104" i="28"/>
  <c r="BA105" i="28"/>
  <c r="BA106" i="28"/>
  <c r="BA107" i="28"/>
  <c r="BA108" i="28"/>
  <c r="BA109" i="28"/>
  <c r="BA110" i="28"/>
  <c r="BA111" i="28"/>
  <c r="BA112" i="28"/>
  <c r="BA113" i="28"/>
  <c r="BA114" i="28"/>
  <c r="BA115" i="28"/>
  <c r="BA116" i="28"/>
  <c r="BA117" i="28"/>
  <c r="BA118" i="28"/>
  <c r="BA119" i="28"/>
  <c r="BA120" i="28"/>
  <c r="BA121" i="28"/>
  <c r="BA122" i="28"/>
  <c r="BA123" i="28"/>
  <c r="BA124" i="28"/>
  <c r="BA125" i="28"/>
  <c r="BA126" i="28"/>
  <c r="BA127" i="28"/>
  <c r="BA128" i="28"/>
  <c r="BA129" i="28"/>
  <c r="BA130" i="28"/>
  <c r="BA131" i="28"/>
  <c r="BA132" i="28"/>
  <c r="BA133" i="28"/>
  <c r="BA134" i="28"/>
  <c r="BA135" i="28"/>
  <c r="BA136" i="28"/>
  <c r="BA137" i="28"/>
  <c r="BA138" i="28"/>
  <c r="BA139" i="28"/>
  <c r="BA140" i="28"/>
  <c r="BA141" i="28"/>
  <c r="BA142" i="28"/>
  <c r="BA143" i="28"/>
  <c r="BA144" i="28"/>
  <c r="BA145" i="28"/>
  <c r="BA146" i="28"/>
  <c r="BA147" i="28"/>
  <c r="BA148" i="28"/>
  <c r="BA149" i="28"/>
  <c r="BA150" i="28"/>
  <c r="BA151" i="28"/>
  <c r="BA152" i="28"/>
  <c r="BA153" i="28"/>
  <c r="BA154" i="28"/>
  <c r="BA155" i="28"/>
  <c r="BA156" i="28"/>
  <c r="BA157" i="28"/>
  <c r="BA158" i="28"/>
  <c r="BA159" i="28"/>
  <c r="BA160" i="28"/>
  <c r="BA161" i="28"/>
  <c r="BA162" i="28"/>
  <c r="BA163" i="28"/>
  <c r="BA164" i="28"/>
  <c r="BA165" i="28"/>
  <c r="BA166" i="28"/>
  <c r="BA167" i="28"/>
  <c r="BA168" i="28"/>
  <c r="BA169" i="28"/>
  <c r="BA170" i="28"/>
  <c r="BA171" i="28"/>
  <c r="BA172" i="28"/>
  <c r="BA173" i="28"/>
  <c r="BA174" i="28"/>
  <c r="BA175" i="28"/>
  <c r="BA176" i="28"/>
  <c r="BA177" i="28"/>
  <c r="BA178" i="28"/>
  <c r="BA179" i="28"/>
  <c r="BA180" i="28"/>
  <c r="BA181" i="28"/>
  <c r="BA182" i="28"/>
  <c r="BA183" i="28"/>
  <c r="BA184" i="28"/>
  <c r="BA185" i="28"/>
  <c r="BA186" i="28"/>
  <c r="BA187" i="28"/>
  <c r="BA188" i="28"/>
  <c r="BA189" i="28"/>
  <c r="BA190" i="28"/>
  <c r="BA191" i="28"/>
  <c r="BA192" i="28"/>
  <c r="BA193" i="28"/>
  <c r="BA194" i="28"/>
  <c r="BA195" i="28"/>
  <c r="BA196" i="28"/>
  <c r="BA197" i="28"/>
  <c r="BA198" i="28"/>
  <c r="BA199" i="28"/>
  <c r="BA200" i="28"/>
  <c r="BA201" i="28"/>
  <c r="BA202" i="28"/>
  <c r="BA203" i="28"/>
  <c r="BA204" i="28"/>
  <c r="BA205" i="28"/>
  <c r="BA206" i="28"/>
  <c r="BA207" i="28"/>
  <c r="BA208" i="28"/>
  <c r="BA209" i="28"/>
  <c r="BA210" i="28"/>
  <c r="BA211" i="28"/>
  <c r="BA212" i="28"/>
  <c r="BA213" i="28"/>
  <c r="BA214" i="28"/>
  <c r="BA215" i="28"/>
  <c r="BA216" i="28"/>
  <c r="BA217" i="28"/>
  <c r="BA218" i="28"/>
  <c r="BA219" i="28"/>
  <c r="BA220" i="28"/>
  <c r="BA221" i="28"/>
  <c r="BA222" i="28"/>
  <c r="BA223" i="28"/>
  <c r="BA224" i="28"/>
  <c r="BA225" i="28"/>
  <c r="BA226" i="28"/>
  <c r="BA227" i="28"/>
  <c r="BA228" i="28"/>
  <c r="BA229" i="28"/>
  <c r="BA230" i="28"/>
  <c r="BA231" i="28"/>
  <c r="BA232" i="28"/>
  <c r="BA233" i="28"/>
  <c r="BA234" i="28"/>
  <c r="BA235" i="28"/>
  <c r="BA236" i="28"/>
  <c r="BA237" i="28"/>
  <c r="BA238" i="28"/>
  <c r="BA239" i="28"/>
  <c r="BA240" i="28"/>
  <c r="BA241" i="28"/>
  <c r="BA242" i="28"/>
  <c r="BA243" i="28"/>
  <c r="BA244" i="28"/>
  <c r="BA245" i="28"/>
  <c r="BA246" i="28"/>
  <c r="BA247" i="28"/>
  <c r="BA248" i="28"/>
  <c r="BA249" i="28"/>
  <c r="BA250" i="28"/>
  <c r="BA251" i="28"/>
  <c r="BA252" i="28"/>
  <c r="BA253" i="28"/>
  <c r="BA254" i="28"/>
  <c r="BA255" i="28"/>
  <c r="BA256" i="28"/>
  <c r="BA257" i="28"/>
  <c r="BA258" i="28"/>
  <c r="BA259" i="28"/>
  <c r="BA260" i="28"/>
  <c r="BA261" i="28"/>
  <c r="BA262" i="28"/>
  <c r="BA263" i="28"/>
  <c r="BA264" i="28"/>
  <c r="BA265" i="28"/>
  <c r="BA266" i="28"/>
  <c r="BA267" i="28"/>
  <c r="BA268" i="28"/>
  <c r="BA269" i="28"/>
  <c r="BA270" i="28"/>
  <c r="BA271" i="28"/>
  <c r="BA272" i="28"/>
  <c r="BA273" i="28"/>
  <c r="BA274" i="28"/>
  <c r="BA275" i="28"/>
  <c r="BA276" i="28"/>
  <c r="BA277" i="28"/>
  <c r="BA278" i="28"/>
  <c r="BA279" i="28"/>
  <c r="BA280" i="28"/>
  <c r="BA281" i="28"/>
  <c r="BA282" i="28"/>
  <c r="BA283" i="28"/>
  <c r="BA284" i="28"/>
  <c r="BA285" i="28"/>
  <c r="BA286" i="28"/>
  <c r="BA287" i="28"/>
  <c r="BA288" i="28"/>
  <c r="BA289" i="28"/>
  <c r="BA290" i="28"/>
  <c r="BA291" i="28"/>
  <c r="BA292" i="28"/>
  <c r="BA293" i="28"/>
  <c r="BA294" i="28"/>
  <c r="BA295" i="28"/>
  <c r="BA296" i="28"/>
  <c r="BA297" i="28"/>
  <c r="BA298" i="28"/>
  <c r="BA299" i="28"/>
  <c r="BA300" i="28"/>
  <c r="BA301" i="28"/>
  <c r="BA302" i="28"/>
  <c r="BA303" i="28"/>
  <c r="BA304" i="28"/>
  <c r="BA305" i="28"/>
  <c r="T4" i="29" l="1"/>
  <c r="X9" i="29"/>
  <c r="T9" i="29"/>
  <c r="T8" i="29"/>
  <c r="T7" i="29"/>
  <c r="AA5" i="29"/>
  <c r="T5" i="29"/>
  <c r="AE4" i="29"/>
  <c r="AA4" i="29"/>
  <c r="N4" i="29"/>
  <c r="C5" i="29"/>
  <c r="K67" i="4" l="1"/>
  <c r="H67" i="4"/>
  <c r="H66" i="4"/>
  <c r="J83" i="4" l="1"/>
  <c r="J79" i="4"/>
  <c r="V83" i="4"/>
  <c r="V79" i="4"/>
  <c r="N67" i="4"/>
  <c r="R75" i="4" l="1"/>
  <c r="M63" i="4"/>
  <c r="AH79" i="4" s="1"/>
  <c r="G69" i="4"/>
  <c r="M62" i="4"/>
  <c r="L64" i="4"/>
  <c r="L62" i="4"/>
  <c r="F69" i="4"/>
  <c r="M64" i="4"/>
  <c r="AH83" i="4" s="1"/>
  <c r="I69" i="4"/>
  <c r="L63" i="4"/>
  <c r="J69" i="4"/>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D54" i="28"/>
  <c r="D55" i="28"/>
  <c r="D56" i="28"/>
  <c r="D57" i="28"/>
  <c r="D58" i="28"/>
  <c r="D59" i="28"/>
  <c r="D60" i="28"/>
  <c r="D61" i="28"/>
  <c r="D62" i="28"/>
  <c r="D63" i="28"/>
  <c r="D64" i="28"/>
  <c r="D65" i="28"/>
  <c r="D66" i="28"/>
  <c r="D67" i="28"/>
  <c r="D68" i="28"/>
  <c r="D69" i="28"/>
  <c r="D70" i="28"/>
  <c r="D71" i="28"/>
  <c r="D72" i="28"/>
  <c r="D73" i="28"/>
  <c r="D74" i="28"/>
  <c r="D75" i="28"/>
  <c r="D76" i="28"/>
  <c r="D77" i="28"/>
  <c r="D78" i="28"/>
  <c r="D79" i="28"/>
  <c r="D80" i="28"/>
  <c r="D81" i="28"/>
  <c r="D82" i="28"/>
  <c r="D83" i="28"/>
  <c r="D84" i="28"/>
  <c r="D85" i="28"/>
  <c r="D86" i="28"/>
  <c r="D87" i="28"/>
  <c r="D88" i="28"/>
  <c r="D89" i="28"/>
  <c r="D90" i="28"/>
  <c r="D91" i="28"/>
  <c r="D92" i="28"/>
  <c r="D93" i="28"/>
  <c r="D94" i="28"/>
  <c r="D95" i="28"/>
  <c r="D96" i="28"/>
  <c r="D97" i="28"/>
  <c r="D98" i="28"/>
  <c r="D99" i="28"/>
  <c r="D100"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D243" i="28"/>
  <c r="D244" i="28"/>
  <c r="D245" i="28"/>
  <c r="D246" i="28"/>
  <c r="D247" i="28"/>
  <c r="D248" i="28"/>
  <c r="D249" i="28"/>
  <c r="D250" i="28"/>
  <c r="D251" i="28"/>
  <c r="D252" i="28"/>
  <c r="D253" i="28"/>
  <c r="D254" i="28"/>
  <c r="D255" i="28"/>
  <c r="D256" i="28"/>
  <c r="D257" i="28"/>
  <c r="D258" i="28"/>
  <c r="D259" i="28"/>
  <c r="D260" i="28"/>
  <c r="D261" i="28"/>
  <c r="D262" i="28"/>
  <c r="D263" i="28"/>
  <c r="D264" i="28"/>
  <c r="D265" i="28"/>
  <c r="D266" i="28"/>
  <c r="D267" i="28"/>
  <c r="D268" i="28"/>
  <c r="D269" i="28"/>
  <c r="D270" i="28"/>
  <c r="D271" i="28"/>
  <c r="D272" i="28"/>
  <c r="D273" i="28"/>
  <c r="D274" i="28"/>
  <c r="D275" i="28"/>
  <c r="D276" i="28"/>
  <c r="D277" i="28"/>
  <c r="D278" i="28"/>
  <c r="D279" i="28"/>
  <c r="D280" i="28"/>
  <c r="D281" i="28"/>
  <c r="D282" i="28"/>
  <c r="D283" i="28"/>
  <c r="D284" i="28"/>
  <c r="D285" i="28"/>
  <c r="D286" i="28"/>
  <c r="D287" i="28"/>
  <c r="D288" i="28"/>
  <c r="D289" i="28"/>
  <c r="D290" i="28"/>
  <c r="D291" i="28"/>
  <c r="D292" i="28"/>
  <c r="D293" i="28"/>
  <c r="D294" i="28"/>
  <c r="D295" i="28"/>
  <c r="D296" i="28"/>
  <c r="D297" i="28"/>
  <c r="D298" i="28"/>
  <c r="D299" i="28"/>
  <c r="D300" i="28"/>
  <c r="D301" i="28"/>
  <c r="D302" i="28"/>
  <c r="D303" i="28"/>
  <c r="D304" i="28"/>
  <c r="D305" i="28"/>
  <c r="C6" i="28"/>
  <c r="R79" i="4" l="1"/>
  <c r="V75" i="4"/>
  <c r="M69" i="4"/>
  <c r="L69" i="4"/>
  <c r="C8" i="29"/>
  <c r="C7" i="29"/>
  <c r="C25" i="12" l="1"/>
  <c r="C23" i="12"/>
  <c r="C21" i="12"/>
  <c r="C19" i="12"/>
  <c r="C17" i="12"/>
  <c r="C15" i="12"/>
  <c r="C13" i="12"/>
  <c r="J4" i="29" l="1"/>
  <c r="J5" i="29"/>
  <c r="M4" i="11" l="1" a="1"/>
  <c r="M4" i="11" s="1"/>
  <c r="M5" i="11" a="1"/>
  <c r="M5" i="11" s="1"/>
  <c r="M6" i="11" a="1"/>
  <c r="M6" i="11" s="1"/>
  <c r="M7" i="11" a="1"/>
  <c r="M7" i="11" s="1"/>
  <c r="M8" i="11" a="1"/>
  <c r="M8" i="11" s="1"/>
  <c r="M9" i="11" a="1"/>
  <c r="M9" i="11" s="1"/>
  <c r="M10" i="11" a="1"/>
  <c r="M10" i="11" s="1"/>
  <c r="M11" i="11" a="1"/>
  <c r="M11" i="11" s="1"/>
  <c r="M12" i="11" a="1"/>
  <c r="M12" i="11" s="1"/>
  <c r="M13" i="11" a="1"/>
  <c r="M13" i="11" s="1"/>
  <c r="M14" i="11" a="1"/>
  <c r="M14" i="11" s="1"/>
  <c r="M15" i="11" a="1"/>
  <c r="M15" i="11" s="1"/>
  <c r="M16" i="11" a="1"/>
  <c r="M16" i="11" s="1"/>
  <c r="M17" i="11" a="1"/>
  <c r="M17" i="11" s="1"/>
  <c r="M18" i="11" a="1"/>
  <c r="M18" i="11" s="1"/>
  <c r="M19" i="11" a="1"/>
  <c r="M19" i="11" s="1"/>
  <c r="M20" i="11" a="1"/>
  <c r="M20" i="11" s="1"/>
  <c r="M21" i="11" a="1"/>
  <c r="M21" i="11" s="1"/>
  <c r="M22" i="11" a="1"/>
  <c r="M22" i="11" s="1"/>
  <c r="M23" i="11" a="1"/>
  <c r="M23" i="11" s="1"/>
  <c r="M24" i="11" a="1"/>
  <c r="M24" i="11" s="1"/>
  <c r="M25" i="11" a="1"/>
  <c r="M25" i="11" s="1"/>
  <c r="M26" i="11" a="1"/>
  <c r="M26" i="11" s="1"/>
  <c r="M27" i="11" a="1"/>
  <c r="M27" i="11" s="1"/>
  <c r="M28" i="11" a="1"/>
  <c r="M28" i="11" s="1"/>
  <c r="M29" i="11" a="1"/>
  <c r="M29" i="11" s="1"/>
  <c r="M30" i="11" a="1"/>
  <c r="M30" i="11" s="1"/>
  <c r="M31" i="11" a="1"/>
  <c r="M31" i="11" s="1"/>
  <c r="M32" i="11" a="1"/>
  <c r="M32" i="11" s="1"/>
  <c r="M33" i="11" a="1"/>
  <c r="M33" i="11" s="1"/>
  <c r="M34" i="11" a="1"/>
  <c r="M34" i="11" s="1"/>
  <c r="M35" i="11" a="1"/>
  <c r="M35" i="11" s="1"/>
  <c r="M36" i="11" a="1"/>
  <c r="M36" i="11" s="1"/>
  <c r="M37" i="11" a="1"/>
  <c r="M37" i="11" s="1"/>
  <c r="M38" i="11" a="1"/>
  <c r="M38" i="11" s="1"/>
  <c r="M39" i="11" a="1"/>
  <c r="M39" i="11" s="1"/>
  <c r="M40" i="11" a="1"/>
  <c r="M40" i="11" s="1"/>
  <c r="M41" i="11" a="1"/>
  <c r="M41" i="11" s="1"/>
  <c r="M42" i="11" a="1"/>
  <c r="M42" i="11" s="1"/>
  <c r="M43" i="11" a="1"/>
  <c r="M43" i="11" s="1"/>
  <c r="M44" i="11" a="1"/>
  <c r="M44" i="11" s="1"/>
  <c r="M45" i="11" a="1"/>
  <c r="M45" i="11" s="1"/>
  <c r="M46" i="11" a="1"/>
  <c r="M46" i="11" s="1"/>
  <c r="M47" i="11" a="1"/>
  <c r="M47" i="11" s="1"/>
  <c r="M48" i="11" a="1"/>
  <c r="M48" i="11" s="1"/>
  <c r="M49" i="11" a="1"/>
  <c r="M49" i="11" s="1"/>
  <c r="M50" i="11" a="1"/>
  <c r="M50" i="11" s="1"/>
  <c r="M51" i="11" a="1"/>
  <c r="M51" i="11" s="1"/>
  <c r="M52" i="11" a="1"/>
  <c r="M52" i="11" s="1"/>
  <c r="M53" i="11" a="1"/>
  <c r="M53" i="11" s="1"/>
  <c r="M54" i="11" a="1"/>
  <c r="M54" i="11" s="1"/>
  <c r="M55" i="11" a="1"/>
  <c r="M55" i="11" s="1"/>
  <c r="M56" i="11" a="1"/>
  <c r="M56" i="11" s="1"/>
  <c r="M57" i="11" a="1"/>
  <c r="M57" i="11" s="1"/>
  <c r="M58" i="11" a="1"/>
  <c r="M58" i="11" s="1"/>
  <c r="M59" i="11" a="1"/>
  <c r="M59" i="11" s="1"/>
  <c r="M60" i="11" a="1"/>
  <c r="M60" i="11" s="1"/>
  <c r="M61" i="11" a="1"/>
  <c r="M61" i="11" s="1"/>
  <c r="M62" i="11" a="1"/>
  <c r="M62" i="11" s="1"/>
  <c r="M63" i="11" a="1"/>
  <c r="M63" i="11" s="1"/>
  <c r="M64" i="11" a="1"/>
  <c r="M64" i="11" s="1"/>
  <c r="M65" i="11" a="1"/>
  <c r="M65" i="11" s="1"/>
  <c r="M66" i="11" a="1"/>
  <c r="M66" i="11" s="1"/>
  <c r="M67" i="11" a="1"/>
  <c r="M67" i="11" s="1"/>
  <c r="M68" i="11" a="1"/>
  <c r="M68" i="11" s="1"/>
  <c r="M69" i="11" a="1"/>
  <c r="M69" i="11" s="1"/>
  <c r="M70" i="11" a="1"/>
  <c r="M70" i="11" s="1"/>
  <c r="M71" i="11" a="1"/>
  <c r="M71" i="11" s="1"/>
  <c r="M72" i="11" a="1"/>
  <c r="M72" i="11" s="1"/>
  <c r="M73" i="11" a="1"/>
  <c r="M73" i="11" s="1"/>
  <c r="M74" i="11" a="1"/>
  <c r="M74" i="11" s="1"/>
  <c r="M75" i="11" a="1"/>
  <c r="M75" i="11" s="1"/>
  <c r="M76" i="11" a="1"/>
  <c r="M76" i="11" s="1"/>
  <c r="M77" i="11" a="1"/>
  <c r="M77" i="11" s="1"/>
  <c r="M78" i="11" a="1"/>
  <c r="M78" i="11" s="1"/>
  <c r="M79" i="11" a="1"/>
  <c r="M79" i="11" s="1"/>
  <c r="M80" i="11" a="1"/>
  <c r="M80" i="11" s="1"/>
  <c r="M81" i="11" a="1"/>
  <c r="M81" i="11" s="1"/>
  <c r="M82" i="11" a="1"/>
  <c r="M82" i="11" s="1"/>
  <c r="M83" i="11" a="1"/>
  <c r="M83" i="11" s="1"/>
  <c r="M84" i="11" a="1"/>
  <c r="M84" i="11" s="1"/>
  <c r="M85" i="11" a="1"/>
  <c r="M85" i="11" s="1"/>
  <c r="M86" i="11" a="1"/>
  <c r="M86" i="11" s="1"/>
  <c r="M87" i="11" a="1"/>
  <c r="M87" i="11" s="1"/>
  <c r="M88" i="11" a="1"/>
  <c r="M88" i="11" s="1"/>
  <c r="M89" i="11" a="1"/>
  <c r="M89" i="11" s="1"/>
  <c r="M90" i="11" a="1"/>
  <c r="M90" i="11" s="1"/>
  <c r="M91" i="11" a="1"/>
  <c r="M91" i="11" s="1"/>
  <c r="M92" i="11" a="1"/>
  <c r="M92" i="11" s="1"/>
  <c r="M93" i="11" a="1"/>
  <c r="M93" i="11" s="1"/>
  <c r="M94" i="11" a="1"/>
  <c r="M94" i="11" s="1"/>
  <c r="M95" i="11" a="1"/>
  <c r="M95" i="11" s="1"/>
  <c r="M96" i="11" a="1"/>
  <c r="M96" i="11" s="1"/>
  <c r="M97" i="11" a="1"/>
  <c r="M97" i="11" s="1"/>
  <c r="M98" i="11" a="1"/>
  <c r="M98" i="11" s="1"/>
  <c r="M99" i="11" a="1"/>
  <c r="M99" i="11" s="1"/>
  <c r="M100" i="11" a="1"/>
  <c r="M100" i="11" s="1"/>
  <c r="M101" i="11" a="1"/>
  <c r="M101" i="11" s="1"/>
  <c r="M102" i="11" a="1"/>
  <c r="M102" i="11" s="1"/>
  <c r="M103" i="11" a="1"/>
  <c r="M103" i="11" s="1"/>
  <c r="M104" i="11" a="1"/>
  <c r="M104" i="11" s="1"/>
  <c r="M105" i="11" a="1"/>
  <c r="M105" i="11" s="1"/>
  <c r="M106" i="11" a="1"/>
  <c r="M106" i="11" s="1"/>
  <c r="M107" i="11" a="1"/>
  <c r="M107" i="11" s="1"/>
  <c r="M108" i="11" a="1"/>
  <c r="M108" i="11" s="1"/>
  <c r="M109" i="11" a="1"/>
  <c r="M109" i="11" s="1"/>
  <c r="M110" i="11" a="1"/>
  <c r="M110" i="11" s="1"/>
  <c r="M111" i="11" a="1"/>
  <c r="M111" i="11" s="1"/>
  <c r="M112" i="11" a="1"/>
  <c r="M112" i="11" s="1"/>
  <c r="M113" i="11" a="1"/>
  <c r="M113" i="11" s="1"/>
  <c r="M114" i="11" a="1"/>
  <c r="M114" i="11" s="1"/>
  <c r="M115" i="11" a="1"/>
  <c r="M115" i="11" s="1"/>
  <c r="M116" i="11" a="1"/>
  <c r="M116" i="11" s="1"/>
  <c r="M117" i="11" a="1"/>
  <c r="M117" i="11" s="1"/>
  <c r="M118" i="11" a="1"/>
  <c r="M118" i="11" s="1"/>
  <c r="M119" i="11" a="1"/>
  <c r="M119" i="11" s="1"/>
  <c r="M120" i="11" a="1"/>
  <c r="M120" i="11" s="1"/>
  <c r="M121" i="11" a="1"/>
  <c r="M121" i="11" s="1"/>
  <c r="M122" i="11" a="1"/>
  <c r="M122" i="11" s="1"/>
  <c r="M123" i="11" a="1"/>
  <c r="M123" i="11" s="1"/>
  <c r="M124" i="11" a="1"/>
  <c r="M124" i="11" s="1"/>
  <c r="M125" i="11" a="1"/>
  <c r="M125" i="11" s="1"/>
  <c r="M126" i="11" a="1"/>
  <c r="M126" i="11" s="1"/>
  <c r="M127" i="11" a="1"/>
  <c r="M127" i="11" s="1"/>
  <c r="M128" i="11" a="1"/>
  <c r="M128" i="11" s="1"/>
  <c r="M129" i="11" a="1"/>
  <c r="M129" i="11" s="1"/>
  <c r="M130" i="11" a="1"/>
  <c r="M130" i="11" s="1"/>
  <c r="M131" i="11" a="1"/>
  <c r="M131" i="11" s="1"/>
  <c r="M132" i="11" a="1"/>
  <c r="M132" i="11" s="1"/>
  <c r="M133" i="11" a="1"/>
  <c r="M133" i="11" s="1"/>
  <c r="M134" i="11" a="1"/>
  <c r="M134" i="11" s="1"/>
  <c r="M135" i="11" a="1"/>
  <c r="M135" i="11" s="1"/>
  <c r="M136" i="11" a="1"/>
  <c r="M136" i="11" s="1"/>
  <c r="M137" i="11" a="1"/>
  <c r="M137" i="11" s="1"/>
  <c r="M138" i="11" a="1"/>
  <c r="M138" i="11" s="1"/>
  <c r="M139" i="11" a="1"/>
  <c r="M139" i="11" s="1"/>
  <c r="M140" i="11" a="1"/>
  <c r="M140" i="11" s="1"/>
  <c r="M141" i="11" a="1"/>
  <c r="M141" i="11" s="1"/>
  <c r="M142" i="11" a="1"/>
  <c r="M142" i="11" s="1"/>
  <c r="M143" i="11" a="1"/>
  <c r="M143" i="11" s="1"/>
  <c r="M144" i="11" a="1"/>
  <c r="M144" i="11" s="1"/>
  <c r="M145" i="11" a="1"/>
  <c r="M145" i="11" s="1"/>
  <c r="M146" i="11" a="1"/>
  <c r="M146" i="11" s="1"/>
  <c r="M147" i="11" a="1"/>
  <c r="M147" i="11" s="1"/>
  <c r="M148" i="11" a="1"/>
  <c r="M148" i="11" s="1"/>
  <c r="M149" i="11" a="1"/>
  <c r="M149" i="11" s="1"/>
  <c r="M150" i="11" a="1"/>
  <c r="M150" i="11" s="1"/>
  <c r="M151" i="11" a="1"/>
  <c r="M151" i="11" s="1"/>
  <c r="M152" i="11" a="1"/>
  <c r="M152" i="11" s="1"/>
  <c r="M153" i="11" a="1"/>
  <c r="M153" i="11" s="1"/>
  <c r="M154" i="11" a="1"/>
  <c r="M154" i="11" s="1"/>
  <c r="M155" i="11" a="1"/>
  <c r="M155" i="11" s="1"/>
  <c r="M156" i="11" a="1"/>
  <c r="M156" i="11" s="1"/>
  <c r="M157" i="11" a="1"/>
  <c r="M157" i="11" s="1"/>
  <c r="M158" i="11" a="1"/>
  <c r="M158" i="11" s="1"/>
  <c r="M159" i="11" a="1"/>
  <c r="M159" i="11" s="1"/>
  <c r="M160" i="11" a="1"/>
  <c r="M160" i="11" s="1"/>
  <c r="M161" i="11" a="1"/>
  <c r="M161" i="11" s="1"/>
  <c r="M162" i="11" a="1"/>
  <c r="M162" i="11" s="1"/>
  <c r="M163" i="11" a="1"/>
  <c r="M163" i="11" s="1"/>
  <c r="M164" i="11" a="1"/>
  <c r="M164" i="11" s="1"/>
  <c r="M165" i="11" a="1"/>
  <c r="M165" i="11" s="1"/>
  <c r="M166" i="11" a="1"/>
  <c r="M166" i="11" s="1"/>
  <c r="M167" i="11" a="1"/>
  <c r="M167" i="11" s="1"/>
  <c r="M168" i="11" a="1"/>
  <c r="M168" i="11" s="1"/>
  <c r="M169" i="11" a="1"/>
  <c r="M169" i="11" s="1"/>
  <c r="M170" i="11" a="1"/>
  <c r="M170" i="11" s="1"/>
  <c r="M171" i="11" a="1"/>
  <c r="M171" i="11" s="1"/>
  <c r="M172" i="11" a="1"/>
  <c r="M172" i="11" s="1"/>
  <c r="M173" i="11" a="1"/>
  <c r="M173" i="11" s="1"/>
  <c r="M174" i="11" a="1"/>
  <c r="M174" i="11" s="1"/>
  <c r="M175" i="11" a="1"/>
  <c r="M175" i="11" s="1"/>
  <c r="M176" i="11" a="1"/>
  <c r="M176" i="11" s="1"/>
  <c r="M177" i="11" a="1"/>
  <c r="M177" i="11" s="1"/>
  <c r="M178" i="11" a="1"/>
  <c r="M178" i="11" s="1"/>
  <c r="M179" i="11" a="1"/>
  <c r="M179" i="11" s="1"/>
  <c r="M180" i="11" a="1"/>
  <c r="M180" i="11" s="1"/>
  <c r="M181" i="11" a="1"/>
  <c r="M181" i="11" s="1"/>
  <c r="M182" i="11" a="1"/>
  <c r="M182" i="11" s="1"/>
  <c r="M183" i="11" a="1"/>
  <c r="M183" i="11" s="1"/>
  <c r="M184" i="11" a="1"/>
  <c r="M184" i="11" s="1"/>
  <c r="M185" i="11" a="1"/>
  <c r="M185" i="11" s="1"/>
  <c r="M186" i="11" a="1"/>
  <c r="M186" i="11" s="1"/>
  <c r="M187" i="11" a="1"/>
  <c r="M187" i="11" s="1"/>
  <c r="M188" i="11" a="1"/>
  <c r="M188" i="11" s="1"/>
  <c r="M189" i="11" a="1"/>
  <c r="M189" i="11" s="1"/>
  <c r="M190" i="11" a="1"/>
  <c r="M190" i="11" s="1"/>
  <c r="M191" i="11" a="1"/>
  <c r="M191" i="11" s="1"/>
  <c r="M192" i="11" a="1"/>
  <c r="M192" i="11" s="1"/>
  <c r="M193" i="11" a="1"/>
  <c r="M193" i="11" s="1"/>
  <c r="M194" i="11" a="1"/>
  <c r="M194" i="11" s="1"/>
  <c r="M195" i="11" a="1"/>
  <c r="M195" i="11" s="1"/>
  <c r="M196" i="11" a="1"/>
  <c r="M196" i="11" s="1"/>
  <c r="C7" i="28" l="1"/>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C127" i="28"/>
  <c r="C128" i="28"/>
  <c r="C129" i="28"/>
  <c r="C130" i="28"/>
  <c r="C131" i="28"/>
  <c r="C132" i="28"/>
  <c r="C133" i="28"/>
  <c r="C134" i="28"/>
  <c r="C135" i="28"/>
  <c r="C136" i="28"/>
  <c r="C137" i="28"/>
  <c r="C138" i="28"/>
  <c r="C139" i="28"/>
  <c r="C140" i="28"/>
  <c r="C141" i="28"/>
  <c r="C142" i="28"/>
  <c r="C143" i="28"/>
  <c r="C144" i="28"/>
  <c r="C145" i="28"/>
  <c r="C146" i="28"/>
  <c r="C147" i="28"/>
  <c r="C148" i="28"/>
  <c r="C149" i="28"/>
  <c r="C150" i="28"/>
  <c r="C151" i="28"/>
  <c r="C152" i="28"/>
  <c r="C153" i="28"/>
  <c r="C154" i="28"/>
  <c r="C155" i="28"/>
  <c r="C156" i="28"/>
  <c r="C157" i="28"/>
  <c r="C158" i="28"/>
  <c r="C159" i="28"/>
  <c r="C160" i="28"/>
  <c r="C161" i="28"/>
  <c r="C162" i="28"/>
  <c r="C163" i="28"/>
  <c r="C164" i="28"/>
  <c r="C165" i="28"/>
  <c r="C166" i="28"/>
  <c r="C167" i="28"/>
  <c r="C168" i="28"/>
  <c r="C169" i="28"/>
  <c r="C170" i="28"/>
  <c r="C171" i="28"/>
  <c r="C172" i="28"/>
  <c r="C173" i="28"/>
  <c r="C174" i="28"/>
  <c r="C175" i="28"/>
  <c r="C176" i="28"/>
  <c r="C177" i="28"/>
  <c r="C178" i="28"/>
  <c r="C179" i="28"/>
  <c r="C180" i="28"/>
  <c r="C181" i="28"/>
  <c r="C182" i="28"/>
  <c r="C183" i="28"/>
  <c r="C184" i="28"/>
  <c r="C185" i="28"/>
  <c r="C186" i="28"/>
  <c r="C187" i="28"/>
  <c r="C188" i="28"/>
  <c r="C189" i="28"/>
  <c r="C190" i="28"/>
  <c r="C191" i="28"/>
  <c r="C192" i="28"/>
  <c r="C193" i="28"/>
  <c r="C194" i="28"/>
  <c r="C195" i="28"/>
  <c r="C196" i="28"/>
  <c r="C197" i="28"/>
  <c r="C198" i="28"/>
  <c r="C199" i="28"/>
  <c r="C200" i="28"/>
  <c r="C201" i="28"/>
  <c r="C202" i="28"/>
  <c r="C203" i="28"/>
  <c r="C204" i="28"/>
  <c r="C205" i="28"/>
  <c r="C206" i="28"/>
  <c r="C207" i="28"/>
  <c r="C208" i="28"/>
  <c r="C209" i="28"/>
  <c r="C210" i="28"/>
  <c r="C211" i="28"/>
  <c r="C212" i="28"/>
  <c r="C213" i="28"/>
  <c r="C214" i="28"/>
  <c r="C215" i="28"/>
  <c r="C216" i="28"/>
  <c r="C217" i="28"/>
  <c r="C218" i="28"/>
  <c r="C219" i="28"/>
  <c r="C220" i="28"/>
  <c r="C221" i="28"/>
  <c r="C222" i="28"/>
  <c r="C223" i="28"/>
  <c r="C224" i="28"/>
  <c r="C225" i="28"/>
  <c r="C226" i="28"/>
  <c r="C227" i="28"/>
  <c r="C228" i="28"/>
  <c r="C229" i="28"/>
  <c r="C230" i="28"/>
  <c r="C231" i="28"/>
  <c r="C232" i="28"/>
  <c r="C233" i="28"/>
  <c r="C234" i="28"/>
  <c r="C235" i="28"/>
  <c r="C236" i="28"/>
  <c r="C237" i="28"/>
  <c r="C238" i="28"/>
  <c r="C239" i="28"/>
  <c r="C240" i="28"/>
  <c r="C241" i="28"/>
  <c r="C242" i="28"/>
  <c r="C243" i="28"/>
  <c r="C244" i="28"/>
  <c r="C245" i="28"/>
  <c r="C246" i="28"/>
  <c r="C247" i="28"/>
  <c r="C248" i="28"/>
  <c r="C249" i="28"/>
  <c r="C250" i="28"/>
  <c r="C251" i="28"/>
  <c r="C252" i="28"/>
  <c r="C253" i="28"/>
  <c r="C254" i="28"/>
  <c r="C255" i="28"/>
  <c r="C256" i="28"/>
  <c r="C257" i="28"/>
  <c r="C258" i="28"/>
  <c r="C259" i="28"/>
  <c r="C260" i="28"/>
  <c r="C261" i="28"/>
  <c r="C262" i="28"/>
  <c r="C263" i="28"/>
  <c r="C264" i="28"/>
  <c r="C265" i="28"/>
  <c r="C266" i="28"/>
  <c r="C267" i="28"/>
  <c r="C268" i="28"/>
  <c r="C269" i="28"/>
  <c r="C270" i="28"/>
  <c r="C271" i="28"/>
  <c r="C272" i="28"/>
  <c r="C273" i="28"/>
  <c r="C274" i="28"/>
  <c r="C275" i="28"/>
  <c r="C276" i="28"/>
  <c r="C277" i="28"/>
  <c r="C278" i="28"/>
  <c r="C279" i="28"/>
  <c r="C280" i="28"/>
  <c r="C281" i="28"/>
  <c r="C282" i="28"/>
  <c r="C283" i="28"/>
  <c r="C284" i="28"/>
  <c r="C285" i="28"/>
  <c r="C286" i="28"/>
  <c r="C287" i="28"/>
  <c r="C288" i="28"/>
  <c r="C289" i="28"/>
  <c r="C290" i="28"/>
  <c r="C291" i="28"/>
  <c r="C292" i="28"/>
  <c r="C293" i="28"/>
  <c r="C294" i="28"/>
  <c r="C295" i="28"/>
  <c r="C296" i="28"/>
  <c r="C297" i="28"/>
  <c r="C298" i="28"/>
  <c r="C299" i="28"/>
  <c r="C300" i="28"/>
  <c r="C301" i="28"/>
  <c r="C302" i="28"/>
  <c r="C303" i="28"/>
  <c r="C304" i="28"/>
  <c r="C305" i="28"/>
  <c r="B7" i="28"/>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239" i="28"/>
  <c r="B240" i="28"/>
  <c r="B241" i="28"/>
  <c r="B242" i="28"/>
  <c r="B243" i="28"/>
  <c r="B244" i="28"/>
  <c r="B245" i="28"/>
  <c r="B246" i="28"/>
  <c r="B247" i="28"/>
  <c r="B248" i="28"/>
  <c r="B249" i="28"/>
  <c r="B250" i="28"/>
  <c r="B251" i="28"/>
  <c r="B252" i="28"/>
  <c r="B253" i="28"/>
  <c r="B254" i="28"/>
  <c r="B255" i="28"/>
  <c r="B256" i="28"/>
  <c r="B257" i="28"/>
  <c r="B258" i="28"/>
  <c r="B259" i="28"/>
  <c r="B260" i="28"/>
  <c r="B261" i="28"/>
  <c r="B262" i="28"/>
  <c r="B263" i="28"/>
  <c r="B264" i="28"/>
  <c r="B265" i="28"/>
  <c r="B266" i="28"/>
  <c r="B267" i="28"/>
  <c r="B268" i="28"/>
  <c r="B269" i="28"/>
  <c r="B270" i="28"/>
  <c r="B271" i="28"/>
  <c r="B272" i="28"/>
  <c r="B273" i="28"/>
  <c r="B274" i="28"/>
  <c r="B275" i="28"/>
  <c r="B276" i="28"/>
  <c r="B277" i="28"/>
  <c r="B278" i="28"/>
  <c r="B279" i="28"/>
  <c r="B280" i="28"/>
  <c r="B281" i="28"/>
  <c r="B282" i="28"/>
  <c r="B283" i="28"/>
  <c r="B284" i="28"/>
  <c r="B285" i="28"/>
  <c r="B286" i="28"/>
  <c r="B287" i="28"/>
  <c r="B288" i="28"/>
  <c r="B289" i="28"/>
  <c r="B290" i="28"/>
  <c r="B291" i="28"/>
  <c r="B292" i="28"/>
  <c r="B293" i="28"/>
  <c r="B294" i="28"/>
  <c r="B295" i="28"/>
  <c r="B296" i="28"/>
  <c r="B297" i="28"/>
  <c r="B298" i="28"/>
  <c r="B299" i="28"/>
  <c r="B300" i="28"/>
  <c r="B301" i="28"/>
  <c r="B302" i="28"/>
  <c r="B303" i="28"/>
  <c r="B304" i="28"/>
  <c r="B305" i="28"/>
  <c r="B6" i="28"/>
  <c r="C9" i="29"/>
  <c r="DN6" i="10" l="1"/>
  <c r="DN8" i="10"/>
  <c r="DN11" i="10"/>
  <c r="DN12" i="10"/>
  <c r="DN15" i="10"/>
  <c r="DN16" i="10"/>
  <c r="DN17" i="10"/>
  <c r="DN18" i="10"/>
  <c r="DN19" i="10"/>
  <c r="DN21" i="10"/>
  <c r="DN22" i="10"/>
  <c r="DN23" i="10"/>
  <c r="DN24" i="10"/>
  <c r="DN25" i="10"/>
  <c r="DN28" i="10"/>
  <c r="DN32" i="10"/>
  <c r="DN34" i="10"/>
  <c r="DN35" i="10"/>
  <c r="DN37" i="10"/>
  <c r="DN38" i="10"/>
  <c r="DN39" i="10"/>
  <c r="DN40" i="10"/>
  <c r="DN41" i="10"/>
  <c r="DN42" i="10"/>
  <c r="DN43" i="10"/>
  <c r="DN44" i="10"/>
  <c r="DN45" i="10"/>
  <c r="DN46" i="10"/>
  <c r="DN47" i="10"/>
  <c r="DN48" i="10"/>
  <c r="DN49" i="10"/>
  <c r="DN50" i="10"/>
  <c r="DN51" i="10"/>
  <c r="DN53" i="10"/>
  <c r="DN54" i="10"/>
  <c r="DN56" i="10"/>
  <c r="DN58" i="10"/>
  <c r="DN59" i="10"/>
  <c r="DN61" i="10"/>
  <c r="DN63" i="10"/>
  <c r="DN64" i="10"/>
  <c r="DN65" i="10"/>
  <c r="DN66" i="10"/>
  <c r="DN67" i="10"/>
  <c r="DN68" i="10"/>
  <c r="DN69" i="10"/>
  <c r="DN70" i="10"/>
  <c r="DN71" i="10"/>
  <c r="DN72" i="10"/>
  <c r="DN73" i="10"/>
  <c r="DN74" i="10"/>
  <c r="DN75" i="10"/>
  <c r="DN76" i="10"/>
  <c r="DN77" i="10"/>
  <c r="DN78" i="10"/>
  <c r="DN79" i="10"/>
  <c r="DN80" i="10"/>
  <c r="DN81" i="10"/>
  <c r="DN82" i="10"/>
  <c r="DN83" i="10"/>
  <c r="DN84" i="10"/>
  <c r="DN85" i="10"/>
  <c r="DN86" i="10"/>
  <c r="DN87" i="10"/>
  <c r="DN88" i="10"/>
  <c r="DN89" i="10"/>
  <c r="DN90" i="10"/>
  <c r="DN91" i="10"/>
  <c r="DN92" i="10"/>
  <c r="DN93" i="10"/>
  <c r="DN94" i="10"/>
  <c r="DN95" i="10"/>
  <c r="DN96" i="10"/>
  <c r="DN97" i="10"/>
  <c r="DN98" i="10"/>
  <c r="DN99" i="10"/>
  <c r="DN100" i="10"/>
  <c r="DN101" i="10"/>
  <c r="DN102" i="10"/>
  <c r="DN103" i="10"/>
  <c r="DN104" i="10"/>
  <c r="DN105" i="10"/>
  <c r="DN106" i="10"/>
  <c r="DN107" i="10"/>
  <c r="DN108" i="10"/>
  <c r="DN109" i="10"/>
  <c r="DN110" i="10"/>
  <c r="DN111" i="10"/>
  <c r="DN112" i="10"/>
  <c r="DN113" i="10"/>
  <c r="DN114" i="10"/>
  <c r="DN115" i="10"/>
  <c r="DN116" i="10"/>
  <c r="DN117" i="10"/>
  <c r="DN118" i="10"/>
  <c r="DN119" i="10"/>
  <c r="DN120" i="10"/>
  <c r="DN121" i="10"/>
  <c r="DN122" i="10"/>
  <c r="DN123" i="10"/>
  <c r="DN124" i="10"/>
  <c r="DN125" i="10"/>
  <c r="DN126" i="10"/>
  <c r="DN127" i="10"/>
  <c r="DN128" i="10"/>
  <c r="DN129" i="10"/>
  <c r="DN130" i="10"/>
  <c r="DN131" i="10"/>
  <c r="DN132" i="10"/>
  <c r="DN133" i="10"/>
  <c r="DN134" i="10"/>
  <c r="DN135" i="10"/>
  <c r="DN136" i="10"/>
  <c r="DN137" i="10"/>
  <c r="DN138" i="10"/>
  <c r="DN139" i="10"/>
  <c r="DN140" i="10"/>
  <c r="DN141" i="10"/>
  <c r="DN142" i="10"/>
  <c r="DN143" i="10"/>
  <c r="DN144" i="10"/>
  <c r="DN145" i="10"/>
  <c r="DN146" i="10"/>
  <c r="DN147" i="10"/>
  <c r="DN148" i="10"/>
  <c r="DN149" i="10"/>
  <c r="DN150" i="10"/>
  <c r="DN151" i="10"/>
  <c r="DN152" i="10"/>
  <c r="DN153" i="10"/>
  <c r="DN154" i="10"/>
  <c r="DN155" i="10"/>
  <c r="DN156" i="10"/>
  <c r="DN157" i="10"/>
  <c r="DN158" i="10"/>
  <c r="DN159" i="10"/>
  <c r="DN160" i="10"/>
  <c r="DN161" i="10"/>
  <c r="DN162" i="10"/>
  <c r="DN163" i="10"/>
  <c r="DN164" i="10"/>
  <c r="DN165" i="10"/>
  <c r="DN166" i="10"/>
  <c r="DN167" i="10"/>
  <c r="DN168" i="10"/>
  <c r="DN169" i="10"/>
  <c r="DN170" i="10"/>
  <c r="DN171" i="10"/>
  <c r="DN172" i="10"/>
  <c r="DN173" i="10"/>
  <c r="DN174" i="10"/>
  <c r="DN175" i="10"/>
  <c r="DN176" i="10"/>
  <c r="DN177" i="10"/>
  <c r="DN178" i="10"/>
  <c r="DN179" i="10"/>
  <c r="DN180" i="10"/>
  <c r="DN181" i="10"/>
  <c r="DN182" i="10"/>
  <c r="DN183" i="10"/>
  <c r="DN184" i="10"/>
  <c r="DN185" i="10"/>
  <c r="DN186" i="10"/>
  <c r="DN187" i="10"/>
  <c r="DN188" i="10"/>
  <c r="DN189" i="10"/>
  <c r="DN190" i="10"/>
  <c r="DN191" i="10"/>
  <c r="DN192" i="10"/>
  <c r="DN193" i="10"/>
  <c r="DN194" i="10"/>
  <c r="DN195" i="10"/>
  <c r="DN196" i="10"/>
  <c r="DN197" i="10"/>
  <c r="DN198" i="10"/>
  <c r="DN199" i="10"/>
  <c r="DN200" i="10"/>
  <c r="DO6" i="10"/>
  <c r="DO8" i="10"/>
  <c r="DO11" i="10"/>
  <c r="DO12" i="10"/>
  <c r="DO15" i="10"/>
  <c r="DO16" i="10"/>
  <c r="DO17" i="10"/>
  <c r="DO18" i="10"/>
  <c r="DO19" i="10"/>
  <c r="DO21" i="10"/>
  <c r="DO22" i="10"/>
  <c r="DO23" i="10"/>
  <c r="DO24" i="10"/>
  <c r="DO25" i="10"/>
  <c r="DO28" i="10"/>
  <c r="DO32" i="10"/>
  <c r="DO34" i="10"/>
  <c r="DO35" i="10"/>
  <c r="DO37" i="10"/>
  <c r="DO38" i="10"/>
  <c r="DO39" i="10"/>
  <c r="DO40" i="10"/>
  <c r="DO41" i="10"/>
  <c r="DO42" i="10"/>
  <c r="DO43" i="10"/>
  <c r="DO44" i="10"/>
  <c r="DO45" i="10"/>
  <c r="DO46" i="10"/>
  <c r="DO47" i="10"/>
  <c r="DO48" i="10"/>
  <c r="DO49" i="10"/>
  <c r="DO50" i="10"/>
  <c r="DO51" i="10"/>
  <c r="DO53" i="10"/>
  <c r="DO54" i="10"/>
  <c r="DO56" i="10"/>
  <c r="DO58" i="10"/>
  <c r="DO59" i="10"/>
  <c r="DO61" i="10"/>
  <c r="DO63" i="10"/>
  <c r="DO64" i="10"/>
  <c r="DO65" i="10"/>
  <c r="DO66" i="10"/>
  <c r="DO67" i="10"/>
  <c r="DO68" i="10"/>
  <c r="DO69" i="10"/>
  <c r="DO70" i="10"/>
  <c r="DO71" i="10"/>
  <c r="DO72" i="10"/>
  <c r="DO73" i="10"/>
  <c r="DO74" i="10"/>
  <c r="DO75" i="10"/>
  <c r="DO76" i="10"/>
  <c r="DO77" i="10"/>
  <c r="DO78" i="10"/>
  <c r="DO79" i="10"/>
  <c r="DO80" i="10"/>
  <c r="DO81" i="10"/>
  <c r="DO82" i="10"/>
  <c r="DO83" i="10"/>
  <c r="DO84" i="10"/>
  <c r="DO85" i="10"/>
  <c r="DO86" i="10"/>
  <c r="DO87" i="10"/>
  <c r="DO88" i="10"/>
  <c r="DO89" i="10"/>
  <c r="DO90" i="10"/>
  <c r="DO91" i="10"/>
  <c r="DO92" i="10"/>
  <c r="DO93" i="10"/>
  <c r="DO94" i="10"/>
  <c r="DO95" i="10"/>
  <c r="DO96" i="10"/>
  <c r="DO97" i="10"/>
  <c r="DO98" i="10"/>
  <c r="DO99" i="10"/>
  <c r="DO100" i="10"/>
  <c r="DO101" i="10"/>
  <c r="DO102" i="10"/>
  <c r="DO103" i="10"/>
  <c r="DO104" i="10"/>
  <c r="DO105" i="10"/>
  <c r="DO106" i="10"/>
  <c r="DO107" i="10"/>
  <c r="DO108" i="10"/>
  <c r="DO109" i="10"/>
  <c r="DO110" i="10"/>
  <c r="DO111" i="10"/>
  <c r="DO112" i="10"/>
  <c r="DO113" i="10"/>
  <c r="DO114" i="10"/>
  <c r="DO115" i="10"/>
  <c r="DO116" i="10"/>
  <c r="DO117" i="10"/>
  <c r="DO118" i="10"/>
  <c r="DO119" i="10"/>
  <c r="DO120" i="10"/>
  <c r="DO121" i="10"/>
  <c r="DO122" i="10"/>
  <c r="DO123" i="10"/>
  <c r="DO124" i="10"/>
  <c r="DO125" i="10"/>
  <c r="DO126" i="10"/>
  <c r="DO127" i="10"/>
  <c r="DO128" i="10"/>
  <c r="DO129" i="10"/>
  <c r="DO130" i="10"/>
  <c r="DO131" i="10"/>
  <c r="DO132" i="10"/>
  <c r="DO133" i="10"/>
  <c r="DO134" i="10"/>
  <c r="DO135" i="10"/>
  <c r="DO136" i="10"/>
  <c r="DO137" i="10"/>
  <c r="DO138" i="10"/>
  <c r="DO139" i="10"/>
  <c r="DO140" i="10"/>
  <c r="DO141" i="10"/>
  <c r="DO142" i="10"/>
  <c r="DO143" i="10"/>
  <c r="DO144" i="10"/>
  <c r="DO145" i="10"/>
  <c r="DO146" i="10"/>
  <c r="DO147" i="10"/>
  <c r="DO148" i="10"/>
  <c r="DO149" i="10"/>
  <c r="DO150" i="10"/>
  <c r="DO151" i="10"/>
  <c r="DO152" i="10"/>
  <c r="DO153" i="10"/>
  <c r="DO154" i="10"/>
  <c r="DO155" i="10"/>
  <c r="DO156" i="10"/>
  <c r="DO157" i="10"/>
  <c r="DO158" i="10"/>
  <c r="DO159" i="10"/>
  <c r="DO160" i="10"/>
  <c r="DO161" i="10"/>
  <c r="DO162" i="10"/>
  <c r="DO163" i="10"/>
  <c r="DO164" i="10"/>
  <c r="DO165" i="10"/>
  <c r="DO166" i="10"/>
  <c r="DO167" i="10"/>
  <c r="DO168" i="10"/>
  <c r="DO169" i="10"/>
  <c r="DO170" i="10"/>
  <c r="DO171" i="10"/>
  <c r="DO172" i="10"/>
  <c r="DO173" i="10"/>
  <c r="DO174" i="10"/>
  <c r="DO175" i="10"/>
  <c r="DO176" i="10"/>
  <c r="DO177" i="10"/>
  <c r="DO178" i="10"/>
  <c r="DO179" i="10"/>
  <c r="DO180" i="10"/>
  <c r="DO181" i="10"/>
  <c r="DO182" i="10"/>
  <c r="DO183" i="10"/>
  <c r="DO184" i="10"/>
  <c r="DO185" i="10"/>
  <c r="DO186" i="10"/>
  <c r="DO187" i="10"/>
  <c r="DO188" i="10"/>
  <c r="DO189" i="10"/>
  <c r="DO190" i="10"/>
  <c r="DO191" i="10"/>
  <c r="DO192" i="10"/>
  <c r="DO193" i="10"/>
  <c r="DO194" i="10"/>
  <c r="DO195" i="10"/>
  <c r="DO196" i="10"/>
  <c r="DO197" i="10"/>
  <c r="DO198" i="10"/>
  <c r="DO199" i="10"/>
  <c r="DO200" i="10"/>
  <c r="K68" i="4" l="1"/>
  <c r="H68" i="4"/>
  <c r="N68" i="4" l="1"/>
  <c r="B2" i="19" l="1"/>
  <c r="K66" i="4" l="1"/>
  <c r="K65" i="4"/>
  <c r="K64" i="4"/>
  <c r="V84" i="4" s="1"/>
  <c r="K63" i="4"/>
  <c r="V80" i="4" s="1"/>
  <c r="K62" i="4"/>
  <c r="H65" i="4"/>
  <c r="H64" i="4"/>
  <c r="J84" i="4" s="1"/>
  <c r="H63" i="4"/>
  <c r="J80" i="4" s="1"/>
  <c r="R76" i="4" l="1"/>
  <c r="H69" i="4"/>
  <c r="K69" i="4"/>
  <c r="N63" i="4"/>
  <c r="AH80" i="4" s="1"/>
  <c r="N64" i="4"/>
  <c r="AH84" i="4" s="1"/>
  <c r="N62" i="4"/>
  <c r="N66" i="4"/>
  <c r="N65" i="4"/>
  <c r="R80" i="4" l="1"/>
  <c r="V76" i="4"/>
  <c r="N69" i="4"/>
  <c r="M3" i="11" a="1"/>
  <c r="M3" i="11" s="1"/>
  <c r="W76" i="4" l="1"/>
  <c r="S80" i="4"/>
  <c r="AA63" i="4"/>
  <c r="Z63" i="4"/>
  <c r="W69" i="4"/>
  <c r="U69" i="4"/>
  <c r="C75" i="4" s="1"/>
  <c r="AA62" i="4"/>
  <c r="Z62" i="4"/>
  <c r="T69" i="4"/>
  <c r="X69" i="4"/>
  <c r="O75" i="4" s="1"/>
  <c r="AB63" i="4"/>
  <c r="Y69" i="4"/>
  <c r="O76" i="4" s="1"/>
  <c r="V69" i="4"/>
  <c r="C76" i="4" s="1"/>
  <c r="AB62" i="4"/>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7" i="27"/>
  <c r="C6" i="27"/>
  <c r="C5" i="27"/>
  <c r="B42" i="27" s="1"/>
  <c r="B2" i="27"/>
  <c r="C40" i="26"/>
  <c r="C39" i="26"/>
  <c r="C38" i="26"/>
  <c r="C37" i="26"/>
  <c r="C36" i="26"/>
  <c r="C35" i="26"/>
  <c r="C34" i="26"/>
  <c r="C33" i="26"/>
  <c r="C32" i="26"/>
  <c r="C31" i="26"/>
  <c r="C30" i="26"/>
  <c r="C29" i="26"/>
  <c r="C28" i="26"/>
  <c r="C27" i="26"/>
  <c r="C26" i="26"/>
  <c r="C25" i="26"/>
  <c r="C24" i="26"/>
  <c r="C23" i="26"/>
  <c r="C22" i="26"/>
  <c r="C21" i="26"/>
  <c r="C20" i="26"/>
  <c r="C19" i="26"/>
  <c r="C18" i="26"/>
  <c r="C17" i="26"/>
  <c r="C16" i="26"/>
  <c r="C15" i="26"/>
  <c r="C14" i="26"/>
  <c r="C13" i="26"/>
  <c r="C12" i="26"/>
  <c r="C11" i="26"/>
  <c r="C10" i="26"/>
  <c r="C9" i="26"/>
  <c r="C8" i="26"/>
  <c r="C7" i="26"/>
  <c r="C6" i="26"/>
  <c r="C5" i="26"/>
  <c r="B42" i="26" s="1"/>
  <c r="B2" i="26"/>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C14" i="25"/>
  <c r="C13" i="25"/>
  <c r="C12" i="25"/>
  <c r="C11" i="25"/>
  <c r="C10" i="25"/>
  <c r="C9" i="25"/>
  <c r="C8" i="25"/>
  <c r="C7" i="25"/>
  <c r="C6" i="25"/>
  <c r="C5" i="25"/>
  <c r="B42" i="25" s="1"/>
  <c r="B2" i="25"/>
  <c r="K79" i="4" l="1"/>
  <c r="K83" i="4"/>
  <c r="AI79" i="4"/>
  <c r="AI83" i="4"/>
  <c r="K84" i="4"/>
  <c r="K80" i="4"/>
  <c r="AI84" i="4"/>
  <c r="AI80" i="4"/>
  <c r="W84" i="4"/>
  <c r="W80" i="4"/>
  <c r="S76" i="4"/>
  <c r="W79" i="4"/>
  <c r="W83" i="4"/>
  <c r="S75" i="4"/>
  <c r="W75" i="4"/>
  <c r="S79" i="4"/>
  <c r="AA69" i="4"/>
  <c r="AA75" i="4"/>
  <c r="AA76" i="4"/>
  <c r="Z69" i="4"/>
  <c r="AB69" i="4"/>
  <c r="B2" i="22"/>
  <c r="C5" i="22"/>
  <c r="B42" i="22" s="1"/>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B2" i="21"/>
  <c r="D5" i="21"/>
  <c r="E5" i="21" s="1"/>
  <c r="D6" i="21"/>
  <c r="E6" i="21" s="1"/>
  <c r="D7" i="21"/>
  <c r="E7" i="21" s="1"/>
  <c r="D8" i="21"/>
  <c r="E8" i="21" s="1"/>
  <c r="D9" i="21"/>
  <c r="E9" i="21" s="1"/>
  <c r="D10" i="21"/>
  <c r="E10" i="21" s="1"/>
  <c r="D11" i="21"/>
  <c r="E11" i="21" s="1"/>
  <c r="D12" i="21"/>
  <c r="E12" i="21" s="1"/>
  <c r="D13" i="21"/>
  <c r="E13" i="21" s="1"/>
  <c r="D14" i="21"/>
  <c r="E14" i="21" s="1"/>
  <c r="B2" i="20" l="1"/>
  <c r="K3" i="11" l="1"/>
  <c r="L106" i="4" l="1"/>
  <c r="L105" i="4" s="1"/>
  <c r="L128" i="4"/>
  <c r="L127" i="4" s="1"/>
  <c r="K4" i="11"/>
  <c r="L7" i="4"/>
  <c r="L3" i="11"/>
  <c r="F16" i="9"/>
  <c r="F15" i="9"/>
  <c r="F14" i="9"/>
  <c r="F13" i="9"/>
  <c r="F12" i="9"/>
  <c r="F11" i="9"/>
  <c r="F10" i="9"/>
  <c r="F9" i="9"/>
  <c r="F8" i="9"/>
  <c r="F7" i="9"/>
  <c r="F6" i="9"/>
  <c r="F5" i="9"/>
  <c r="F4" i="9"/>
  <c r="E16" i="9"/>
  <c r="E15" i="9"/>
  <c r="E14" i="9"/>
  <c r="E13" i="9"/>
  <c r="E12" i="9"/>
  <c r="E11" i="9"/>
  <c r="E10" i="9"/>
  <c r="E9" i="9"/>
  <c r="E8" i="9"/>
  <c r="E7" i="9"/>
  <c r="E6" i="9"/>
  <c r="E5" i="9"/>
  <c r="E4" i="9"/>
  <c r="D16" i="9"/>
  <c r="D15" i="9"/>
  <c r="D14" i="9"/>
  <c r="D13" i="9"/>
  <c r="D12" i="9"/>
  <c r="D11" i="9"/>
  <c r="D10" i="9"/>
  <c r="D9" i="9"/>
  <c r="D8" i="9"/>
  <c r="D7" i="9"/>
  <c r="D6" i="9"/>
  <c r="D5" i="9"/>
  <c r="D4" i="9"/>
  <c r="B16" i="9"/>
  <c r="B15" i="9"/>
  <c r="B14" i="9"/>
  <c r="B13" i="9"/>
  <c r="B12" i="9"/>
  <c r="B11" i="9"/>
  <c r="B10" i="9"/>
  <c r="B9" i="9"/>
  <c r="B8" i="9"/>
  <c r="B7" i="9"/>
  <c r="B6" i="9"/>
  <c r="B5" i="9"/>
  <c r="B4" i="9"/>
  <c r="C16" i="9"/>
  <c r="C15" i="9"/>
  <c r="C14" i="9"/>
  <c r="C13" i="9"/>
  <c r="C12" i="9"/>
  <c r="C11" i="9"/>
  <c r="C10" i="9"/>
  <c r="C9" i="9"/>
  <c r="C8" i="9"/>
  <c r="C7" i="9"/>
  <c r="C6" i="9"/>
  <c r="C5" i="9"/>
  <c r="C4" i="9"/>
  <c r="U4" i="10" l="1"/>
  <c r="CO4" i="10"/>
  <c r="BQ4" i="10"/>
  <c r="AS4" i="10"/>
  <c r="L13" i="4"/>
  <c r="F4" i="28"/>
  <c r="E4" i="28"/>
  <c r="L4" i="4"/>
  <c r="L3" i="4"/>
  <c r="M7" i="4"/>
  <c r="M128" i="4"/>
  <c r="M127" i="4" s="1"/>
  <c r="M106" i="4"/>
  <c r="M105" i="4" s="1"/>
  <c r="L12" i="4"/>
  <c r="K5" i="11"/>
  <c r="L4" i="11"/>
  <c r="L5" i="4"/>
  <c r="BQ47" i="10" l="1"/>
  <c r="AS6" i="10"/>
  <c r="AS11" i="10"/>
  <c r="AS15" i="10"/>
  <c r="AS19" i="10"/>
  <c r="AS23" i="10"/>
  <c r="AS27" i="10"/>
  <c r="AS31" i="10"/>
  <c r="AS35" i="10"/>
  <c r="AS39" i="10"/>
  <c r="AS43" i="10"/>
  <c r="AS47" i="10"/>
  <c r="AS51" i="10"/>
  <c r="AS55" i="10"/>
  <c r="AS59" i="10"/>
  <c r="AS63" i="10"/>
  <c r="AS67" i="10"/>
  <c r="AS71" i="10"/>
  <c r="AS75" i="10"/>
  <c r="AS79" i="10"/>
  <c r="AS83" i="10"/>
  <c r="AS87" i="10"/>
  <c r="AS91" i="10"/>
  <c r="AS95" i="10"/>
  <c r="AS99" i="10"/>
  <c r="AS103" i="10"/>
  <c r="AS107" i="10"/>
  <c r="AS111" i="10"/>
  <c r="AS115" i="10"/>
  <c r="AS119" i="10"/>
  <c r="AS123" i="10"/>
  <c r="AS127" i="10"/>
  <c r="AS131" i="10"/>
  <c r="AS135" i="10"/>
  <c r="AS139" i="10"/>
  <c r="AS143" i="10"/>
  <c r="AS147" i="10"/>
  <c r="AS8" i="10"/>
  <c r="AS12" i="10"/>
  <c r="AS16" i="10"/>
  <c r="AS20" i="10"/>
  <c r="AS24" i="10"/>
  <c r="AS28" i="10"/>
  <c r="AS32" i="10"/>
  <c r="AS36" i="10"/>
  <c r="AS40" i="10"/>
  <c r="AS44" i="10"/>
  <c r="AS48" i="10"/>
  <c r="AS52" i="10"/>
  <c r="AS56" i="10"/>
  <c r="AS60" i="10"/>
  <c r="AS64" i="10"/>
  <c r="AS68" i="10"/>
  <c r="AS9" i="10"/>
  <c r="AS13" i="10"/>
  <c r="AS17" i="10"/>
  <c r="AS21" i="10"/>
  <c r="AS25" i="10"/>
  <c r="AS29" i="10"/>
  <c r="AS33" i="10"/>
  <c r="AS37" i="10"/>
  <c r="AS41" i="10"/>
  <c r="AS45" i="10"/>
  <c r="AS49" i="10"/>
  <c r="AS53" i="10"/>
  <c r="AS57" i="10"/>
  <c r="AS61" i="10"/>
  <c r="AS65" i="10"/>
  <c r="AS69" i="10"/>
  <c r="AS73" i="10"/>
  <c r="AS77" i="10"/>
  <c r="AS81" i="10"/>
  <c r="AS85" i="10"/>
  <c r="AS89" i="10"/>
  <c r="AS93" i="10"/>
  <c r="AS97" i="10"/>
  <c r="AS101" i="10"/>
  <c r="AS105" i="10"/>
  <c r="AS109" i="10"/>
  <c r="AS113" i="10"/>
  <c r="AS117" i="10"/>
  <c r="AS121" i="10"/>
  <c r="AS125" i="10"/>
  <c r="AS129" i="10"/>
  <c r="AS133" i="10"/>
  <c r="AS137" i="10"/>
  <c r="AS141" i="10"/>
  <c r="AS145" i="10"/>
  <c r="AS149" i="10"/>
  <c r="AS7" i="10"/>
  <c r="AS10" i="10"/>
  <c r="AS14" i="10"/>
  <c r="AS18" i="10"/>
  <c r="AS22" i="10"/>
  <c r="AS26" i="10"/>
  <c r="AS30" i="10"/>
  <c r="AS34" i="10"/>
  <c r="AS38" i="10"/>
  <c r="AS42" i="10"/>
  <c r="AS46" i="10"/>
  <c r="AS50" i="10"/>
  <c r="AS54" i="10"/>
  <c r="AS58" i="10"/>
  <c r="AS62" i="10"/>
  <c r="AS66" i="10"/>
  <c r="AS70" i="10"/>
  <c r="AS74" i="10"/>
  <c r="AS78" i="10"/>
  <c r="AS82" i="10"/>
  <c r="AS86" i="10"/>
  <c r="AS90" i="10"/>
  <c r="AS94" i="10"/>
  <c r="AS98" i="10"/>
  <c r="AS102" i="10"/>
  <c r="AS106" i="10"/>
  <c r="AS110" i="10"/>
  <c r="AS114" i="10"/>
  <c r="AS118" i="10"/>
  <c r="AS122" i="10"/>
  <c r="AS126" i="10"/>
  <c r="AS130" i="10"/>
  <c r="AS134" i="10"/>
  <c r="AS138" i="10"/>
  <c r="AS142" i="10"/>
  <c r="AS146" i="10"/>
  <c r="AS150" i="10"/>
  <c r="AS72" i="10"/>
  <c r="AS88" i="10"/>
  <c r="AS104" i="10"/>
  <c r="AS120" i="10"/>
  <c r="AS136" i="10"/>
  <c r="AS151" i="10"/>
  <c r="AS155" i="10"/>
  <c r="AS159" i="10"/>
  <c r="AS163" i="10"/>
  <c r="AS167" i="10"/>
  <c r="AS171" i="10"/>
  <c r="AS175" i="10"/>
  <c r="AS179" i="10"/>
  <c r="AS183" i="10"/>
  <c r="AS187" i="10"/>
  <c r="AS191" i="10"/>
  <c r="AS195" i="10"/>
  <c r="AS199" i="10"/>
  <c r="AS76" i="10"/>
  <c r="AS92" i="10"/>
  <c r="AS108" i="10"/>
  <c r="AS124" i="10"/>
  <c r="AS140" i="10"/>
  <c r="AS152" i="10"/>
  <c r="AS156" i="10"/>
  <c r="AS160" i="10"/>
  <c r="AS164" i="10"/>
  <c r="AS168" i="10"/>
  <c r="AS172" i="10"/>
  <c r="AS176" i="10"/>
  <c r="AS180" i="10"/>
  <c r="AS184" i="10"/>
  <c r="AS188" i="10"/>
  <c r="AS192" i="10"/>
  <c r="AS196" i="10"/>
  <c r="AS200" i="10"/>
  <c r="AS80" i="10"/>
  <c r="AS96" i="10"/>
  <c r="AS112" i="10"/>
  <c r="AS128" i="10"/>
  <c r="AS144" i="10"/>
  <c r="AS153" i="10"/>
  <c r="AS157" i="10"/>
  <c r="AS161" i="10"/>
  <c r="AS165" i="10"/>
  <c r="AS169" i="10"/>
  <c r="AS173" i="10"/>
  <c r="AS177" i="10"/>
  <c r="AS181" i="10"/>
  <c r="AS185" i="10"/>
  <c r="AS189" i="10"/>
  <c r="AS193" i="10"/>
  <c r="AS197" i="10"/>
  <c r="AS84" i="10"/>
  <c r="AS100" i="10"/>
  <c r="AS116" i="10"/>
  <c r="AS132" i="10"/>
  <c r="AS148" i="10"/>
  <c r="AS154" i="10"/>
  <c r="AS158" i="10"/>
  <c r="AS162" i="10"/>
  <c r="AS166" i="10"/>
  <c r="AS170" i="10"/>
  <c r="AS174" i="10"/>
  <c r="AS178" i="10"/>
  <c r="AS182" i="10"/>
  <c r="AS186" i="10"/>
  <c r="AS190" i="10"/>
  <c r="AS194" i="10"/>
  <c r="AS198" i="10"/>
  <c r="BQ6" i="10"/>
  <c r="BQ52" i="10"/>
  <c r="CO52" i="10" s="1"/>
  <c r="BQ196" i="10"/>
  <c r="BQ192" i="10"/>
  <c r="BQ188" i="10"/>
  <c r="BQ184" i="10"/>
  <c r="BQ180" i="10"/>
  <c r="BQ176" i="10"/>
  <c r="BQ172" i="10"/>
  <c r="BQ168" i="10"/>
  <c r="BQ164" i="10"/>
  <c r="BQ161" i="10"/>
  <c r="BQ157" i="10"/>
  <c r="BQ153" i="10"/>
  <c r="BQ149" i="10"/>
  <c r="BQ145" i="10"/>
  <c r="BQ141" i="10"/>
  <c r="BQ8" i="10"/>
  <c r="BQ10" i="10"/>
  <c r="CO10" i="10" s="1"/>
  <c r="BQ12" i="10"/>
  <c r="BQ14" i="10"/>
  <c r="BQ16" i="10"/>
  <c r="BQ18" i="10"/>
  <c r="CO18" i="10" s="1"/>
  <c r="BQ20" i="10"/>
  <c r="BQ22" i="10"/>
  <c r="BQ24" i="10"/>
  <c r="BQ26" i="10"/>
  <c r="CO26" i="10" s="1"/>
  <c r="BQ28" i="10"/>
  <c r="BQ30" i="10"/>
  <c r="BQ32" i="10"/>
  <c r="BQ34" i="10"/>
  <c r="CO34" i="10" s="1"/>
  <c r="BQ36" i="10"/>
  <c r="BQ38" i="10"/>
  <c r="BQ40" i="10"/>
  <c r="BQ42" i="10"/>
  <c r="BQ44" i="10"/>
  <c r="BQ46" i="10"/>
  <c r="BQ200" i="10"/>
  <c r="BQ195" i="10"/>
  <c r="BQ191" i="10"/>
  <c r="BQ187" i="10"/>
  <c r="BQ183" i="10"/>
  <c r="BQ179" i="10"/>
  <c r="BQ175" i="10"/>
  <c r="BQ171" i="10"/>
  <c r="BQ167" i="10"/>
  <c r="BQ199" i="10"/>
  <c r="BQ160" i="10"/>
  <c r="BQ156" i="10"/>
  <c r="BQ152" i="10"/>
  <c r="BQ148" i="10"/>
  <c r="BQ198" i="10"/>
  <c r="BQ194" i="10"/>
  <c r="BQ190" i="10"/>
  <c r="BQ186" i="10"/>
  <c r="BQ182" i="10"/>
  <c r="BQ178" i="10"/>
  <c r="BQ174" i="10"/>
  <c r="BQ170" i="10"/>
  <c r="BQ166" i="10"/>
  <c r="BQ163" i="10"/>
  <c r="BQ159" i="10"/>
  <c r="BQ155" i="10"/>
  <c r="BQ151" i="10"/>
  <c r="BQ7" i="10"/>
  <c r="CO7" i="10" s="1"/>
  <c r="BQ9" i="10"/>
  <c r="CO9" i="10" s="1"/>
  <c r="BQ11" i="10"/>
  <c r="BQ13" i="10"/>
  <c r="CO13" i="10" s="1"/>
  <c r="BQ15" i="10"/>
  <c r="BQ17" i="10"/>
  <c r="BQ19" i="10"/>
  <c r="CO19" i="10" s="1"/>
  <c r="BQ21" i="10"/>
  <c r="CO21" i="10" s="1"/>
  <c r="BQ23" i="10"/>
  <c r="BQ25" i="10"/>
  <c r="CO25" i="10" s="1"/>
  <c r="BQ27" i="10"/>
  <c r="BQ29" i="10"/>
  <c r="CO29" i="10" s="1"/>
  <c r="BQ31" i="10"/>
  <c r="BQ33" i="10"/>
  <c r="BQ35" i="10"/>
  <c r="BQ37" i="10"/>
  <c r="CO37" i="10" s="1"/>
  <c r="BQ39" i="10"/>
  <c r="CO39" i="10" s="1"/>
  <c r="BQ41" i="10"/>
  <c r="CO41" i="10" s="1"/>
  <c r="BQ43" i="10"/>
  <c r="CO43" i="10" s="1"/>
  <c r="BQ45" i="10"/>
  <c r="CO45" i="10" s="1"/>
  <c r="BQ197" i="10"/>
  <c r="BQ193" i="10"/>
  <c r="CO193" i="10" s="1"/>
  <c r="BQ189" i="10"/>
  <c r="BQ185" i="10"/>
  <c r="BQ181" i="10"/>
  <c r="BQ177" i="10"/>
  <c r="BQ173" i="10"/>
  <c r="CO173" i="10" s="1"/>
  <c r="BQ169" i="10"/>
  <c r="CO169" i="10" s="1"/>
  <c r="BQ165" i="10"/>
  <c r="BQ162" i="10"/>
  <c r="BQ158" i="10"/>
  <c r="CO158" i="10" s="1"/>
  <c r="BQ154" i="10"/>
  <c r="CO154" i="10" s="1"/>
  <c r="BQ150" i="10"/>
  <c r="CO150" i="10" s="1"/>
  <c r="BQ146" i="10"/>
  <c r="CO146" i="10" s="1"/>
  <c r="BQ142" i="10"/>
  <c r="BQ138" i="10"/>
  <c r="CO138" i="10" s="1"/>
  <c r="BQ134" i="10"/>
  <c r="CO134" i="10" s="1"/>
  <c r="BQ130" i="10"/>
  <c r="CO130" i="10" s="1"/>
  <c r="BQ126" i="10"/>
  <c r="BQ122" i="10"/>
  <c r="CO122" i="10" s="1"/>
  <c r="BQ118" i="10"/>
  <c r="CO118" i="10" s="1"/>
  <c r="BQ114" i="10"/>
  <c r="CO114" i="10" s="1"/>
  <c r="BQ110" i="10"/>
  <c r="BQ106" i="10"/>
  <c r="CO106" i="10" s="1"/>
  <c r="BQ102" i="10"/>
  <c r="CO102" i="10" s="1"/>
  <c r="BQ98" i="10"/>
  <c r="CO98" i="10" s="1"/>
  <c r="BQ94" i="10"/>
  <c r="BQ90" i="10"/>
  <c r="CO90" i="10" s="1"/>
  <c r="BQ86" i="10"/>
  <c r="CO86" i="10" s="1"/>
  <c r="BQ82" i="10"/>
  <c r="CO82" i="10" s="1"/>
  <c r="BQ78" i="10"/>
  <c r="BQ74" i="10"/>
  <c r="CO74" i="10" s="1"/>
  <c r="BQ70" i="10"/>
  <c r="CO70" i="10" s="1"/>
  <c r="BQ66" i="10"/>
  <c r="CO66" i="10" s="1"/>
  <c r="BQ62" i="10"/>
  <c r="BQ58" i="10"/>
  <c r="CO58" i="10" s="1"/>
  <c r="BQ54" i="10"/>
  <c r="CO54" i="10" s="1"/>
  <c r="BQ147" i="10"/>
  <c r="BQ139" i="10"/>
  <c r="BQ133" i="10"/>
  <c r="BQ128" i="10"/>
  <c r="BQ123" i="10"/>
  <c r="BQ117" i="10"/>
  <c r="BQ112" i="10"/>
  <c r="BQ107" i="10"/>
  <c r="BQ101" i="10"/>
  <c r="BQ96" i="10"/>
  <c r="BQ91" i="10"/>
  <c r="CO91" i="10" s="1"/>
  <c r="BQ85" i="10"/>
  <c r="BQ80" i="10"/>
  <c r="BQ75" i="10"/>
  <c r="CO75" i="10" s="1"/>
  <c r="BQ69" i="10"/>
  <c r="BQ64" i="10"/>
  <c r="BQ59" i="10"/>
  <c r="BQ144" i="10"/>
  <c r="BQ137" i="10"/>
  <c r="BQ132" i="10"/>
  <c r="BQ127" i="10"/>
  <c r="BQ121" i="10"/>
  <c r="BQ116" i="10"/>
  <c r="BQ111" i="10"/>
  <c r="BQ105" i="10"/>
  <c r="BQ100" i="10"/>
  <c r="BQ95" i="10"/>
  <c r="CO95" i="10" s="1"/>
  <c r="BQ89" i="10"/>
  <c r="BQ84" i="10"/>
  <c r="BQ79" i="10"/>
  <c r="BQ73" i="10"/>
  <c r="BQ68" i="10"/>
  <c r="BQ63" i="10"/>
  <c r="BQ57" i="10"/>
  <c r="BQ143" i="10"/>
  <c r="CO143" i="10" s="1"/>
  <c r="BQ136" i="10"/>
  <c r="BQ131" i="10"/>
  <c r="BQ125" i="10"/>
  <c r="BQ120" i="10"/>
  <c r="BQ115" i="10"/>
  <c r="CO115" i="10" s="1"/>
  <c r="BQ109" i="10"/>
  <c r="BQ104" i="10"/>
  <c r="BQ99" i="10"/>
  <c r="CO99" i="10" s="1"/>
  <c r="BQ93" i="10"/>
  <c r="BQ88" i="10"/>
  <c r="BQ83" i="10"/>
  <c r="CO83" i="10" s="1"/>
  <c r="BQ77" i="10"/>
  <c r="BQ72" i="10"/>
  <c r="BQ67" i="10"/>
  <c r="CO67" i="10" s="1"/>
  <c r="BQ61" i="10"/>
  <c r="BQ56" i="10"/>
  <c r="BQ140" i="10"/>
  <c r="BQ135" i="10"/>
  <c r="CO135" i="10" s="1"/>
  <c r="BQ129" i="10"/>
  <c r="BQ124" i="10"/>
  <c r="BQ119" i="10"/>
  <c r="CO119" i="10" s="1"/>
  <c r="BQ113" i="10"/>
  <c r="BQ108" i="10"/>
  <c r="BQ103" i="10"/>
  <c r="CO103" i="10" s="1"/>
  <c r="BQ97" i="10"/>
  <c r="BQ92" i="10"/>
  <c r="BQ87" i="10"/>
  <c r="CO87" i="10" s="1"/>
  <c r="BQ81" i="10"/>
  <c r="BQ76" i="10"/>
  <c r="BQ71" i="10"/>
  <c r="CO71" i="10" s="1"/>
  <c r="BQ65" i="10"/>
  <c r="BQ60" i="10"/>
  <c r="BQ55" i="10"/>
  <c r="CO55" i="10" s="1"/>
  <c r="BQ53" i="10"/>
  <c r="BQ49" i="10"/>
  <c r="BQ48" i="10"/>
  <c r="BQ51" i="10"/>
  <c r="BQ50" i="10"/>
  <c r="E3" i="28"/>
  <c r="U3" i="10"/>
  <c r="CO3" i="10"/>
  <c r="BQ3" i="10"/>
  <c r="AS3" i="10"/>
  <c r="M12" i="4"/>
  <c r="V4" i="10"/>
  <c r="M13" i="4"/>
  <c r="CP4" i="10"/>
  <c r="BR4" i="10"/>
  <c r="AT4" i="10"/>
  <c r="U9" i="10"/>
  <c r="U191" i="10"/>
  <c r="U131" i="10"/>
  <c r="U88" i="10"/>
  <c r="U171" i="10"/>
  <c r="U158" i="10"/>
  <c r="U46" i="10"/>
  <c r="U30" i="10"/>
  <c r="U115" i="10"/>
  <c r="U72" i="10"/>
  <c r="U110" i="10"/>
  <c r="U136" i="10"/>
  <c r="U183" i="10"/>
  <c r="U104" i="10"/>
  <c r="U19" i="10"/>
  <c r="U195" i="10"/>
  <c r="U120" i="10"/>
  <c r="U35" i="10"/>
  <c r="U190" i="10"/>
  <c r="U174" i="10"/>
  <c r="U156" i="10"/>
  <c r="U135" i="10"/>
  <c r="U114" i="10"/>
  <c r="U92" i="10"/>
  <c r="U71" i="10"/>
  <c r="U50" i="10"/>
  <c r="U28" i="10"/>
  <c r="U6" i="10"/>
  <c r="U189" i="10"/>
  <c r="U173" i="10"/>
  <c r="U155" i="10"/>
  <c r="U134" i="10"/>
  <c r="U112" i="10"/>
  <c r="U91" i="10"/>
  <c r="U70" i="10"/>
  <c r="U48" i="10"/>
  <c r="U27" i="10"/>
  <c r="U7" i="10"/>
  <c r="U196" i="10"/>
  <c r="U180" i="10"/>
  <c r="U164" i="10"/>
  <c r="U143" i="10"/>
  <c r="U122" i="10"/>
  <c r="U100" i="10"/>
  <c r="U79" i="10"/>
  <c r="U58" i="10"/>
  <c r="U36" i="10"/>
  <c r="U15" i="10"/>
  <c r="U67" i="10"/>
  <c r="U94" i="10"/>
  <c r="U167" i="10"/>
  <c r="U83" i="10"/>
  <c r="U179" i="10"/>
  <c r="U99" i="10"/>
  <c r="U14" i="10"/>
  <c r="U186" i="10"/>
  <c r="U170" i="10"/>
  <c r="U151" i="10"/>
  <c r="U130" i="10"/>
  <c r="U108" i="10"/>
  <c r="U87" i="10"/>
  <c r="U66" i="10"/>
  <c r="U44" i="10"/>
  <c r="U23" i="10"/>
  <c r="U185" i="10"/>
  <c r="U169" i="10"/>
  <c r="U150" i="10"/>
  <c r="U128" i="10"/>
  <c r="U107" i="10"/>
  <c r="U86" i="10"/>
  <c r="U64" i="10"/>
  <c r="U43" i="10"/>
  <c r="U22" i="10"/>
  <c r="U192" i="10"/>
  <c r="U176" i="10"/>
  <c r="U159" i="10"/>
  <c r="U138" i="10"/>
  <c r="U116" i="10"/>
  <c r="U95" i="10"/>
  <c r="U74" i="10"/>
  <c r="U52" i="10"/>
  <c r="U31" i="10"/>
  <c r="U10" i="10"/>
  <c r="U187" i="10"/>
  <c r="U24" i="10"/>
  <c r="U51" i="10"/>
  <c r="U147" i="10"/>
  <c r="U62" i="10"/>
  <c r="U163" i="10"/>
  <c r="U78" i="10"/>
  <c r="U198" i="10"/>
  <c r="U182" i="10"/>
  <c r="U166" i="10"/>
  <c r="U146" i="10"/>
  <c r="U124" i="10"/>
  <c r="U103" i="10"/>
  <c r="U82" i="10"/>
  <c r="U60" i="10"/>
  <c r="U39" i="10"/>
  <c r="U18" i="10"/>
  <c r="U197" i="10"/>
  <c r="U181" i="10"/>
  <c r="U165" i="10"/>
  <c r="U144" i="10"/>
  <c r="U123" i="10"/>
  <c r="U102" i="10"/>
  <c r="U80" i="10"/>
  <c r="U59" i="10"/>
  <c r="U38" i="10"/>
  <c r="U16" i="10"/>
  <c r="U188" i="10"/>
  <c r="U172" i="10"/>
  <c r="U154" i="10"/>
  <c r="U132" i="10"/>
  <c r="U111" i="10"/>
  <c r="U90" i="10"/>
  <c r="U68" i="10"/>
  <c r="U47" i="10"/>
  <c r="U26" i="10"/>
  <c r="U152" i="10"/>
  <c r="U175" i="10"/>
  <c r="U8" i="10"/>
  <c r="U199" i="10"/>
  <c r="U126" i="10"/>
  <c r="U40" i="10"/>
  <c r="U142" i="10"/>
  <c r="U56" i="10"/>
  <c r="U194" i="10"/>
  <c r="U178" i="10"/>
  <c r="U162" i="10"/>
  <c r="U140" i="10"/>
  <c r="U119" i="10"/>
  <c r="U98" i="10"/>
  <c r="U76" i="10"/>
  <c r="U55" i="10"/>
  <c r="U34" i="10"/>
  <c r="U12" i="10"/>
  <c r="U193" i="10"/>
  <c r="U177" i="10"/>
  <c r="U160" i="10"/>
  <c r="U139" i="10"/>
  <c r="U118" i="10"/>
  <c r="U96" i="10"/>
  <c r="U75" i="10"/>
  <c r="U54" i="10"/>
  <c r="U32" i="10"/>
  <c r="U11" i="10"/>
  <c r="U200" i="10"/>
  <c r="U184" i="10"/>
  <c r="U168" i="10"/>
  <c r="U148" i="10"/>
  <c r="U127" i="10"/>
  <c r="U106" i="10"/>
  <c r="U84" i="10"/>
  <c r="U63" i="10"/>
  <c r="U42" i="10"/>
  <c r="U20" i="10"/>
  <c r="U157" i="10"/>
  <c r="U141" i="10"/>
  <c r="U125" i="10"/>
  <c r="U109" i="10"/>
  <c r="U93" i="10"/>
  <c r="U77" i="10"/>
  <c r="U61" i="10"/>
  <c r="U45" i="10"/>
  <c r="U29" i="10"/>
  <c r="U13" i="10"/>
  <c r="U153" i="10"/>
  <c r="U137" i="10"/>
  <c r="U121" i="10"/>
  <c r="U105" i="10"/>
  <c r="U89" i="10"/>
  <c r="U73" i="10"/>
  <c r="U57" i="10"/>
  <c r="U41" i="10"/>
  <c r="U25" i="10"/>
  <c r="U149" i="10"/>
  <c r="U133" i="10"/>
  <c r="U117" i="10"/>
  <c r="U101" i="10"/>
  <c r="U85" i="10"/>
  <c r="U69" i="10"/>
  <c r="U53" i="10"/>
  <c r="U37" i="10"/>
  <c r="U21" i="10"/>
  <c r="U161" i="10"/>
  <c r="U145" i="10"/>
  <c r="U129" i="10"/>
  <c r="U113" i="10"/>
  <c r="U97" i="10"/>
  <c r="U81" i="10"/>
  <c r="U65" i="10"/>
  <c r="U49" i="10"/>
  <c r="U33" i="10"/>
  <c r="U17" i="10"/>
  <c r="BB10" i="28"/>
  <c r="DO14" i="10" s="1"/>
  <c r="BB22" i="28"/>
  <c r="DO60" i="10" s="1"/>
  <c r="BB7" i="28"/>
  <c r="DO9" i="10" s="1"/>
  <c r="BB23" i="28"/>
  <c r="DO62" i="10" s="1"/>
  <c r="BB20" i="28"/>
  <c r="DO55" i="10" s="1"/>
  <c r="M4" i="4"/>
  <c r="H4" i="28"/>
  <c r="BB17" i="28" s="1"/>
  <c r="DO33" i="10" s="1"/>
  <c r="G4" i="28"/>
  <c r="M5" i="4"/>
  <c r="M3" i="4"/>
  <c r="N7" i="4"/>
  <c r="N128" i="4"/>
  <c r="N127" i="4" s="1"/>
  <c r="N106" i="4"/>
  <c r="N105" i="4" s="1"/>
  <c r="DN62" i="10"/>
  <c r="DN55" i="10"/>
  <c r="DN14" i="10"/>
  <c r="DN60" i="10"/>
  <c r="L5" i="11"/>
  <c r="K6" i="11"/>
  <c r="L6" i="11" s="1"/>
  <c r="CO59" i="10" l="1"/>
  <c r="CO162" i="10"/>
  <c r="CO107" i="10"/>
  <c r="CO165" i="10"/>
  <c r="CO197" i="10"/>
  <c r="CO47" i="10"/>
  <c r="CO79" i="10"/>
  <c r="CO62" i="10"/>
  <c r="CO78" i="10"/>
  <c r="CO94" i="10"/>
  <c r="CO110" i="10"/>
  <c r="CO126" i="10"/>
  <c r="CO142" i="10"/>
  <c r="CO63" i="10"/>
  <c r="CO127" i="10"/>
  <c r="CO33" i="10"/>
  <c r="CO17" i="10"/>
  <c r="CO111" i="10"/>
  <c r="CO31" i="10"/>
  <c r="CO15" i="10"/>
  <c r="CO30" i="10"/>
  <c r="CO14" i="10"/>
  <c r="K7" i="11"/>
  <c r="CO198" i="10"/>
  <c r="CO182" i="10"/>
  <c r="CO166" i="10"/>
  <c r="CO148" i="10"/>
  <c r="CO84" i="10"/>
  <c r="CO185" i="10"/>
  <c r="CO153" i="10"/>
  <c r="CO96" i="10"/>
  <c r="CO192" i="10"/>
  <c r="CO176" i="10"/>
  <c r="CO160" i="10"/>
  <c r="CO124" i="10"/>
  <c r="CO199" i="10"/>
  <c r="CO183" i="10"/>
  <c r="CO167" i="10"/>
  <c r="CO151" i="10"/>
  <c r="CO88" i="10"/>
  <c r="CO46" i="10"/>
  <c r="CO145" i="10"/>
  <c r="CO129" i="10"/>
  <c r="CO113" i="10"/>
  <c r="CO97" i="10"/>
  <c r="CO81" i="10"/>
  <c r="CO65" i="10"/>
  <c r="CO49" i="10"/>
  <c r="CO64" i="10"/>
  <c r="CO48" i="10"/>
  <c r="CO32" i="10"/>
  <c r="CO16" i="10"/>
  <c r="CQ4" i="10"/>
  <c r="BS4" i="10"/>
  <c r="AU4" i="10"/>
  <c r="W4" i="10"/>
  <c r="L10" i="4"/>
  <c r="L120" i="4"/>
  <c r="L24" i="4"/>
  <c r="L141" i="4"/>
  <c r="L108" i="4"/>
  <c r="L119" i="4"/>
  <c r="L130" i="4"/>
  <c r="L142" i="4"/>
  <c r="L23" i="4"/>
  <c r="CO194" i="10"/>
  <c r="CO178" i="10"/>
  <c r="CO132" i="10"/>
  <c r="CO181" i="10"/>
  <c r="CO144" i="10"/>
  <c r="CO80" i="10"/>
  <c r="CO188" i="10"/>
  <c r="CO172" i="10"/>
  <c r="CO156" i="10"/>
  <c r="CO108" i="10"/>
  <c r="CO195" i="10"/>
  <c r="CO179" i="10"/>
  <c r="CO163" i="10"/>
  <c r="CO136" i="10"/>
  <c r="CO72" i="10"/>
  <c r="CO42" i="10"/>
  <c r="CO141" i="10"/>
  <c r="CO125" i="10"/>
  <c r="CO109" i="10"/>
  <c r="CO93" i="10"/>
  <c r="CO77" i="10"/>
  <c r="CO61" i="10"/>
  <c r="CO60" i="10"/>
  <c r="CO44" i="10"/>
  <c r="CO28" i="10"/>
  <c r="CO12" i="10"/>
  <c r="CO139" i="10"/>
  <c r="CO123" i="10"/>
  <c r="CO27" i="10"/>
  <c r="CO11" i="10"/>
  <c r="CO190" i="10"/>
  <c r="CO174" i="10"/>
  <c r="CO116" i="10"/>
  <c r="CO177" i="10"/>
  <c r="CO161" i="10"/>
  <c r="CO128" i="10"/>
  <c r="CO200" i="10"/>
  <c r="CO184" i="10"/>
  <c r="CO168" i="10"/>
  <c r="CO152" i="10"/>
  <c r="CO92" i="10"/>
  <c r="CO191" i="10"/>
  <c r="CO175" i="10"/>
  <c r="CO159" i="10"/>
  <c r="CO120" i="10"/>
  <c r="CO38" i="10"/>
  <c r="CO22" i="10"/>
  <c r="CO137" i="10"/>
  <c r="CO121" i="10"/>
  <c r="CO105" i="10"/>
  <c r="CO89" i="10"/>
  <c r="CO73" i="10"/>
  <c r="CO57" i="10"/>
  <c r="CO56" i="10"/>
  <c r="CO40" i="10"/>
  <c r="CO24" i="10"/>
  <c r="CO8" i="10"/>
  <c r="CO23" i="10"/>
  <c r="CO6" i="10"/>
  <c r="CP3" i="10"/>
  <c r="BR3" i="10"/>
  <c r="AT3" i="10"/>
  <c r="V3" i="10"/>
  <c r="L131" i="4"/>
  <c r="L11" i="4"/>
  <c r="L109" i="4"/>
  <c r="BR51" i="10"/>
  <c r="AT7" i="10"/>
  <c r="AT10" i="10"/>
  <c r="AT14" i="10"/>
  <c r="AT18" i="10"/>
  <c r="AT22" i="10"/>
  <c r="AT26" i="10"/>
  <c r="AT30" i="10"/>
  <c r="AT34" i="10"/>
  <c r="AT38" i="10"/>
  <c r="AT42" i="10"/>
  <c r="AT46" i="10"/>
  <c r="AT50" i="10"/>
  <c r="AT54" i="10"/>
  <c r="AT58" i="10"/>
  <c r="AT62" i="10"/>
  <c r="AT66" i="10"/>
  <c r="AT70" i="10"/>
  <c r="AT74" i="10"/>
  <c r="AT78" i="10"/>
  <c r="AT82" i="10"/>
  <c r="AT86" i="10"/>
  <c r="AT90" i="10"/>
  <c r="AT94" i="10"/>
  <c r="AT98" i="10"/>
  <c r="AT102" i="10"/>
  <c r="AT106" i="10"/>
  <c r="AT110" i="10"/>
  <c r="AT114" i="10"/>
  <c r="AT118" i="10"/>
  <c r="AT122" i="10"/>
  <c r="AT126" i="10"/>
  <c r="AT130" i="10"/>
  <c r="AT134" i="10"/>
  <c r="AT138" i="10"/>
  <c r="AT142" i="10"/>
  <c r="AT146" i="10"/>
  <c r="AT150" i="10"/>
  <c r="AT154" i="10"/>
  <c r="AT158" i="10"/>
  <c r="AT162" i="10"/>
  <c r="AT166" i="10"/>
  <c r="AT170" i="10"/>
  <c r="AT174" i="10"/>
  <c r="AT178" i="10"/>
  <c r="AT182" i="10"/>
  <c r="AT186" i="10"/>
  <c r="AT190" i="10"/>
  <c r="AT194" i="10"/>
  <c r="AT198" i="10"/>
  <c r="AT6" i="10"/>
  <c r="AT11" i="10"/>
  <c r="AT15" i="10"/>
  <c r="AT19" i="10"/>
  <c r="AT23" i="10"/>
  <c r="AT27" i="10"/>
  <c r="AT31" i="10"/>
  <c r="AT35" i="10"/>
  <c r="AT39" i="10"/>
  <c r="AT43" i="10"/>
  <c r="AT47" i="10"/>
  <c r="AT51" i="10"/>
  <c r="AT55" i="10"/>
  <c r="AT59" i="10"/>
  <c r="AT63" i="10"/>
  <c r="AT67" i="10"/>
  <c r="AT71" i="10"/>
  <c r="AT75" i="10"/>
  <c r="AT79" i="10"/>
  <c r="AT83" i="10"/>
  <c r="AT87" i="10"/>
  <c r="AT91" i="10"/>
  <c r="AT95" i="10"/>
  <c r="AT99" i="10"/>
  <c r="AT103" i="10"/>
  <c r="AT107" i="10"/>
  <c r="AT111" i="10"/>
  <c r="AT115" i="10"/>
  <c r="AT119" i="10"/>
  <c r="AT123" i="10"/>
  <c r="AT127" i="10"/>
  <c r="AT131" i="10"/>
  <c r="AT135" i="10"/>
  <c r="AT139" i="10"/>
  <c r="AT143" i="10"/>
  <c r="AT147" i="10"/>
  <c r="AT151" i="10"/>
  <c r="AT155" i="10"/>
  <c r="AT159" i="10"/>
  <c r="AT163" i="10"/>
  <c r="AT167" i="10"/>
  <c r="AT171" i="10"/>
  <c r="AT175" i="10"/>
  <c r="AT179" i="10"/>
  <c r="AT183" i="10"/>
  <c r="AT187" i="10"/>
  <c r="AT191" i="10"/>
  <c r="AT195" i="10"/>
  <c r="AT199" i="10"/>
  <c r="AT8" i="10"/>
  <c r="AT12" i="10"/>
  <c r="AT16" i="10"/>
  <c r="AT20" i="10"/>
  <c r="AT24" i="10"/>
  <c r="AT28" i="10"/>
  <c r="AT32" i="10"/>
  <c r="AT36" i="10"/>
  <c r="AT40" i="10"/>
  <c r="AT44" i="10"/>
  <c r="AT48" i="10"/>
  <c r="AT52" i="10"/>
  <c r="AT56" i="10"/>
  <c r="AT60" i="10"/>
  <c r="AT64" i="10"/>
  <c r="AT68" i="10"/>
  <c r="AT72" i="10"/>
  <c r="AT76" i="10"/>
  <c r="AT80" i="10"/>
  <c r="AT84" i="10"/>
  <c r="AT88" i="10"/>
  <c r="AT92" i="10"/>
  <c r="AT96" i="10"/>
  <c r="AT100" i="10"/>
  <c r="AT104" i="10"/>
  <c r="AT108" i="10"/>
  <c r="AT112" i="10"/>
  <c r="AT116" i="10"/>
  <c r="AT120" i="10"/>
  <c r="AT124" i="10"/>
  <c r="AT128" i="10"/>
  <c r="AT132" i="10"/>
  <c r="AT136" i="10"/>
  <c r="AT140" i="10"/>
  <c r="AT144" i="10"/>
  <c r="AT148" i="10"/>
  <c r="AT152" i="10"/>
  <c r="AT156" i="10"/>
  <c r="AT160" i="10"/>
  <c r="AT164" i="10"/>
  <c r="AT168" i="10"/>
  <c r="AT172" i="10"/>
  <c r="AT176" i="10"/>
  <c r="AT180" i="10"/>
  <c r="AT184" i="10"/>
  <c r="AT188" i="10"/>
  <c r="AT192" i="10"/>
  <c r="AT196" i="10"/>
  <c r="AT200" i="10"/>
  <c r="AT9" i="10"/>
  <c r="AT13" i="10"/>
  <c r="AT17" i="10"/>
  <c r="AT21" i="10"/>
  <c r="AT25" i="10"/>
  <c r="AT29" i="10"/>
  <c r="AT33" i="10"/>
  <c r="AT37" i="10"/>
  <c r="AT41" i="10"/>
  <c r="AT45" i="10"/>
  <c r="AT49" i="10"/>
  <c r="AT53" i="10"/>
  <c r="AT57" i="10"/>
  <c r="AT61" i="10"/>
  <c r="AT65" i="10"/>
  <c r="AT69" i="10"/>
  <c r="AT73" i="10"/>
  <c r="AT77" i="10"/>
  <c r="AT81" i="10"/>
  <c r="AT85" i="10"/>
  <c r="AT89" i="10"/>
  <c r="AT93" i="10"/>
  <c r="AT97" i="10"/>
  <c r="AT101" i="10"/>
  <c r="AT105" i="10"/>
  <c r="AT109" i="10"/>
  <c r="AT113" i="10"/>
  <c r="AT117" i="10"/>
  <c r="AT121" i="10"/>
  <c r="AT125" i="10"/>
  <c r="AT129" i="10"/>
  <c r="AT133" i="10"/>
  <c r="AT137" i="10"/>
  <c r="AT141" i="10"/>
  <c r="AT145" i="10"/>
  <c r="AT149" i="10"/>
  <c r="AT153" i="10"/>
  <c r="AT157" i="10"/>
  <c r="AT161" i="10"/>
  <c r="AT165" i="10"/>
  <c r="AT169" i="10"/>
  <c r="AT173" i="10"/>
  <c r="AT177" i="10"/>
  <c r="AT181" i="10"/>
  <c r="AT185" i="10"/>
  <c r="AT189" i="10"/>
  <c r="AT193" i="10"/>
  <c r="AT197" i="10"/>
  <c r="BR48" i="10"/>
  <c r="BR50" i="10"/>
  <c r="BR49" i="10"/>
  <c r="BR198" i="10"/>
  <c r="BR190" i="10"/>
  <c r="BR186" i="10"/>
  <c r="BR182" i="10"/>
  <c r="BR178" i="10"/>
  <c r="BR174" i="10"/>
  <c r="BR170" i="10"/>
  <c r="BR166" i="10"/>
  <c r="BR162" i="10"/>
  <c r="BR158" i="10"/>
  <c r="BR194" i="10"/>
  <c r="BR154" i="10"/>
  <c r="BR150" i="10"/>
  <c r="BR146" i="10"/>
  <c r="BR142" i="10"/>
  <c r="CP142" i="10" s="1"/>
  <c r="BR138" i="10"/>
  <c r="BR134" i="10"/>
  <c r="BR130" i="10"/>
  <c r="BR126" i="10"/>
  <c r="CP126" i="10" s="1"/>
  <c r="BR122" i="10"/>
  <c r="BR118" i="10"/>
  <c r="BR114" i="10"/>
  <c r="CP114" i="10" s="1"/>
  <c r="BR110" i="10"/>
  <c r="CP110" i="10" s="1"/>
  <c r="BR106" i="10"/>
  <c r="CP106" i="10" s="1"/>
  <c r="BR102" i="10"/>
  <c r="BR98" i="10"/>
  <c r="BR94" i="10"/>
  <c r="CP94" i="10" s="1"/>
  <c r="BR90" i="10"/>
  <c r="BR86" i="10"/>
  <c r="BR82" i="10"/>
  <c r="BR78" i="10"/>
  <c r="BR74" i="10"/>
  <c r="BR70" i="10"/>
  <c r="BR66" i="10"/>
  <c r="BR62" i="10"/>
  <c r="BR58" i="10"/>
  <c r="BR54" i="10"/>
  <c r="BR193" i="10"/>
  <c r="BR189" i="10"/>
  <c r="BR185" i="10"/>
  <c r="BR181" i="10"/>
  <c r="BR177" i="10"/>
  <c r="BR173" i="10"/>
  <c r="BR169" i="10"/>
  <c r="BR165" i="10"/>
  <c r="BR161" i="10"/>
  <c r="BR197" i="10"/>
  <c r="BR157" i="10"/>
  <c r="BR153" i="10"/>
  <c r="BR149" i="10"/>
  <c r="BR145" i="10"/>
  <c r="BR141" i="10"/>
  <c r="BR137" i="10"/>
  <c r="BR133" i="10"/>
  <c r="BR129" i="10"/>
  <c r="BR125" i="10"/>
  <c r="BR121" i="10"/>
  <c r="BR117" i="10"/>
  <c r="BR113" i="10"/>
  <c r="BR109" i="10"/>
  <c r="BR105" i="10"/>
  <c r="BR101" i="10"/>
  <c r="BR97" i="10"/>
  <c r="BR93" i="10"/>
  <c r="BR89" i="10"/>
  <c r="BR85" i="10"/>
  <c r="BR81" i="10"/>
  <c r="BR77" i="10"/>
  <c r="BR73" i="10"/>
  <c r="BR69" i="10"/>
  <c r="BR65" i="10"/>
  <c r="BR61" i="10"/>
  <c r="BR57" i="10"/>
  <c r="BR53" i="10"/>
  <c r="BR200" i="10"/>
  <c r="CP200" i="10" s="1"/>
  <c r="BR192" i="10"/>
  <c r="BR188" i="10"/>
  <c r="BR184" i="10"/>
  <c r="CP184" i="10" s="1"/>
  <c r="BR180" i="10"/>
  <c r="BR176" i="10"/>
  <c r="BR172" i="10"/>
  <c r="BR168" i="10"/>
  <c r="CP168" i="10" s="1"/>
  <c r="BR164" i="10"/>
  <c r="BR160" i="10"/>
  <c r="BR196" i="10"/>
  <c r="BR156" i="10"/>
  <c r="CP156" i="10" s="1"/>
  <c r="BR152" i="10"/>
  <c r="CP152" i="10" s="1"/>
  <c r="BR148" i="10"/>
  <c r="CP148" i="10" s="1"/>
  <c r="BR144" i="10"/>
  <c r="BR140" i="10"/>
  <c r="BR136" i="10"/>
  <c r="CP136" i="10" s="1"/>
  <c r="BR132" i="10"/>
  <c r="CP132" i="10" s="1"/>
  <c r="BR128" i="10"/>
  <c r="BR124" i="10"/>
  <c r="CP124" i="10" s="1"/>
  <c r="BR120" i="10"/>
  <c r="CP120" i="10" s="1"/>
  <c r="BR116" i="10"/>
  <c r="CP116" i="10" s="1"/>
  <c r="BR112" i="10"/>
  <c r="BR108" i="10"/>
  <c r="CP108" i="10" s="1"/>
  <c r="BR104" i="10"/>
  <c r="CP104" i="10" s="1"/>
  <c r="BR100" i="10"/>
  <c r="CP100" i="10" s="1"/>
  <c r="BR96" i="10"/>
  <c r="BR92" i="10"/>
  <c r="CP92" i="10" s="1"/>
  <c r="BR88" i="10"/>
  <c r="CP88" i="10" s="1"/>
  <c r="BR84" i="10"/>
  <c r="CP84" i="10" s="1"/>
  <c r="BR80" i="10"/>
  <c r="BR76" i="10"/>
  <c r="CP76" i="10" s="1"/>
  <c r="BR72" i="10"/>
  <c r="CP72" i="10" s="1"/>
  <c r="BR68" i="10"/>
  <c r="CP68" i="10" s="1"/>
  <c r="BR64" i="10"/>
  <c r="BR60" i="10"/>
  <c r="CP60" i="10" s="1"/>
  <c r="BR56" i="10"/>
  <c r="CP56" i="10" s="1"/>
  <c r="BR52" i="10"/>
  <c r="BR199" i="10"/>
  <c r="BR191" i="10"/>
  <c r="CP191" i="10" s="1"/>
  <c r="BR187" i="10"/>
  <c r="CP187" i="10" s="1"/>
  <c r="BR183" i="10"/>
  <c r="CP183" i="10" s="1"/>
  <c r="BR179" i="10"/>
  <c r="BR175" i="10"/>
  <c r="CP175" i="10" s="1"/>
  <c r="BR171" i="10"/>
  <c r="CP171" i="10" s="1"/>
  <c r="BR167" i="10"/>
  <c r="CP167" i="10" s="1"/>
  <c r="BR163" i="10"/>
  <c r="BR159" i="10"/>
  <c r="CP159" i="10" s="1"/>
  <c r="BR195" i="10"/>
  <c r="CP195" i="10" s="1"/>
  <c r="BR155" i="10"/>
  <c r="CP155" i="10" s="1"/>
  <c r="BR151" i="10"/>
  <c r="BR147" i="10"/>
  <c r="BR143" i="10"/>
  <c r="BR139" i="10"/>
  <c r="CP139" i="10" s="1"/>
  <c r="BR135" i="10"/>
  <c r="BR131" i="10"/>
  <c r="BR127" i="10"/>
  <c r="BR123" i="10"/>
  <c r="CP123" i="10" s="1"/>
  <c r="BR119" i="10"/>
  <c r="BR115" i="10"/>
  <c r="BR111" i="10"/>
  <c r="BR107" i="10"/>
  <c r="CP107" i="10" s="1"/>
  <c r="BR103" i="10"/>
  <c r="BR99" i="10"/>
  <c r="BR95" i="10"/>
  <c r="BR91" i="10"/>
  <c r="CP91" i="10" s="1"/>
  <c r="BR87" i="10"/>
  <c r="BR83" i="10"/>
  <c r="BR79" i="10"/>
  <c r="BR75" i="10"/>
  <c r="CP75" i="10" s="1"/>
  <c r="BR71" i="10"/>
  <c r="BR67" i="10"/>
  <c r="BR63" i="10"/>
  <c r="BR59" i="10"/>
  <c r="CP59" i="10" s="1"/>
  <c r="BR55" i="10"/>
  <c r="BR11" i="10"/>
  <c r="CP11" i="10" s="1"/>
  <c r="BR12" i="10"/>
  <c r="BR19" i="10"/>
  <c r="BR20" i="10"/>
  <c r="BR27" i="10"/>
  <c r="CP27" i="10" s="1"/>
  <c r="BR29" i="10"/>
  <c r="CP29" i="10" s="1"/>
  <c r="BR31" i="10"/>
  <c r="BR33" i="10"/>
  <c r="BR35" i="10"/>
  <c r="BR37" i="10"/>
  <c r="CP37" i="10" s="1"/>
  <c r="BR39" i="10"/>
  <c r="CP39" i="10" s="1"/>
  <c r="BR41" i="10"/>
  <c r="BR43" i="10"/>
  <c r="CP43" i="10" s="1"/>
  <c r="BR45" i="10"/>
  <c r="CP45" i="10" s="1"/>
  <c r="BR47" i="10"/>
  <c r="BR6" i="10"/>
  <c r="BR13" i="10"/>
  <c r="BR14" i="10"/>
  <c r="BR21" i="10"/>
  <c r="CP21" i="10" s="1"/>
  <c r="BR22" i="10"/>
  <c r="BR7" i="10"/>
  <c r="BR8" i="10"/>
  <c r="BR15" i="10"/>
  <c r="BR16" i="10"/>
  <c r="BR23" i="10"/>
  <c r="BR24" i="10"/>
  <c r="CP24" i="10" s="1"/>
  <c r="BR28" i="10"/>
  <c r="BR30" i="10"/>
  <c r="BR32" i="10"/>
  <c r="BR34" i="10"/>
  <c r="BR36" i="10"/>
  <c r="CP36" i="10" s="1"/>
  <c r="BR38" i="10"/>
  <c r="BR40" i="10"/>
  <c r="CP40" i="10" s="1"/>
  <c r="BR42" i="10"/>
  <c r="BR44" i="10"/>
  <c r="BR46" i="10"/>
  <c r="BR9" i="10"/>
  <c r="CP9" i="10" s="1"/>
  <c r="BR10" i="10"/>
  <c r="BR17" i="10"/>
  <c r="CP17" i="10" s="1"/>
  <c r="BR18" i="10"/>
  <c r="BR25" i="10"/>
  <c r="CP25" i="10" s="1"/>
  <c r="BR26" i="10"/>
  <c r="V200" i="10"/>
  <c r="V196" i="10"/>
  <c r="V192" i="10"/>
  <c r="V188" i="10"/>
  <c r="V184" i="10"/>
  <c r="V180" i="10"/>
  <c r="V176" i="10"/>
  <c r="V172" i="10"/>
  <c r="V168" i="10"/>
  <c r="V164" i="10"/>
  <c r="V156" i="10"/>
  <c r="V148" i="10"/>
  <c r="V159" i="10"/>
  <c r="V151" i="10"/>
  <c r="V143" i="10"/>
  <c r="V135" i="10"/>
  <c r="V114" i="10"/>
  <c r="V106" i="10"/>
  <c r="V98" i="10"/>
  <c r="V90" i="10"/>
  <c r="V138" i="10"/>
  <c r="V107" i="10"/>
  <c r="V99" i="10"/>
  <c r="V131" i="10"/>
  <c r="V127" i="10"/>
  <c r="V123" i="10"/>
  <c r="V119" i="10"/>
  <c r="V115" i="10"/>
  <c r="V80" i="10"/>
  <c r="V70" i="10"/>
  <c r="V62" i="10"/>
  <c r="V54" i="10"/>
  <c r="V95" i="10"/>
  <c r="V93" i="10"/>
  <c r="V79" i="10"/>
  <c r="V69" i="10"/>
  <c r="V61" i="10"/>
  <c r="V53" i="10"/>
  <c r="V78" i="10"/>
  <c r="V44" i="10"/>
  <c r="V40" i="10"/>
  <c r="V36" i="10"/>
  <c r="V32" i="10"/>
  <c r="V28" i="10"/>
  <c r="V24" i="10"/>
  <c r="V20" i="10"/>
  <c r="V197" i="10"/>
  <c r="V193" i="10"/>
  <c r="V189" i="10"/>
  <c r="V185" i="10"/>
  <c r="V181" i="10"/>
  <c r="V177" i="10"/>
  <c r="V173" i="10"/>
  <c r="V169" i="10"/>
  <c r="V165" i="10"/>
  <c r="V158" i="10"/>
  <c r="V150" i="10"/>
  <c r="V161" i="10"/>
  <c r="V153" i="10"/>
  <c r="V145" i="10"/>
  <c r="V137" i="10"/>
  <c r="V136" i="10"/>
  <c r="V108" i="10"/>
  <c r="V100" i="10"/>
  <c r="V92" i="10"/>
  <c r="V142" i="10"/>
  <c r="V109" i="10"/>
  <c r="V101" i="10"/>
  <c r="V132" i="10"/>
  <c r="V128" i="10"/>
  <c r="V124" i="10"/>
  <c r="V120" i="10"/>
  <c r="V116" i="10"/>
  <c r="V83" i="10"/>
  <c r="V72" i="10"/>
  <c r="V64" i="10"/>
  <c r="V56" i="10"/>
  <c r="V48" i="10"/>
  <c r="V77" i="10"/>
  <c r="V84" i="10"/>
  <c r="V71" i="10"/>
  <c r="V63" i="10"/>
  <c r="V55" i="10"/>
  <c r="V81" i="10"/>
  <c r="V45" i="10"/>
  <c r="V41" i="10"/>
  <c r="V37" i="10"/>
  <c r="V33" i="10"/>
  <c r="V29" i="10"/>
  <c r="V25" i="10"/>
  <c r="V21" i="10"/>
  <c r="V8" i="10"/>
  <c r="V9" i="10"/>
  <c r="V16" i="10"/>
  <c r="V195" i="10"/>
  <c r="V187" i="10"/>
  <c r="V179" i="10"/>
  <c r="V171" i="10"/>
  <c r="V162" i="10"/>
  <c r="V146" i="10"/>
  <c r="V149" i="10"/>
  <c r="V144" i="10"/>
  <c r="V104" i="10"/>
  <c r="V88" i="10"/>
  <c r="V105" i="10"/>
  <c r="V130" i="10"/>
  <c r="V122" i="10"/>
  <c r="V97" i="10"/>
  <c r="V68" i="10"/>
  <c r="V52" i="10"/>
  <c r="V91" i="10"/>
  <c r="V67" i="10"/>
  <c r="V51" i="10"/>
  <c r="V43" i="10"/>
  <c r="V35" i="10"/>
  <c r="V27" i="10"/>
  <c r="V19" i="10"/>
  <c r="V7" i="10"/>
  <c r="V13" i="10"/>
  <c r="V194" i="10"/>
  <c r="V186" i="10"/>
  <c r="V178" i="10"/>
  <c r="V170" i="10"/>
  <c r="V160" i="10"/>
  <c r="V163" i="10"/>
  <c r="V147" i="10"/>
  <c r="V140" i="10"/>
  <c r="V102" i="10"/>
  <c r="V86" i="10"/>
  <c r="V103" i="10"/>
  <c r="V129" i="10"/>
  <c r="V121" i="10"/>
  <c r="V89" i="10"/>
  <c r="V66" i="10"/>
  <c r="V50" i="10"/>
  <c r="V87" i="10"/>
  <c r="V65" i="10"/>
  <c r="V49" i="10"/>
  <c r="V42" i="10"/>
  <c r="V34" i="10"/>
  <c r="V26" i="10"/>
  <c r="V6" i="10"/>
  <c r="V12" i="10"/>
  <c r="V199" i="10"/>
  <c r="V191" i="10"/>
  <c r="V183" i="10"/>
  <c r="V175" i="10"/>
  <c r="V167" i="10"/>
  <c r="V154" i="10"/>
  <c r="V157" i="10"/>
  <c r="V141" i="10"/>
  <c r="V112" i="10"/>
  <c r="V96" i="10"/>
  <c r="V113" i="10"/>
  <c r="V134" i="10"/>
  <c r="V126" i="10"/>
  <c r="V118" i="10"/>
  <c r="V75" i="10"/>
  <c r="V60" i="10"/>
  <c r="V85" i="10"/>
  <c r="V76" i="10"/>
  <c r="V59" i="10"/>
  <c r="V47" i="10"/>
  <c r="V39" i="10"/>
  <c r="V31" i="10"/>
  <c r="V23" i="10"/>
  <c r="V14" i="10"/>
  <c r="V190" i="10"/>
  <c r="V152" i="10"/>
  <c r="V94" i="10"/>
  <c r="V117" i="10"/>
  <c r="V73" i="10"/>
  <c r="V30" i="10"/>
  <c r="V182" i="10"/>
  <c r="V155" i="10"/>
  <c r="V111" i="10"/>
  <c r="V74" i="10"/>
  <c r="V57" i="10"/>
  <c r="V22" i="10"/>
  <c r="V11" i="10"/>
  <c r="V174" i="10"/>
  <c r="V139" i="10"/>
  <c r="V133" i="10"/>
  <c r="V58" i="10"/>
  <c r="V46" i="10"/>
  <c r="V10" i="10"/>
  <c r="V198" i="10"/>
  <c r="V166" i="10"/>
  <c r="V110" i="10"/>
  <c r="V125" i="10"/>
  <c r="V82" i="10"/>
  <c r="V38" i="10"/>
  <c r="V18" i="10"/>
  <c r="V15" i="10"/>
  <c r="V17" i="10"/>
  <c r="CO186" i="10"/>
  <c r="CO170" i="10"/>
  <c r="CO100" i="10"/>
  <c r="CO189" i="10"/>
  <c r="CO157" i="10"/>
  <c r="CO112" i="10"/>
  <c r="CO196" i="10"/>
  <c r="CO180" i="10"/>
  <c r="CO164" i="10"/>
  <c r="CO140" i="10"/>
  <c r="CO76" i="10"/>
  <c r="CO187" i="10"/>
  <c r="CO171" i="10"/>
  <c r="CO155" i="10"/>
  <c r="CO104" i="10"/>
  <c r="CO50" i="10"/>
  <c r="CO149" i="10"/>
  <c r="CO133" i="10"/>
  <c r="CO117" i="10"/>
  <c r="CO101" i="10"/>
  <c r="CO85" i="10"/>
  <c r="CO69" i="10"/>
  <c r="CO53" i="10"/>
  <c r="CO68" i="10"/>
  <c r="CO36" i="10"/>
  <c r="CO20" i="10"/>
  <c r="CO147" i="10"/>
  <c r="CO131" i="10"/>
  <c r="CO51" i="10"/>
  <c r="CO35" i="10"/>
  <c r="BA12" i="28"/>
  <c r="DN26" i="10" s="1"/>
  <c r="BA17" i="28"/>
  <c r="DN33" i="10" s="1"/>
  <c r="N4" i="4"/>
  <c r="I4" i="28"/>
  <c r="J4" i="28"/>
  <c r="G3" i="28"/>
  <c r="N5" i="4"/>
  <c r="N3" i="4"/>
  <c r="N12" i="4"/>
  <c r="DN27" i="10"/>
  <c r="P7" i="4"/>
  <c r="P128" i="4"/>
  <c r="P127" i="4" s="1"/>
  <c r="P106" i="4"/>
  <c r="P105" i="4" s="1"/>
  <c r="O7" i="4"/>
  <c r="O128" i="4"/>
  <c r="O127" i="4" s="1"/>
  <c r="O106" i="4"/>
  <c r="O105" i="4" s="1"/>
  <c r="K8" i="11"/>
  <c r="L7" i="11"/>
  <c r="CP41" i="10" l="1"/>
  <c r="CP172" i="10"/>
  <c r="CP188" i="10"/>
  <c r="CP44" i="10"/>
  <c r="CP28" i="10"/>
  <c r="CP15" i="10"/>
  <c r="CP47" i="10"/>
  <c r="CP31" i="10"/>
  <c r="CP12" i="10"/>
  <c r="CP63" i="10"/>
  <c r="CP79" i="10"/>
  <c r="CP95" i="10"/>
  <c r="CP111" i="10"/>
  <c r="CP127" i="10"/>
  <c r="CP143" i="10"/>
  <c r="CP194" i="10"/>
  <c r="CP50" i="10"/>
  <c r="CP51" i="10"/>
  <c r="CP32" i="10"/>
  <c r="CP7" i="10"/>
  <c r="CP13" i="10"/>
  <c r="CP35" i="10"/>
  <c r="CP67" i="10"/>
  <c r="CP83" i="10"/>
  <c r="CP99" i="10"/>
  <c r="CP115" i="10"/>
  <c r="CP131" i="10"/>
  <c r="CP147" i="10"/>
  <c r="CP48" i="10"/>
  <c r="CP16" i="10"/>
  <c r="CP163" i="10"/>
  <c r="CP179" i="10"/>
  <c r="CP64" i="10"/>
  <c r="CP96" i="10"/>
  <c r="CP112" i="10"/>
  <c r="CP128" i="10"/>
  <c r="CP144" i="10"/>
  <c r="CP86" i="10"/>
  <c r="CP102" i="10"/>
  <c r="CP118" i="10"/>
  <c r="CP134" i="10"/>
  <c r="CP198" i="10"/>
  <c r="CP19" i="10"/>
  <c r="CP160" i="10"/>
  <c r="CP176" i="10"/>
  <c r="CP192" i="10"/>
  <c r="CP166" i="10"/>
  <c r="CP164" i="10"/>
  <c r="CP180" i="10"/>
  <c r="CP23" i="10"/>
  <c r="CP33" i="10"/>
  <c r="CP20" i="10"/>
  <c r="CP55" i="10"/>
  <c r="CP87" i="10"/>
  <c r="CP103" i="10"/>
  <c r="CP119" i="10"/>
  <c r="CP135" i="10"/>
  <c r="CP151" i="10"/>
  <c r="CP199" i="10"/>
  <c r="CP196" i="10"/>
  <c r="O5" i="4"/>
  <c r="X4" i="10"/>
  <c r="CR4" i="10"/>
  <c r="BT4" i="10"/>
  <c r="AV4" i="10"/>
  <c r="O13" i="4"/>
  <c r="CP185" i="10"/>
  <c r="CP169" i="10"/>
  <c r="CP153" i="10"/>
  <c r="CP137" i="10"/>
  <c r="CP121" i="10"/>
  <c r="CP105" i="10"/>
  <c r="CP89" i="10"/>
  <c r="CP73" i="10"/>
  <c r="CP57" i="10"/>
  <c r="CP140" i="10"/>
  <c r="CP178" i="10"/>
  <c r="CP162" i="10"/>
  <c r="CP146" i="10"/>
  <c r="CP130" i="10"/>
  <c r="CP98" i="10"/>
  <c r="CP82" i="10"/>
  <c r="CP66" i="10"/>
  <c r="CP34" i="10"/>
  <c r="CP18" i="10"/>
  <c r="L112" i="4"/>
  <c r="L22" i="4"/>
  <c r="M11" i="4"/>
  <c r="M109" i="4"/>
  <c r="M131" i="4"/>
  <c r="M112" i="4"/>
  <c r="M113" i="4"/>
  <c r="M16" i="4"/>
  <c r="M134" i="4"/>
  <c r="M17" i="4"/>
  <c r="M135" i="4"/>
  <c r="M119" i="4"/>
  <c r="M108" i="4"/>
  <c r="M142" i="4"/>
  <c r="M23" i="4"/>
  <c r="M120" i="4"/>
  <c r="M24" i="4"/>
  <c r="M141" i="4"/>
  <c r="M10" i="4"/>
  <c r="M130" i="4"/>
  <c r="M140" i="4"/>
  <c r="M22" i="4"/>
  <c r="M118" i="4"/>
  <c r="CP197" i="10"/>
  <c r="CP181" i="10"/>
  <c r="CP165" i="10"/>
  <c r="CP149" i="10"/>
  <c r="CP133" i="10"/>
  <c r="CP117" i="10"/>
  <c r="CP101" i="10"/>
  <c r="CP85" i="10"/>
  <c r="CP69" i="10"/>
  <c r="CP53" i="10"/>
  <c r="CP8" i="10"/>
  <c r="CP190" i="10"/>
  <c r="CP174" i="10"/>
  <c r="CP158" i="10"/>
  <c r="CP78" i="10"/>
  <c r="CP62" i="10"/>
  <c r="CP46" i="10"/>
  <c r="CP30" i="10"/>
  <c r="CP14" i="10"/>
  <c r="L17" i="4"/>
  <c r="L16" i="4"/>
  <c r="CP193" i="10"/>
  <c r="CP177" i="10"/>
  <c r="CP161" i="10"/>
  <c r="CP145" i="10"/>
  <c r="CP129" i="10"/>
  <c r="CP113" i="10"/>
  <c r="CP97" i="10"/>
  <c r="CP81" i="10"/>
  <c r="CP65" i="10"/>
  <c r="CP49" i="10"/>
  <c r="CP52" i="10"/>
  <c r="CP71" i="10"/>
  <c r="CP6" i="10"/>
  <c r="CP186" i="10"/>
  <c r="CP170" i="10"/>
  <c r="CP154" i="10"/>
  <c r="CP138" i="10"/>
  <c r="CP122" i="10"/>
  <c r="CP90" i="10"/>
  <c r="CP74" i="10"/>
  <c r="CP58" i="10"/>
  <c r="CP42" i="10"/>
  <c r="CP26" i="10"/>
  <c r="CP10" i="10"/>
  <c r="L134" i="4"/>
  <c r="L135" i="4"/>
  <c r="L140" i="4"/>
  <c r="W25" i="10"/>
  <c r="W23" i="10"/>
  <c r="W20" i="10"/>
  <c r="W21" i="10"/>
  <c r="W19" i="10"/>
  <c r="W22" i="10"/>
  <c r="W24" i="10"/>
  <c r="W200" i="10"/>
  <c r="W196" i="10"/>
  <c r="W192" i="10"/>
  <c r="W188" i="10"/>
  <c r="W184" i="10"/>
  <c r="W180" i="10"/>
  <c r="W176" i="10"/>
  <c r="W172" i="10"/>
  <c r="W168" i="10"/>
  <c r="W164" i="10"/>
  <c r="W156" i="10"/>
  <c r="W148" i="10"/>
  <c r="W140" i="10"/>
  <c r="W161" i="10"/>
  <c r="W151" i="10"/>
  <c r="W135" i="10"/>
  <c r="W107" i="10"/>
  <c r="W99" i="10"/>
  <c r="W147" i="10"/>
  <c r="W131" i="10"/>
  <c r="W127" i="10"/>
  <c r="W123" i="10"/>
  <c r="W119" i="10"/>
  <c r="W115" i="10"/>
  <c r="W137" i="10"/>
  <c r="W108" i="10"/>
  <c r="W100" i="10"/>
  <c r="W92" i="10"/>
  <c r="W84" i="10"/>
  <c r="W76" i="10"/>
  <c r="W71" i="10"/>
  <c r="W67" i="10"/>
  <c r="W63" i="10"/>
  <c r="W59" i="10"/>
  <c r="W55" i="10"/>
  <c r="W51" i="10"/>
  <c r="W85" i="10"/>
  <c r="W79" i="10"/>
  <c r="W45" i="10"/>
  <c r="W41" i="10"/>
  <c r="W37" i="10"/>
  <c r="W33" i="10"/>
  <c r="W29" i="10"/>
  <c r="W89" i="10"/>
  <c r="W197" i="10"/>
  <c r="W191" i="10"/>
  <c r="W186" i="10"/>
  <c r="W181" i="10"/>
  <c r="W175" i="10"/>
  <c r="W170" i="10"/>
  <c r="W165" i="10"/>
  <c r="W154" i="10"/>
  <c r="W144" i="10"/>
  <c r="W163" i="10"/>
  <c r="W149" i="10"/>
  <c r="W111" i="10"/>
  <c r="W101" i="10"/>
  <c r="W134" i="10"/>
  <c r="W129" i="10"/>
  <c r="W124" i="10"/>
  <c r="W118" i="10"/>
  <c r="W145" i="10"/>
  <c r="W110" i="10"/>
  <c r="W98" i="10"/>
  <c r="W88" i="10"/>
  <c r="W78" i="10"/>
  <c r="W70" i="10"/>
  <c r="W65" i="10"/>
  <c r="W60" i="10"/>
  <c r="W54" i="10"/>
  <c r="W49" i="10"/>
  <c r="W87" i="10"/>
  <c r="W44" i="10"/>
  <c r="W39" i="10"/>
  <c r="W34" i="10"/>
  <c r="W28" i="10"/>
  <c r="W75" i="10"/>
  <c r="W7" i="10"/>
  <c r="W9" i="10"/>
  <c r="W11" i="10"/>
  <c r="W13" i="10"/>
  <c r="W15" i="10"/>
  <c r="W17" i="10"/>
  <c r="W195" i="10"/>
  <c r="W190" i="10"/>
  <c r="W185" i="10"/>
  <c r="W179" i="10"/>
  <c r="W174" i="10"/>
  <c r="W169" i="10"/>
  <c r="W162" i="10"/>
  <c r="W152" i="10"/>
  <c r="W142" i="10"/>
  <c r="W159" i="10"/>
  <c r="W143" i="10"/>
  <c r="W109" i="10"/>
  <c r="W97" i="10"/>
  <c r="W133" i="10"/>
  <c r="W128" i="10"/>
  <c r="W122" i="10"/>
  <c r="W117" i="10"/>
  <c r="W141" i="10"/>
  <c r="W106" i="10"/>
  <c r="W96" i="10"/>
  <c r="W86" i="10"/>
  <c r="W74" i="10"/>
  <c r="W69" i="10"/>
  <c r="W64" i="10"/>
  <c r="W58" i="10"/>
  <c r="W53" i="10"/>
  <c r="W48" i="10"/>
  <c r="W81" i="10"/>
  <c r="W43" i="10"/>
  <c r="W38" i="10"/>
  <c r="W32" i="10"/>
  <c r="W27" i="10"/>
  <c r="W199" i="10"/>
  <c r="W194" i="10"/>
  <c r="W189" i="10"/>
  <c r="W183" i="10"/>
  <c r="W178" i="10"/>
  <c r="W173" i="10"/>
  <c r="W167" i="10"/>
  <c r="W160" i="10"/>
  <c r="W150" i="10"/>
  <c r="W138" i="10"/>
  <c r="W157" i="10"/>
  <c r="W139" i="10"/>
  <c r="W105" i="10"/>
  <c r="W95" i="10"/>
  <c r="W132" i="10"/>
  <c r="W126" i="10"/>
  <c r="W121" i="10"/>
  <c r="W116" i="10"/>
  <c r="W114" i="10"/>
  <c r="W104" i="10"/>
  <c r="W94" i="10"/>
  <c r="W82" i="10"/>
  <c r="W73" i="10"/>
  <c r="W68" i="10"/>
  <c r="W62" i="10"/>
  <c r="W57" i="10"/>
  <c r="W52" i="10"/>
  <c r="W77" i="10"/>
  <c r="W47" i="10"/>
  <c r="W42" i="10"/>
  <c r="W36" i="10"/>
  <c r="W31" i="10"/>
  <c r="W26" i="10"/>
  <c r="W6" i="10"/>
  <c r="W8" i="10"/>
  <c r="W10" i="10"/>
  <c r="W12" i="10"/>
  <c r="W14" i="10"/>
  <c r="W16" i="10"/>
  <c r="W18" i="10"/>
  <c r="W198" i="10"/>
  <c r="W177" i="10"/>
  <c r="W146" i="10"/>
  <c r="W103" i="10"/>
  <c r="W120" i="10"/>
  <c r="W90" i="10"/>
  <c r="W61" i="10"/>
  <c r="W46" i="10"/>
  <c r="W83" i="10"/>
  <c r="W193" i="10"/>
  <c r="W171" i="10"/>
  <c r="W136" i="10"/>
  <c r="W93" i="10"/>
  <c r="W153" i="10"/>
  <c r="W80" i="10"/>
  <c r="W56" i="10"/>
  <c r="W40" i="10"/>
  <c r="W187" i="10"/>
  <c r="W166" i="10"/>
  <c r="W155" i="10"/>
  <c r="W130" i="10"/>
  <c r="W112" i="10"/>
  <c r="W72" i="10"/>
  <c r="W50" i="10"/>
  <c r="W35" i="10"/>
  <c r="W182" i="10"/>
  <c r="W158" i="10"/>
  <c r="W113" i="10"/>
  <c r="W125" i="10"/>
  <c r="W102" i="10"/>
  <c r="W66" i="10"/>
  <c r="W91" i="10"/>
  <c r="W30" i="10"/>
  <c r="P5" i="4"/>
  <c r="Y4" i="10"/>
  <c r="CS4" i="10"/>
  <c r="BU4" i="10"/>
  <c r="AW4" i="10"/>
  <c r="I3" i="28"/>
  <c r="CQ3" i="10"/>
  <c r="BS3" i="10"/>
  <c r="AU3" i="10"/>
  <c r="W3" i="10"/>
  <c r="CP189" i="10"/>
  <c r="CP173" i="10"/>
  <c r="CP157" i="10"/>
  <c r="CP141" i="10"/>
  <c r="CP125" i="10"/>
  <c r="CP109" i="10"/>
  <c r="CP93" i="10"/>
  <c r="CP77" i="10"/>
  <c r="CP61" i="10"/>
  <c r="CP80" i="10"/>
  <c r="CP182" i="10"/>
  <c r="CP150" i="10"/>
  <c r="CP70" i="10"/>
  <c r="CP54" i="10"/>
  <c r="CP38" i="10"/>
  <c r="CP22" i="10"/>
  <c r="L113" i="4"/>
  <c r="L118" i="4"/>
  <c r="AU8" i="10"/>
  <c r="AU12" i="10"/>
  <c r="AU16" i="10"/>
  <c r="AU20" i="10"/>
  <c r="AU24" i="10"/>
  <c r="AU28" i="10"/>
  <c r="AU32" i="10"/>
  <c r="AU36" i="10"/>
  <c r="AU40" i="10"/>
  <c r="AU44" i="10"/>
  <c r="AU48" i="10"/>
  <c r="AU52" i="10"/>
  <c r="AU56" i="10"/>
  <c r="AU64" i="10"/>
  <c r="AU68" i="10"/>
  <c r="AU76" i="10"/>
  <c r="AU88" i="10"/>
  <c r="AU96" i="10"/>
  <c r="AU104" i="10"/>
  <c r="AU112" i="10"/>
  <c r="AU124" i="10"/>
  <c r="AU132" i="10"/>
  <c r="AU140" i="10"/>
  <c r="AU152" i="10"/>
  <c r="AU160" i="10"/>
  <c r="AU168" i="10"/>
  <c r="AU176" i="10"/>
  <c r="AU184" i="10"/>
  <c r="AU192" i="10"/>
  <c r="AU200" i="10"/>
  <c r="AU9" i="10"/>
  <c r="AU13" i="10"/>
  <c r="AU17" i="10"/>
  <c r="AU21" i="10"/>
  <c r="AU25" i="10"/>
  <c r="AU29" i="10"/>
  <c r="AU33" i="10"/>
  <c r="AU37" i="10"/>
  <c r="AU41" i="10"/>
  <c r="AU45" i="10"/>
  <c r="AU49" i="10"/>
  <c r="AU53" i="10"/>
  <c r="AU57" i="10"/>
  <c r="AU61" i="10"/>
  <c r="AU65" i="10"/>
  <c r="AU69" i="10"/>
  <c r="AU73" i="10"/>
  <c r="AU77" i="10"/>
  <c r="AU81" i="10"/>
  <c r="AU85" i="10"/>
  <c r="AU89" i="10"/>
  <c r="AU93" i="10"/>
  <c r="AU97" i="10"/>
  <c r="AU101" i="10"/>
  <c r="AU105" i="10"/>
  <c r="AU109" i="10"/>
  <c r="AU113" i="10"/>
  <c r="AU7" i="10"/>
  <c r="AU10" i="10"/>
  <c r="AU14" i="10"/>
  <c r="AU18" i="10"/>
  <c r="AU22" i="10"/>
  <c r="AU26" i="10"/>
  <c r="AU30" i="10"/>
  <c r="AU34" i="10"/>
  <c r="AU38" i="10"/>
  <c r="AU42" i="10"/>
  <c r="AU46" i="10"/>
  <c r="AU50" i="10"/>
  <c r="AU54" i="10"/>
  <c r="AU58" i="10"/>
  <c r="AU62" i="10"/>
  <c r="AU66" i="10"/>
  <c r="AU6" i="10"/>
  <c r="AU11" i="10"/>
  <c r="AU15" i="10"/>
  <c r="AU19" i="10"/>
  <c r="AU23" i="10"/>
  <c r="AU27" i="10"/>
  <c r="AU31" i="10"/>
  <c r="AU35" i="10"/>
  <c r="AU39" i="10"/>
  <c r="AU43" i="10"/>
  <c r="AU47" i="10"/>
  <c r="AU51" i="10"/>
  <c r="AU55" i="10"/>
  <c r="AU59" i="10"/>
  <c r="AU63" i="10"/>
  <c r="AU67" i="10"/>
  <c r="AU71" i="10"/>
  <c r="AU75" i="10"/>
  <c r="AU79" i="10"/>
  <c r="AU83" i="10"/>
  <c r="AU87" i="10"/>
  <c r="AU91" i="10"/>
  <c r="AU95" i="10"/>
  <c r="AU99" i="10"/>
  <c r="AU103" i="10"/>
  <c r="AU107" i="10"/>
  <c r="AU111" i="10"/>
  <c r="AU115" i="10"/>
  <c r="AU119" i="10"/>
  <c r="AU123" i="10"/>
  <c r="AU127" i="10"/>
  <c r="AU131" i="10"/>
  <c r="AU135" i="10"/>
  <c r="AU139" i="10"/>
  <c r="AU143" i="10"/>
  <c r="AU147" i="10"/>
  <c r="AU151" i="10"/>
  <c r="AU155" i="10"/>
  <c r="AU159" i="10"/>
  <c r="AU163" i="10"/>
  <c r="AU167" i="10"/>
  <c r="AU171" i="10"/>
  <c r="AU175" i="10"/>
  <c r="AU179" i="10"/>
  <c r="AU183" i="10"/>
  <c r="AU187" i="10"/>
  <c r="AU191" i="10"/>
  <c r="AU195" i="10"/>
  <c r="AU199" i="10"/>
  <c r="AU60" i="10"/>
  <c r="AU72" i="10"/>
  <c r="AU80" i="10"/>
  <c r="AU84" i="10"/>
  <c r="AU92" i="10"/>
  <c r="AU100" i="10"/>
  <c r="AU108" i="10"/>
  <c r="AU116" i="10"/>
  <c r="AU120" i="10"/>
  <c r="AU128" i="10"/>
  <c r="AU136" i="10"/>
  <c r="AU144" i="10"/>
  <c r="AU148" i="10"/>
  <c r="AU156" i="10"/>
  <c r="AU164" i="10"/>
  <c r="AU172" i="10"/>
  <c r="AU180" i="10"/>
  <c r="AU188" i="10"/>
  <c r="AU196" i="10"/>
  <c r="AU82" i="10"/>
  <c r="AU98" i="10"/>
  <c r="AU114" i="10"/>
  <c r="AU122" i="10"/>
  <c r="AU130" i="10"/>
  <c r="AU138" i="10"/>
  <c r="AU146" i="10"/>
  <c r="AU154" i="10"/>
  <c r="AU162" i="10"/>
  <c r="AU170" i="10"/>
  <c r="AU178" i="10"/>
  <c r="AU186" i="10"/>
  <c r="AU194" i="10"/>
  <c r="AU70" i="10"/>
  <c r="AU86" i="10"/>
  <c r="AU102" i="10"/>
  <c r="AU117" i="10"/>
  <c r="AU125" i="10"/>
  <c r="AU133" i="10"/>
  <c r="AU141" i="10"/>
  <c r="AU149" i="10"/>
  <c r="AU157" i="10"/>
  <c r="AU165" i="10"/>
  <c r="AU173" i="10"/>
  <c r="AU181" i="10"/>
  <c r="AU189" i="10"/>
  <c r="AU197" i="10"/>
  <c r="AU74" i="10"/>
  <c r="AU90" i="10"/>
  <c r="AU106" i="10"/>
  <c r="AU118" i="10"/>
  <c r="AU126" i="10"/>
  <c r="AU134" i="10"/>
  <c r="AU142" i="10"/>
  <c r="AU150" i="10"/>
  <c r="AU158" i="10"/>
  <c r="AU166" i="10"/>
  <c r="AU174" i="10"/>
  <c r="AU182" i="10"/>
  <c r="AU190" i="10"/>
  <c r="AU198" i="10"/>
  <c r="AU78" i="10"/>
  <c r="AU94" i="10"/>
  <c r="AU110" i="10"/>
  <c r="AU121" i="10"/>
  <c r="AU129" i="10"/>
  <c r="AU137" i="10"/>
  <c r="AU145" i="10"/>
  <c r="AU153" i="10"/>
  <c r="AU161" i="10"/>
  <c r="AU169" i="10"/>
  <c r="AU177" i="10"/>
  <c r="AU185" i="10"/>
  <c r="AU193" i="10"/>
  <c r="BS198" i="10"/>
  <c r="BS194" i="10"/>
  <c r="BS190" i="10"/>
  <c r="BS186" i="10"/>
  <c r="BS182" i="10"/>
  <c r="BS178" i="10"/>
  <c r="BS174" i="10"/>
  <c r="BS170" i="10"/>
  <c r="BS166" i="10"/>
  <c r="BS162" i="10"/>
  <c r="BS158" i="10"/>
  <c r="BS154" i="10"/>
  <c r="BS150" i="10"/>
  <c r="BS146" i="10"/>
  <c r="BS142" i="10"/>
  <c r="BS138" i="10"/>
  <c r="BS134" i="10"/>
  <c r="BS130" i="10"/>
  <c r="BS126" i="10"/>
  <c r="BS122" i="10"/>
  <c r="BS118" i="10"/>
  <c r="BS114" i="10"/>
  <c r="BS110" i="10"/>
  <c r="BS106" i="10"/>
  <c r="BS102" i="10"/>
  <c r="BS98" i="10"/>
  <c r="BS94" i="10"/>
  <c r="BS90" i="10"/>
  <c r="BS86" i="10"/>
  <c r="BS82" i="10"/>
  <c r="BS78" i="10"/>
  <c r="BS74" i="10"/>
  <c r="BS70" i="10"/>
  <c r="BS66" i="10"/>
  <c r="CQ66" i="10" s="1"/>
  <c r="BS62" i="10"/>
  <c r="BS58" i="10"/>
  <c r="BS54" i="10"/>
  <c r="BS50" i="10"/>
  <c r="BS197" i="10"/>
  <c r="BS193" i="10"/>
  <c r="CQ193" i="10" s="1"/>
  <c r="BS189" i="10"/>
  <c r="BS185" i="10"/>
  <c r="BS181" i="10"/>
  <c r="CQ181" i="10" s="1"/>
  <c r="BS177" i="10"/>
  <c r="BS173" i="10"/>
  <c r="BS169" i="10"/>
  <c r="BS165" i="10"/>
  <c r="BS161" i="10"/>
  <c r="CQ161" i="10" s="1"/>
  <c r="BS157" i="10"/>
  <c r="BS153" i="10"/>
  <c r="BS149" i="10"/>
  <c r="CQ149" i="10" s="1"/>
  <c r="BS145" i="10"/>
  <c r="BS141" i="10"/>
  <c r="BS137" i="10"/>
  <c r="BS133" i="10"/>
  <c r="BS129" i="10"/>
  <c r="CQ129" i="10" s="1"/>
  <c r="BS125" i="10"/>
  <c r="BS121" i="10"/>
  <c r="BS117" i="10"/>
  <c r="CQ117" i="10" s="1"/>
  <c r="BS113" i="10"/>
  <c r="BS109" i="10"/>
  <c r="CQ109" i="10" s="1"/>
  <c r="BS105" i="10"/>
  <c r="BS101" i="10"/>
  <c r="CQ101" i="10" s="1"/>
  <c r="BS97" i="10"/>
  <c r="BS93" i="10"/>
  <c r="CQ93" i="10" s="1"/>
  <c r="BS89" i="10"/>
  <c r="BS85" i="10"/>
  <c r="CQ85" i="10" s="1"/>
  <c r="BS81" i="10"/>
  <c r="BS77" i="10"/>
  <c r="CQ77" i="10" s="1"/>
  <c r="BS73" i="10"/>
  <c r="BS69" i="10"/>
  <c r="CQ69" i="10" s="1"/>
  <c r="BS65" i="10"/>
  <c r="BS61" i="10"/>
  <c r="BS57" i="10"/>
  <c r="BS53" i="10"/>
  <c r="BS49" i="10"/>
  <c r="BS200" i="10"/>
  <c r="CQ200" i="10" s="1"/>
  <c r="BS196" i="10"/>
  <c r="CQ196" i="10" s="1"/>
  <c r="BS192" i="10"/>
  <c r="BS188" i="10"/>
  <c r="BS184" i="10"/>
  <c r="CQ184" i="10" s="1"/>
  <c r="BS180" i="10"/>
  <c r="BS176" i="10"/>
  <c r="BS172" i="10"/>
  <c r="CQ172" i="10" s="1"/>
  <c r="BS168" i="10"/>
  <c r="CQ168" i="10" s="1"/>
  <c r="BS164" i="10"/>
  <c r="CQ164" i="10" s="1"/>
  <c r="BS160" i="10"/>
  <c r="BS156" i="10"/>
  <c r="BS152" i="10"/>
  <c r="CQ152" i="10" s="1"/>
  <c r="BS148" i="10"/>
  <c r="BS144" i="10"/>
  <c r="CQ144" i="10" s="1"/>
  <c r="BS140" i="10"/>
  <c r="CQ140" i="10" s="1"/>
  <c r="BS136" i="10"/>
  <c r="BS132" i="10"/>
  <c r="CQ132" i="10" s="1"/>
  <c r="BS128" i="10"/>
  <c r="BS124" i="10"/>
  <c r="BS120" i="10"/>
  <c r="BS116" i="10"/>
  <c r="CQ116" i="10" s="1"/>
  <c r="BS112" i="10"/>
  <c r="BS108" i="10"/>
  <c r="BS104" i="10"/>
  <c r="BS100" i="10"/>
  <c r="BS96" i="10"/>
  <c r="CQ96" i="10" s="1"/>
  <c r="BS92" i="10"/>
  <c r="CQ92" i="10" s="1"/>
  <c r="BS88" i="10"/>
  <c r="BS84" i="10"/>
  <c r="CQ84" i="10" s="1"/>
  <c r="BS80" i="10"/>
  <c r="BS76" i="10"/>
  <c r="BS72" i="10"/>
  <c r="CQ72" i="10" s="1"/>
  <c r="BS68" i="10"/>
  <c r="BS64" i="10"/>
  <c r="CQ64" i="10" s="1"/>
  <c r="BS60" i="10"/>
  <c r="CQ60" i="10" s="1"/>
  <c r="BS56" i="10"/>
  <c r="BS52" i="10"/>
  <c r="BS48" i="10"/>
  <c r="BS199" i="10"/>
  <c r="BS195" i="10"/>
  <c r="BS191" i="10"/>
  <c r="BS187" i="10"/>
  <c r="BS183" i="10"/>
  <c r="BS179" i="10"/>
  <c r="BS175" i="10"/>
  <c r="BS171" i="10"/>
  <c r="BS167" i="10"/>
  <c r="BS163" i="10"/>
  <c r="BS159" i="10"/>
  <c r="BS155" i="10"/>
  <c r="BS151" i="10"/>
  <c r="BS147" i="10"/>
  <c r="BS143" i="10"/>
  <c r="BS139" i="10"/>
  <c r="BS135" i="10"/>
  <c r="BS131" i="10"/>
  <c r="BS127" i="10"/>
  <c r="BS123" i="10"/>
  <c r="BS119" i="10"/>
  <c r="BS115" i="10"/>
  <c r="BS111" i="10"/>
  <c r="BS107" i="10"/>
  <c r="BS103" i="10"/>
  <c r="BS99" i="10"/>
  <c r="BS95" i="10"/>
  <c r="BS91" i="10"/>
  <c r="BS87" i="10"/>
  <c r="BS83" i="10"/>
  <c r="BS79" i="10"/>
  <c r="BS75" i="10"/>
  <c r="BS71" i="10"/>
  <c r="BS67" i="10"/>
  <c r="BS63" i="10"/>
  <c r="BS59" i="10"/>
  <c r="BS55" i="10"/>
  <c r="CQ55" i="10" s="1"/>
  <c r="BS51" i="10"/>
  <c r="BS6" i="10"/>
  <c r="CQ6" i="10" s="1"/>
  <c r="BS8" i="10"/>
  <c r="BS10" i="10"/>
  <c r="CQ10" i="10" s="1"/>
  <c r="BS12" i="10"/>
  <c r="CQ12" i="10" s="1"/>
  <c r="BS14" i="10"/>
  <c r="BS16" i="10"/>
  <c r="BS18" i="10"/>
  <c r="BS20" i="10"/>
  <c r="BS22" i="10"/>
  <c r="BS24" i="10"/>
  <c r="BS26" i="10"/>
  <c r="BS28" i="10"/>
  <c r="CQ28" i="10" s="1"/>
  <c r="BS7" i="10"/>
  <c r="BS15" i="10"/>
  <c r="BS23" i="10"/>
  <c r="BS29" i="10"/>
  <c r="BS31" i="10"/>
  <c r="BS33" i="10"/>
  <c r="BS35" i="10"/>
  <c r="BS37" i="10"/>
  <c r="BS39" i="10"/>
  <c r="BS41" i="10"/>
  <c r="BS43" i="10"/>
  <c r="BS45" i="10"/>
  <c r="CQ45" i="10" s="1"/>
  <c r="BS47" i="10"/>
  <c r="BS9" i="10"/>
  <c r="BS17" i="10"/>
  <c r="BS25" i="10"/>
  <c r="BS11" i="10"/>
  <c r="BS19" i="10"/>
  <c r="BS27" i="10"/>
  <c r="BS30" i="10"/>
  <c r="CQ30" i="10" s="1"/>
  <c r="BS32" i="10"/>
  <c r="BS34" i="10"/>
  <c r="BS36" i="10"/>
  <c r="BS38" i="10"/>
  <c r="BS40" i="10"/>
  <c r="CQ40" i="10" s="1"/>
  <c r="BS42" i="10"/>
  <c r="BS44" i="10"/>
  <c r="BS46" i="10"/>
  <c r="BS13" i="10"/>
  <c r="BS21" i="10"/>
  <c r="O12" i="4"/>
  <c r="BA9" i="28"/>
  <c r="DN13" i="10" s="1"/>
  <c r="BA21" i="28"/>
  <c r="DN57" i="10" s="1"/>
  <c r="BB13" i="28"/>
  <c r="DO27" i="10" s="1"/>
  <c r="BB21" i="28"/>
  <c r="DO57" i="10" s="1"/>
  <c r="P4" i="4"/>
  <c r="N4" i="28"/>
  <c r="BB6" i="28" s="1"/>
  <c r="DO7" i="10" s="1"/>
  <c r="M4" i="28"/>
  <c r="O4" i="4"/>
  <c r="K4" i="28"/>
  <c r="L4" i="28"/>
  <c r="P12" i="4"/>
  <c r="P3" i="4"/>
  <c r="O3" i="4"/>
  <c r="Q7" i="4"/>
  <c r="Q128" i="4"/>
  <c r="Q127" i="4" s="1"/>
  <c r="Q106" i="4"/>
  <c r="Q105" i="4" s="1"/>
  <c r="L145" i="4"/>
  <c r="L144" i="4"/>
  <c r="L143" i="4"/>
  <c r="L123" i="4"/>
  <c r="L122" i="4"/>
  <c r="L27" i="4"/>
  <c r="L26" i="4"/>
  <c r="K3" i="28"/>
  <c r="DN52" i="10"/>
  <c r="Q5" i="4"/>
  <c r="M3" i="28"/>
  <c r="K9" i="11"/>
  <c r="L8" i="11"/>
  <c r="CQ108" i="10" l="1"/>
  <c r="CQ124" i="10"/>
  <c r="CQ81" i="10"/>
  <c r="CQ97" i="10"/>
  <c r="CQ113" i="10"/>
  <c r="CQ145" i="10"/>
  <c r="CQ177" i="10"/>
  <c r="CQ73" i="10"/>
  <c r="CQ89" i="10"/>
  <c r="CQ105" i="10"/>
  <c r="CQ42" i="10"/>
  <c r="CQ34" i="10"/>
  <c r="CQ24" i="10"/>
  <c r="CQ16" i="10"/>
  <c r="CQ8" i="10"/>
  <c r="CQ48" i="10"/>
  <c r="CQ80" i="10"/>
  <c r="CQ160" i="10"/>
  <c r="CQ176" i="10"/>
  <c r="CQ192" i="10"/>
  <c r="CQ148" i="10"/>
  <c r="CQ180" i="10"/>
  <c r="CQ88" i="10"/>
  <c r="CQ104" i="10"/>
  <c r="CQ120" i="10"/>
  <c r="CQ136" i="10"/>
  <c r="CQ125" i="10"/>
  <c r="CQ141" i="10"/>
  <c r="CQ157" i="10"/>
  <c r="CQ173" i="10"/>
  <c r="CQ189" i="10"/>
  <c r="CQ70" i="10"/>
  <c r="CQ76" i="10"/>
  <c r="CQ156" i="10"/>
  <c r="CQ188" i="10"/>
  <c r="CQ112" i="10"/>
  <c r="CQ128" i="10"/>
  <c r="CQ36" i="10"/>
  <c r="CQ14" i="10"/>
  <c r="CQ63" i="10"/>
  <c r="CQ100" i="10"/>
  <c r="CQ137" i="10"/>
  <c r="CQ169" i="10"/>
  <c r="CQ133" i="10"/>
  <c r="CQ165" i="10"/>
  <c r="CQ197" i="10"/>
  <c r="CQ126" i="10"/>
  <c r="CQ142" i="10"/>
  <c r="CQ198" i="10"/>
  <c r="CQ166" i="10"/>
  <c r="CQ90" i="10"/>
  <c r="CQ162" i="10"/>
  <c r="CQ130" i="10"/>
  <c r="CQ82" i="10"/>
  <c r="CQ199" i="10"/>
  <c r="CQ183" i="10"/>
  <c r="CQ167" i="10"/>
  <c r="CQ151" i="10"/>
  <c r="CQ135" i="10"/>
  <c r="CQ119" i="10"/>
  <c r="CQ103" i="10"/>
  <c r="CQ87" i="10"/>
  <c r="CQ71" i="10"/>
  <c r="CQ39" i="10"/>
  <c r="CQ23" i="10"/>
  <c r="CQ54" i="10"/>
  <c r="CQ38" i="10"/>
  <c r="CQ22" i="10"/>
  <c r="CQ7" i="10"/>
  <c r="CQ53" i="10"/>
  <c r="CQ37" i="10"/>
  <c r="CQ21" i="10"/>
  <c r="CQ44" i="10"/>
  <c r="Y18" i="10"/>
  <c r="Y8" i="10"/>
  <c r="Y13" i="10"/>
  <c r="Y15" i="10"/>
  <c r="Y200" i="10"/>
  <c r="Y187" i="10"/>
  <c r="Y183" i="10"/>
  <c r="Y179" i="10"/>
  <c r="Y175" i="10"/>
  <c r="Y171" i="10"/>
  <c r="Y167" i="10"/>
  <c r="Y194" i="10"/>
  <c r="Y163" i="10"/>
  <c r="Y155" i="10"/>
  <c r="Y147" i="10"/>
  <c r="Y191" i="10"/>
  <c r="Y160" i="10"/>
  <c r="Y152" i="10"/>
  <c r="Y144" i="10"/>
  <c r="Y136" i="10"/>
  <c r="Y131" i="10"/>
  <c r="Y127" i="10"/>
  <c r="Y123" i="10"/>
  <c r="Y119" i="10"/>
  <c r="Y115" i="10"/>
  <c r="Y111" i="10"/>
  <c r="Y107" i="10"/>
  <c r="Y103" i="10"/>
  <c r="Y99" i="10"/>
  <c r="Y95" i="10"/>
  <c r="Y91" i="10"/>
  <c r="Y87" i="10"/>
  <c r="Y83" i="10"/>
  <c r="Y79" i="10"/>
  <c r="Y75" i="10"/>
  <c r="Y141" i="10"/>
  <c r="Y69" i="10"/>
  <c r="Y61" i="10"/>
  <c r="Y53" i="10"/>
  <c r="Y46" i="10"/>
  <c r="Y42" i="10"/>
  <c r="Y38" i="10"/>
  <c r="Y34" i="10"/>
  <c r="Y30" i="10"/>
  <c r="Y26" i="10"/>
  <c r="Y22" i="10"/>
  <c r="Y72" i="10"/>
  <c r="Y64" i="10"/>
  <c r="Y56" i="10"/>
  <c r="Y48" i="10"/>
  <c r="Y7" i="10"/>
  <c r="Y14" i="10"/>
  <c r="Y169" i="10"/>
  <c r="Y193" i="10"/>
  <c r="Y125" i="10"/>
  <c r="Y98" i="10"/>
  <c r="Y57" i="10"/>
  <c r="Y20" i="10"/>
  <c r="Y198" i="10"/>
  <c r="Y184" i="10"/>
  <c r="Y178" i="10"/>
  <c r="Y173" i="10"/>
  <c r="Y168" i="10"/>
  <c r="Y192" i="10"/>
  <c r="Y159" i="10"/>
  <c r="Y149" i="10"/>
  <c r="Y189" i="10"/>
  <c r="Y156" i="10"/>
  <c r="Y146" i="10"/>
  <c r="Y134" i="10"/>
  <c r="Y129" i="10"/>
  <c r="Y124" i="10"/>
  <c r="Y118" i="10"/>
  <c r="Y113" i="10"/>
  <c r="Y108" i="10"/>
  <c r="Y102" i="10"/>
  <c r="Y97" i="10"/>
  <c r="Y92" i="10"/>
  <c r="Y86" i="10"/>
  <c r="Y81" i="10"/>
  <c r="Y76" i="10"/>
  <c r="Y137" i="10"/>
  <c r="Y65" i="10"/>
  <c r="Y55" i="10"/>
  <c r="Y45" i="10"/>
  <c r="Y40" i="10"/>
  <c r="Y35" i="10"/>
  <c r="Y29" i="10"/>
  <c r="Y24" i="10"/>
  <c r="Y74" i="10"/>
  <c r="Y62" i="10"/>
  <c r="Y52" i="10"/>
  <c r="Y9" i="10"/>
  <c r="Y11" i="10"/>
  <c r="Y16" i="10"/>
  <c r="Y181" i="10"/>
  <c r="Y170" i="10"/>
  <c r="Y188" i="10"/>
  <c r="Y195" i="10"/>
  <c r="Y150" i="10"/>
  <c r="Y132" i="10"/>
  <c r="Y121" i="10"/>
  <c r="Y116" i="10"/>
  <c r="Y105" i="10"/>
  <c r="Y94" i="10"/>
  <c r="Y84" i="10"/>
  <c r="Y78" i="10"/>
  <c r="Y59" i="10"/>
  <c r="Y43" i="10"/>
  <c r="Y32" i="10"/>
  <c r="Y21" i="10"/>
  <c r="Y58" i="10"/>
  <c r="Y199" i="10"/>
  <c r="Y180" i="10"/>
  <c r="Y161" i="10"/>
  <c r="Y158" i="10"/>
  <c r="Y138" i="10"/>
  <c r="Y120" i="10"/>
  <c r="Y109" i="10"/>
  <c r="Y93" i="10"/>
  <c r="Y82" i="10"/>
  <c r="Y135" i="10"/>
  <c r="Y47" i="10"/>
  <c r="Y36" i="10"/>
  <c r="Y25" i="10"/>
  <c r="Y54" i="10"/>
  <c r="Y12" i="10"/>
  <c r="Y197" i="10"/>
  <c r="Y182" i="10"/>
  <c r="Y177" i="10"/>
  <c r="Y172" i="10"/>
  <c r="Y166" i="10"/>
  <c r="Y190" i="10"/>
  <c r="Y157" i="10"/>
  <c r="Y145" i="10"/>
  <c r="Y164" i="10"/>
  <c r="Y154" i="10"/>
  <c r="Y142" i="10"/>
  <c r="Y133" i="10"/>
  <c r="Y128" i="10"/>
  <c r="Y122" i="10"/>
  <c r="Y117" i="10"/>
  <c r="Y112" i="10"/>
  <c r="Y106" i="10"/>
  <c r="Y101" i="10"/>
  <c r="Y96" i="10"/>
  <c r="Y90" i="10"/>
  <c r="Y85" i="10"/>
  <c r="Y80" i="10"/>
  <c r="Y143" i="10"/>
  <c r="Y73" i="10"/>
  <c r="Y63" i="10"/>
  <c r="Y51" i="10"/>
  <c r="Y44" i="10"/>
  <c r="Y39" i="10"/>
  <c r="Y33" i="10"/>
  <c r="Y28" i="10"/>
  <c r="Y23" i="10"/>
  <c r="Y70" i="10"/>
  <c r="Y60" i="10"/>
  <c r="Y50" i="10"/>
  <c r="Y19" i="10"/>
  <c r="Y17" i="10"/>
  <c r="Y186" i="10"/>
  <c r="Y176" i="10"/>
  <c r="Y165" i="10"/>
  <c r="Y153" i="10"/>
  <c r="Y162" i="10"/>
  <c r="Y140" i="10"/>
  <c r="Y126" i="10"/>
  <c r="Y110" i="10"/>
  <c r="Y100" i="10"/>
  <c r="Y89" i="10"/>
  <c r="Y139" i="10"/>
  <c r="Y71" i="10"/>
  <c r="Y49" i="10"/>
  <c r="Y37" i="10"/>
  <c r="Y27" i="10"/>
  <c r="Y68" i="10"/>
  <c r="Y6" i="10"/>
  <c r="Y10" i="10"/>
  <c r="Y185" i="10"/>
  <c r="Y174" i="10"/>
  <c r="Y196" i="10"/>
  <c r="Y151" i="10"/>
  <c r="Y148" i="10"/>
  <c r="Y130" i="10"/>
  <c r="Y114" i="10"/>
  <c r="Y104" i="10"/>
  <c r="Y88" i="10"/>
  <c r="Y77" i="10"/>
  <c r="Y67" i="10"/>
  <c r="Y41" i="10"/>
  <c r="Y31" i="10"/>
  <c r="Y66" i="10"/>
  <c r="N109" i="4"/>
  <c r="N131" i="4"/>
  <c r="N11" i="4"/>
  <c r="N113" i="4"/>
  <c r="N112" i="4"/>
  <c r="N134" i="4"/>
  <c r="N17" i="4"/>
  <c r="N16" i="4"/>
  <c r="N135" i="4"/>
  <c r="BT47" i="10"/>
  <c r="AV77" i="10"/>
  <c r="BT7" i="10"/>
  <c r="BT9" i="10"/>
  <c r="BT11" i="10"/>
  <c r="BT13" i="10"/>
  <c r="BT15" i="10"/>
  <c r="BT17" i="10"/>
  <c r="BT19" i="10"/>
  <c r="BT21" i="10"/>
  <c r="BT23" i="10"/>
  <c r="BT25" i="10"/>
  <c r="BT27" i="10"/>
  <c r="BT29" i="10"/>
  <c r="BT31" i="10"/>
  <c r="BT33" i="10"/>
  <c r="BT35" i="10"/>
  <c r="BT37" i="10"/>
  <c r="BT39" i="10"/>
  <c r="BT41" i="10"/>
  <c r="BT43" i="10"/>
  <c r="BT45" i="10"/>
  <c r="BT6" i="10"/>
  <c r="BT8" i="10"/>
  <c r="BT10" i="10"/>
  <c r="BT12" i="10"/>
  <c r="BT14" i="10"/>
  <c r="BT16" i="10"/>
  <c r="BT18" i="10"/>
  <c r="BT20" i="10"/>
  <c r="BT22" i="10"/>
  <c r="BT24" i="10"/>
  <c r="BT26" i="10"/>
  <c r="BT28" i="10"/>
  <c r="BT30" i="10"/>
  <c r="BT32" i="10"/>
  <c r="BT34" i="10"/>
  <c r="BT36" i="10"/>
  <c r="BT38" i="10"/>
  <c r="BT40" i="10"/>
  <c r="BT42" i="10"/>
  <c r="BT44" i="10"/>
  <c r="BT46" i="10"/>
  <c r="BT198" i="10"/>
  <c r="BT194" i="10"/>
  <c r="BT189" i="10"/>
  <c r="BT185" i="10"/>
  <c r="BT181" i="10"/>
  <c r="BT177" i="10"/>
  <c r="BT173" i="10"/>
  <c r="BT169" i="10"/>
  <c r="BT165" i="10"/>
  <c r="BT160" i="10"/>
  <c r="BT164" i="10"/>
  <c r="BT154" i="10"/>
  <c r="BT150" i="10"/>
  <c r="BT146" i="10"/>
  <c r="BT142" i="10"/>
  <c r="BT138" i="10"/>
  <c r="BT134" i="10"/>
  <c r="BT130" i="10"/>
  <c r="BT126" i="10"/>
  <c r="BT122" i="10"/>
  <c r="BT118" i="10"/>
  <c r="BT114" i="10"/>
  <c r="BT110" i="10"/>
  <c r="BT106" i="10"/>
  <c r="BT102" i="10"/>
  <c r="BT98" i="10"/>
  <c r="BT94" i="10"/>
  <c r="BT90" i="10"/>
  <c r="BT197" i="10"/>
  <c r="BT192" i="10"/>
  <c r="BT188" i="10"/>
  <c r="BT184" i="10"/>
  <c r="BT180" i="10"/>
  <c r="BT176" i="10"/>
  <c r="BT172" i="10"/>
  <c r="BT168" i="10"/>
  <c r="BT163" i="10"/>
  <c r="BT159" i="10"/>
  <c r="BT157" i="10"/>
  <c r="BT153" i="10"/>
  <c r="BT149" i="10"/>
  <c r="BT145" i="10"/>
  <c r="BT200" i="10"/>
  <c r="BT196" i="10"/>
  <c r="BT191" i="10"/>
  <c r="BT187" i="10"/>
  <c r="BT183" i="10"/>
  <c r="BT179" i="10"/>
  <c r="BT175" i="10"/>
  <c r="BT171" i="10"/>
  <c r="BT193" i="10"/>
  <c r="BT162" i="10"/>
  <c r="BT158" i="10"/>
  <c r="BT156" i="10"/>
  <c r="BT152" i="10"/>
  <c r="BT199" i="10"/>
  <c r="BT195" i="10"/>
  <c r="BT190" i="10"/>
  <c r="BT186" i="10"/>
  <c r="BT182" i="10"/>
  <c r="BT178" i="10"/>
  <c r="BT174" i="10"/>
  <c r="BT170" i="10"/>
  <c r="BT167" i="10"/>
  <c r="BT161" i="10"/>
  <c r="BT166" i="10"/>
  <c r="BT155" i="10"/>
  <c r="BT151" i="10"/>
  <c r="BT147" i="10"/>
  <c r="BT143" i="10"/>
  <c r="BT139" i="10"/>
  <c r="BT135" i="10"/>
  <c r="BT131" i="10"/>
  <c r="BT127" i="10"/>
  <c r="BT123" i="10"/>
  <c r="BT119" i="10"/>
  <c r="BT115" i="10"/>
  <c r="BT111" i="10"/>
  <c r="BT107" i="10"/>
  <c r="BT103" i="10"/>
  <c r="BT99" i="10"/>
  <c r="BT95" i="10"/>
  <c r="BT91" i="10"/>
  <c r="BT87" i="10"/>
  <c r="BT83" i="10"/>
  <c r="BT79" i="10"/>
  <c r="BT75" i="10"/>
  <c r="BT71" i="10"/>
  <c r="BT67" i="10"/>
  <c r="BT63" i="10"/>
  <c r="BT59" i="10"/>
  <c r="BT55" i="10"/>
  <c r="BT51" i="10"/>
  <c r="BT148" i="10"/>
  <c r="BT137" i="10"/>
  <c r="BT129" i="10"/>
  <c r="BT121" i="10"/>
  <c r="BT113" i="10"/>
  <c r="BT105" i="10"/>
  <c r="BT97" i="10"/>
  <c r="BT89" i="10"/>
  <c r="BT84" i="10"/>
  <c r="BT78" i="10"/>
  <c r="BT73" i="10"/>
  <c r="BT68" i="10"/>
  <c r="BT62" i="10"/>
  <c r="BT57" i="10"/>
  <c r="BT52" i="10"/>
  <c r="BT144" i="10"/>
  <c r="BT136" i="10"/>
  <c r="BT128" i="10"/>
  <c r="BT120" i="10"/>
  <c r="BT112" i="10"/>
  <c r="BT104" i="10"/>
  <c r="BT96" i="10"/>
  <c r="BT88" i="10"/>
  <c r="BT82" i="10"/>
  <c r="BT77" i="10"/>
  <c r="BT72" i="10"/>
  <c r="BT66" i="10"/>
  <c r="BT61" i="10"/>
  <c r="BT56" i="10"/>
  <c r="BT50" i="10"/>
  <c r="BT141" i="10"/>
  <c r="BT133" i="10"/>
  <c r="BT125" i="10"/>
  <c r="BT117" i="10"/>
  <c r="BT109" i="10"/>
  <c r="BT101" i="10"/>
  <c r="BT93" i="10"/>
  <c r="BT86" i="10"/>
  <c r="BT81" i="10"/>
  <c r="BT76" i="10"/>
  <c r="BT70" i="10"/>
  <c r="BT65" i="10"/>
  <c r="BT60" i="10"/>
  <c r="BT54" i="10"/>
  <c r="BT49" i="10"/>
  <c r="BT140" i="10"/>
  <c r="BT132" i="10"/>
  <c r="BT124" i="10"/>
  <c r="BT116" i="10"/>
  <c r="BT108" i="10"/>
  <c r="BT100" i="10"/>
  <c r="BT92" i="10"/>
  <c r="BT85" i="10"/>
  <c r="BT80" i="10"/>
  <c r="BT74" i="10"/>
  <c r="BT69" i="10"/>
  <c r="BT64" i="10"/>
  <c r="BT58" i="10"/>
  <c r="BT53" i="10"/>
  <c r="BT48" i="10"/>
  <c r="AV67" i="10"/>
  <c r="AV71" i="10"/>
  <c r="AV75" i="10"/>
  <c r="CR75" i="10" s="1"/>
  <c r="AV198" i="10"/>
  <c r="CR198" i="10" s="1"/>
  <c r="AV195" i="10"/>
  <c r="AV185" i="10"/>
  <c r="AV193" i="10"/>
  <c r="CR193" i="10" s="1"/>
  <c r="AV184" i="10"/>
  <c r="AV176" i="10"/>
  <c r="CR176" i="10" s="1"/>
  <c r="AV168" i="10"/>
  <c r="AV162" i="10"/>
  <c r="CR162" i="10" s="1"/>
  <c r="AV158" i="10"/>
  <c r="CR158" i="10" s="1"/>
  <c r="AV154" i="10"/>
  <c r="AV150" i="10"/>
  <c r="AV146" i="10"/>
  <c r="AV142" i="10"/>
  <c r="CR142" i="10" s="1"/>
  <c r="AV138" i="10"/>
  <c r="AV134" i="10"/>
  <c r="AV130" i="10"/>
  <c r="AV126" i="10"/>
  <c r="CR126" i="10" s="1"/>
  <c r="AV122" i="10"/>
  <c r="AV181" i="10"/>
  <c r="AV165" i="10"/>
  <c r="AV115" i="10"/>
  <c r="CR115" i="10" s="1"/>
  <c r="AV111" i="10"/>
  <c r="CR111" i="10" s="1"/>
  <c r="AV107" i="10"/>
  <c r="CR107" i="10" s="1"/>
  <c r="AV103" i="10"/>
  <c r="CR103" i="10" s="1"/>
  <c r="AV167" i="10"/>
  <c r="AV96" i="10"/>
  <c r="AV88" i="10"/>
  <c r="AV80" i="10"/>
  <c r="AV72" i="10"/>
  <c r="AV99" i="10"/>
  <c r="AV91" i="10"/>
  <c r="CR91" i="10" s="1"/>
  <c r="AV7" i="10"/>
  <c r="CR7" i="10" s="1"/>
  <c r="AV9" i="10"/>
  <c r="CR9" i="10" s="1"/>
  <c r="AV17" i="10"/>
  <c r="AV23" i="10"/>
  <c r="AV31" i="10"/>
  <c r="CR31" i="10" s="1"/>
  <c r="AV79" i="10"/>
  <c r="AV196" i="10"/>
  <c r="AV197" i="10"/>
  <c r="AV183" i="10"/>
  <c r="CR183" i="10" s="1"/>
  <c r="AV190" i="10"/>
  <c r="AV182" i="10"/>
  <c r="AV174" i="10"/>
  <c r="AV166" i="10"/>
  <c r="AV161" i="10"/>
  <c r="CR161" i="10" s="1"/>
  <c r="AV157" i="10"/>
  <c r="CR157" i="10" s="1"/>
  <c r="AV153" i="10"/>
  <c r="AV149" i="10"/>
  <c r="AV145" i="10"/>
  <c r="AV141" i="10"/>
  <c r="AV137" i="10"/>
  <c r="CR137" i="10" s="1"/>
  <c r="AV133" i="10"/>
  <c r="AV129" i="10"/>
  <c r="AV125" i="10"/>
  <c r="CR125" i="10" s="1"/>
  <c r="AV121" i="10"/>
  <c r="AV177" i="10"/>
  <c r="AV118" i="10"/>
  <c r="CR118" i="10" s="1"/>
  <c r="AV114" i="10"/>
  <c r="CR114" i="10" s="1"/>
  <c r="AV110" i="10"/>
  <c r="CR110" i="10" s="1"/>
  <c r="AV106" i="10"/>
  <c r="CR106" i="10" s="1"/>
  <c r="AV179" i="10"/>
  <c r="AV102" i="10"/>
  <c r="AV94" i="10"/>
  <c r="CR94" i="10" s="1"/>
  <c r="AV86" i="10"/>
  <c r="CR86" i="10" s="1"/>
  <c r="AV78" i="10"/>
  <c r="CR78" i="10" s="1"/>
  <c r="AV70" i="10"/>
  <c r="CR70" i="10" s="1"/>
  <c r="AV97" i="10"/>
  <c r="AV89" i="10"/>
  <c r="AV11" i="10"/>
  <c r="AV19" i="10"/>
  <c r="CR19" i="10" s="1"/>
  <c r="AV25" i="10"/>
  <c r="AV33" i="10"/>
  <c r="AV194" i="10"/>
  <c r="AV189" i="10"/>
  <c r="CR189" i="10" s="1"/>
  <c r="AV199" i="10"/>
  <c r="AV188" i="10"/>
  <c r="CR188" i="10" s="1"/>
  <c r="AV180" i="10"/>
  <c r="AV172" i="10"/>
  <c r="CR172" i="10" s="1"/>
  <c r="AV164" i="10"/>
  <c r="CR164" i="10" s="1"/>
  <c r="AV160" i="10"/>
  <c r="AV156" i="10"/>
  <c r="AV152" i="10"/>
  <c r="CR152" i="10" s="1"/>
  <c r="AV148" i="10"/>
  <c r="AV144" i="10"/>
  <c r="AV140" i="10"/>
  <c r="CR140" i="10" s="1"/>
  <c r="AV136" i="10"/>
  <c r="CR136" i="10" s="1"/>
  <c r="AV132" i="10"/>
  <c r="AV128" i="10"/>
  <c r="CR128" i="10" s="1"/>
  <c r="AV124" i="10"/>
  <c r="CR124" i="10" s="1"/>
  <c r="AV120" i="10"/>
  <c r="AV173" i="10"/>
  <c r="CR173" i="10" s="1"/>
  <c r="AV117" i="10"/>
  <c r="CR117" i="10" s="1"/>
  <c r="AV113" i="10"/>
  <c r="AV109" i="10"/>
  <c r="AV105" i="10"/>
  <c r="CR105" i="10" s="1"/>
  <c r="AV175" i="10"/>
  <c r="AV100" i="10"/>
  <c r="AV92" i="10"/>
  <c r="AV84" i="10"/>
  <c r="AV76" i="10"/>
  <c r="AV68" i="10"/>
  <c r="CR68" i="10" s="1"/>
  <c r="AV95" i="10"/>
  <c r="CR95" i="10" s="1"/>
  <c r="AV87" i="10"/>
  <c r="AV6" i="10"/>
  <c r="CR6" i="10" s="1"/>
  <c r="AV8" i="10"/>
  <c r="CR8" i="10" s="1"/>
  <c r="AV13" i="10"/>
  <c r="CR13" i="10" s="1"/>
  <c r="AV21" i="10"/>
  <c r="CR21" i="10" s="1"/>
  <c r="AV27" i="10"/>
  <c r="AV35" i="10"/>
  <c r="AV200" i="10"/>
  <c r="CR200" i="10" s="1"/>
  <c r="AV192" i="10"/>
  <c r="AV187" i="10"/>
  <c r="AV191" i="10"/>
  <c r="CR191" i="10" s="1"/>
  <c r="AV186" i="10"/>
  <c r="CR186" i="10" s="1"/>
  <c r="AV178" i="10"/>
  <c r="AV170" i="10"/>
  <c r="CR170" i="10" s="1"/>
  <c r="AV163" i="10"/>
  <c r="CR163" i="10" s="1"/>
  <c r="AV159" i="10"/>
  <c r="CR159" i="10" s="1"/>
  <c r="AV155" i="10"/>
  <c r="CR155" i="10" s="1"/>
  <c r="AV151" i="10"/>
  <c r="CR151" i="10" s="1"/>
  <c r="AV147" i="10"/>
  <c r="CR147" i="10" s="1"/>
  <c r="AV143" i="10"/>
  <c r="CR143" i="10" s="1"/>
  <c r="AV139" i="10"/>
  <c r="CR139" i="10" s="1"/>
  <c r="AV135" i="10"/>
  <c r="CR135" i="10" s="1"/>
  <c r="AV131" i="10"/>
  <c r="CR131" i="10" s="1"/>
  <c r="AV127" i="10"/>
  <c r="CR127" i="10" s="1"/>
  <c r="AV123" i="10"/>
  <c r="CR123" i="10" s="1"/>
  <c r="AV119" i="10"/>
  <c r="CR119" i="10" s="1"/>
  <c r="AV169" i="10"/>
  <c r="AV116" i="10"/>
  <c r="CR116" i="10" s="1"/>
  <c r="AV112" i="10"/>
  <c r="AV108" i="10"/>
  <c r="CR108" i="10" s="1"/>
  <c r="AV104" i="10"/>
  <c r="AV171" i="10"/>
  <c r="CR171" i="10" s="1"/>
  <c r="AV98" i="10"/>
  <c r="AV90" i="10"/>
  <c r="CR90" i="10" s="1"/>
  <c r="AV82" i="10"/>
  <c r="CR82" i="10" s="1"/>
  <c r="AV74" i="10"/>
  <c r="AV101" i="10"/>
  <c r="AV93" i="10"/>
  <c r="AV85" i="10"/>
  <c r="AV15" i="10"/>
  <c r="AV29" i="10"/>
  <c r="CR29" i="10" s="1"/>
  <c r="AV37" i="10"/>
  <c r="CR37" i="10" s="1"/>
  <c r="AV81" i="10"/>
  <c r="AV69" i="10"/>
  <c r="AV73" i="10"/>
  <c r="AV14" i="10"/>
  <c r="CR14" i="10" s="1"/>
  <c r="AV22" i="10"/>
  <c r="AV34" i="10"/>
  <c r="CR34" i="10" s="1"/>
  <c r="AV41" i="10"/>
  <c r="AV45" i="10"/>
  <c r="CR45" i="10" s="1"/>
  <c r="AV49" i="10"/>
  <c r="AV53" i="10"/>
  <c r="AV57" i="10"/>
  <c r="CR57" i="10" s="1"/>
  <c r="AV61" i="10"/>
  <c r="AV39" i="10"/>
  <c r="AV46" i="10"/>
  <c r="AV48" i="10"/>
  <c r="AV55" i="10"/>
  <c r="CR55" i="10" s="1"/>
  <c r="AV62" i="10"/>
  <c r="AV65" i="10"/>
  <c r="CR65" i="10" s="1"/>
  <c r="AV43" i="10"/>
  <c r="AV50" i="10"/>
  <c r="CR50" i="10" s="1"/>
  <c r="AV52" i="10"/>
  <c r="AV59" i="10"/>
  <c r="CR59" i="10" s="1"/>
  <c r="AV64" i="10"/>
  <c r="AV10" i="10"/>
  <c r="AV16" i="10"/>
  <c r="CR16" i="10" s="1"/>
  <c r="AV18" i="10"/>
  <c r="CR18" i="10" s="1"/>
  <c r="AV20" i="10"/>
  <c r="CR20" i="10" s="1"/>
  <c r="AV24" i="10"/>
  <c r="AV26" i="10"/>
  <c r="AV28" i="10"/>
  <c r="CR28" i="10" s="1"/>
  <c r="AV30" i="10"/>
  <c r="AV32" i="10"/>
  <c r="AV36" i="10"/>
  <c r="CR36" i="10" s="1"/>
  <c r="AV38" i="10"/>
  <c r="AV40" i="10"/>
  <c r="AV47" i="10"/>
  <c r="AV54" i="10"/>
  <c r="CR54" i="10" s="1"/>
  <c r="AV56" i="10"/>
  <c r="CR56" i="10" s="1"/>
  <c r="AV63" i="10"/>
  <c r="AV83" i="10"/>
  <c r="AV12" i="10"/>
  <c r="CR12" i="10" s="1"/>
  <c r="AV42" i="10"/>
  <c r="CR42" i="10" s="1"/>
  <c r="AV44" i="10"/>
  <c r="CR44" i="10" s="1"/>
  <c r="AV51" i="10"/>
  <c r="AV58" i="10"/>
  <c r="CR58" i="10" s="1"/>
  <c r="AV60" i="10"/>
  <c r="AV66" i="10"/>
  <c r="X3" i="10"/>
  <c r="CR3" i="10"/>
  <c r="BT3" i="10"/>
  <c r="AV3" i="10"/>
  <c r="CQ121" i="10"/>
  <c r="CQ153" i="10"/>
  <c r="CQ185" i="10"/>
  <c r="CQ194" i="10"/>
  <c r="CQ110" i="10"/>
  <c r="CQ190" i="10"/>
  <c r="CQ158" i="10"/>
  <c r="CQ74" i="10"/>
  <c r="CQ102" i="10"/>
  <c r="CQ186" i="10"/>
  <c r="CQ154" i="10"/>
  <c r="CQ122" i="10"/>
  <c r="CQ195" i="10"/>
  <c r="CQ179" i="10"/>
  <c r="CQ163" i="10"/>
  <c r="CQ147" i="10"/>
  <c r="CQ131" i="10"/>
  <c r="CQ115" i="10"/>
  <c r="CQ99" i="10"/>
  <c r="CQ83" i="10"/>
  <c r="CQ67" i="10"/>
  <c r="CQ51" i="10"/>
  <c r="CQ35" i="10"/>
  <c r="CQ19" i="10"/>
  <c r="CQ50" i="10"/>
  <c r="CQ18" i="10"/>
  <c r="CQ65" i="10"/>
  <c r="CQ49" i="10"/>
  <c r="CQ33" i="10"/>
  <c r="CQ17" i="10"/>
  <c r="CQ56" i="10"/>
  <c r="BU52" i="10"/>
  <c r="BU6" i="10"/>
  <c r="BU7" i="10"/>
  <c r="BU9" i="10"/>
  <c r="BU11" i="10"/>
  <c r="BU13" i="10"/>
  <c r="BU15" i="10"/>
  <c r="BU17" i="10"/>
  <c r="BU19" i="10"/>
  <c r="BU21" i="10"/>
  <c r="BU23" i="10"/>
  <c r="BU25" i="10"/>
  <c r="BU27" i="10"/>
  <c r="BU29" i="10"/>
  <c r="BU31" i="10"/>
  <c r="BU33" i="10"/>
  <c r="BU35" i="10"/>
  <c r="BU37" i="10"/>
  <c r="BU39" i="10"/>
  <c r="BU41" i="10"/>
  <c r="BU43" i="10"/>
  <c r="BU45" i="10"/>
  <c r="BU50" i="10"/>
  <c r="BU49" i="10"/>
  <c r="BU8" i="10"/>
  <c r="BU10" i="10"/>
  <c r="BU12" i="10"/>
  <c r="BU14" i="10"/>
  <c r="BU16" i="10"/>
  <c r="BU18" i="10"/>
  <c r="BU20" i="10"/>
  <c r="BU22" i="10"/>
  <c r="BU24" i="10"/>
  <c r="BU26" i="10"/>
  <c r="BU28" i="10"/>
  <c r="BU30" i="10"/>
  <c r="BU32" i="10"/>
  <c r="BU34" i="10"/>
  <c r="BU36" i="10"/>
  <c r="BU38" i="10"/>
  <c r="BU40" i="10"/>
  <c r="BU42" i="10"/>
  <c r="BU44" i="10"/>
  <c r="BU46" i="10"/>
  <c r="BU48" i="10"/>
  <c r="BU47" i="10"/>
  <c r="BU51" i="10"/>
  <c r="AW37" i="10"/>
  <c r="BU191" i="10"/>
  <c r="BU187" i="10"/>
  <c r="BU183" i="10"/>
  <c r="BU179" i="10"/>
  <c r="BU175" i="10"/>
  <c r="BU171" i="10"/>
  <c r="BU167" i="10"/>
  <c r="BU163" i="10"/>
  <c r="BU194" i="10"/>
  <c r="BU161" i="10"/>
  <c r="BU157" i="10"/>
  <c r="BU153" i="10"/>
  <c r="BU149" i="10"/>
  <c r="BU145" i="10"/>
  <c r="BU200" i="10"/>
  <c r="BU190" i="10"/>
  <c r="BU186" i="10"/>
  <c r="BU182" i="10"/>
  <c r="BU178" i="10"/>
  <c r="BU174" i="10"/>
  <c r="BU170" i="10"/>
  <c r="BU166" i="10"/>
  <c r="BU197" i="10"/>
  <c r="BU193" i="10"/>
  <c r="BU199" i="10"/>
  <c r="BU189" i="10"/>
  <c r="BU185" i="10"/>
  <c r="BU181" i="10"/>
  <c r="BU177" i="10"/>
  <c r="BU173" i="10"/>
  <c r="BU169" i="10"/>
  <c r="BU165" i="10"/>
  <c r="BU196" i="10"/>
  <c r="BU192" i="10"/>
  <c r="BU188" i="10"/>
  <c r="BU184" i="10"/>
  <c r="BU180" i="10"/>
  <c r="BU176" i="10"/>
  <c r="BU172" i="10"/>
  <c r="BU168" i="10"/>
  <c r="BU164" i="10"/>
  <c r="BU195" i="10"/>
  <c r="BU162" i="10"/>
  <c r="BU158" i="10"/>
  <c r="BU154" i="10"/>
  <c r="BU150" i="10"/>
  <c r="BU146" i="10"/>
  <c r="BU142" i="10"/>
  <c r="BU138" i="10"/>
  <c r="BU134" i="10"/>
  <c r="BU130" i="10"/>
  <c r="BU126" i="10"/>
  <c r="BU122" i="10"/>
  <c r="BU118" i="10"/>
  <c r="BU114" i="10"/>
  <c r="BU110" i="10"/>
  <c r="BU106" i="10"/>
  <c r="BU102" i="10"/>
  <c r="BU98" i="10"/>
  <c r="BU94" i="10"/>
  <c r="BU90" i="10"/>
  <c r="BU86" i="10"/>
  <c r="BU82" i="10"/>
  <c r="BU78" i="10"/>
  <c r="BU74" i="10"/>
  <c r="BU70" i="10"/>
  <c r="BU66" i="10"/>
  <c r="BU62" i="10"/>
  <c r="BU58" i="10"/>
  <c r="BU54" i="10"/>
  <c r="BU198" i="10"/>
  <c r="BU155" i="10"/>
  <c r="BU147" i="10"/>
  <c r="BU140" i="10"/>
  <c r="BU135" i="10"/>
  <c r="BU129" i="10"/>
  <c r="BU124" i="10"/>
  <c r="BU119" i="10"/>
  <c r="BU113" i="10"/>
  <c r="BU108" i="10"/>
  <c r="BU103" i="10"/>
  <c r="BU97" i="10"/>
  <c r="BU92" i="10"/>
  <c r="BU87" i="10"/>
  <c r="BU81" i="10"/>
  <c r="BU76" i="10"/>
  <c r="BU71" i="10"/>
  <c r="BU65" i="10"/>
  <c r="BU60" i="10"/>
  <c r="BU55" i="10"/>
  <c r="BU160" i="10"/>
  <c r="BU152" i="10"/>
  <c r="BU144" i="10"/>
  <c r="BU139" i="10"/>
  <c r="BU133" i="10"/>
  <c r="BU128" i="10"/>
  <c r="BU123" i="10"/>
  <c r="BU117" i="10"/>
  <c r="BU112" i="10"/>
  <c r="BU107" i="10"/>
  <c r="BU101" i="10"/>
  <c r="BU96" i="10"/>
  <c r="BU91" i="10"/>
  <c r="BU85" i="10"/>
  <c r="BU80" i="10"/>
  <c r="BU75" i="10"/>
  <c r="BU69" i="10"/>
  <c r="BU64" i="10"/>
  <c r="BU59" i="10"/>
  <c r="BU159" i="10"/>
  <c r="BU151" i="10"/>
  <c r="BU143" i="10"/>
  <c r="BU137" i="10"/>
  <c r="BU132" i="10"/>
  <c r="BU127" i="10"/>
  <c r="BU121" i="10"/>
  <c r="BU116" i="10"/>
  <c r="BU111" i="10"/>
  <c r="BU105" i="10"/>
  <c r="BU100" i="10"/>
  <c r="BU95" i="10"/>
  <c r="BU89" i="10"/>
  <c r="BU84" i="10"/>
  <c r="BU79" i="10"/>
  <c r="BU73" i="10"/>
  <c r="BU68" i="10"/>
  <c r="BU63" i="10"/>
  <c r="BU57" i="10"/>
  <c r="BU156" i="10"/>
  <c r="BU148" i="10"/>
  <c r="BU141" i="10"/>
  <c r="BU136" i="10"/>
  <c r="BU131" i="10"/>
  <c r="BU125" i="10"/>
  <c r="BU120" i="10"/>
  <c r="BU115" i="10"/>
  <c r="BU109" i="10"/>
  <c r="BU104" i="10"/>
  <c r="BU99" i="10"/>
  <c r="BU93" i="10"/>
  <c r="BU88" i="10"/>
  <c r="BU83" i="10"/>
  <c r="BU77" i="10"/>
  <c r="BU72" i="10"/>
  <c r="BU67" i="10"/>
  <c r="BU61" i="10"/>
  <c r="BU56" i="10"/>
  <c r="AW7" i="10"/>
  <c r="AW9" i="10"/>
  <c r="AW11" i="10"/>
  <c r="CS11" i="10" s="1"/>
  <c r="BU53" i="10"/>
  <c r="AW6" i="10"/>
  <c r="AW13" i="10"/>
  <c r="AW8" i="10"/>
  <c r="CS8" i="10" s="1"/>
  <c r="AW10" i="10"/>
  <c r="AW12" i="10"/>
  <c r="AW14" i="10"/>
  <c r="AW16" i="10"/>
  <c r="CS16" i="10" s="1"/>
  <c r="AW18" i="10"/>
  <c r="AW20" i="10"/>
  <c r="AW22" i="10"/>
  <c r="AW24" i="10"/>
  <c r="CS24" i="10" s="1"/>
  <c r="AW26" i="10"/>
  <c r="AW28" i="10"/>
  <c r="AW30" i="10"/>
  <c r="AW32" i="10"/>
  <c r="CS32" i="10" s="1"/>
  <c r="AW34" i="10"/>
  <c r="AW36" i="10"/>
  <c r="AW38" i="10"/>
  <c r="AW31" i="10"/>
  <c r="AW188" i="10"/>
  <c r="CS188" i="10" s="1"/>
  <c r="AW184" i="10"/>
  <c r="CS184" i="10" s="1"/>
  <c r="AW180" i="10"/>
  <c r="CS180" i="10" s="1"/>
  <c r="AW25" i="10"/>
  <c r="AW29" i="10"/>
  <c r="AW187" i="10"/>
  <c r="AW182" i="10"/>
  <c r="AW177" i="10"/>
  <c r="CS177" i="10" s="1"/>
  <c r="AW173" i="10"/>
  <c r="AW169" i="10"/>
  <c r="AW165" i="10"/>
  <c r="AW199" i="10"/>
  <c r="CS199" i="10" s="1"/>
  <c r="AW193" i="10"/>
  <c r="AW145" i="10"/>
  <c r="AW137" i="10"/>
  <c r="CS137" i="10" s="1"/>
  <c r="AW129" i="10"/>
  <c r="AW121" i="10"/>
  <c r="AW144" i="10"/>
  <c r="AW163" i="10"/>
  <c r="AW159" i="10"/>
  <c r="CS159" i="10" s="1"/>
  <c r="AW155" i="10"/>
  <c r="AW151" i="10"/>
  <c r="AW117" i="10"/>
  <c r="AW113" i="10"/>
  <c r="AW109" i="10"/>
  <c r="AW105" i="10"/>
  <c r="AW101" i="10"/>
  <c r="CS101" i="10" s="1"/>
  <c r="AW97" i="10"/>
  <c r="CS97" i="10" s="1"/>
  <c r="AW93" i="10"/>
  <c r="AW89" i="10"/>
  <c r="AW85" i="10"/>
  <c r="AW81" i="10"/>
  <c r="CS81" i="10" s="1"/>
  <c r="AW77" i="10"/>
  <c r="CS77" i="10" s="1"/>
  <c r="AW73" i="10"/>
  <c r="AW69" i="10"/>
  <c r="AW130" i="10"/>
  <c r="AW65" i="10"/>
  <c r="AW61" i="10"/>
  <c r="AW57" i="10"/>
  <c r="AW53" i="10"/>
  <c r="AW49" i="10"/>
  <c r="AW45" i="10"/>
  <c r="AW41" i="10"/>
  <c r="AW132" i="10"/>
  <c r="CS132" i="10" s="1"/>
  <c r="AW138" i="10"/>
  <c r="AW21" i="10"/>
  <c r="AW33" i="10"/>
  <c r="AW186" i="10"/>
  <c r="CS186" i="10" s="1"/>
  <c r="AW181" i="10"/>
  <c r="AW176" i="10"/>
  <c r="AW172" i="10"/>
  <c r="AW168" i="10"/>
  <c r="AW200" i="10"/>
  <c r="CS200" i="10" s="1"/>
  <c r="AW194" i="10"/>
  <c r="AW198" i="10"/>
  <c r="AW143" i="10"/>
  <c r="AW135" i="10"/>
  <c r="CS135" i="10" s="1"/>
  <c r="AW127" i="10"/>
  <c r="AW119" i="10"/>
  <c r="AW142" i="10"/>
  <c r="AW162" i="10"/>
  <c r="CS162" i="10" s="1"/>
  <c r="AW158" i="10"/>
  <c r="CS158" i="10" s="1"/>
  <c r="AW154" i="10"/>
  <c r="CS154" i="10" s="1"/>
  <c r="AW150" i="10"/>
  <c r="CS150" i="10" s="1"/>
  <c r="AW116" i="10"/>
  <c r="AW112" i="10"/>
  <c r="AW108" i="10"/>
  <c r="AW104" i="10"/>
  <c r="CS104" i="10" s="1"/>
  <c r="AW100" i="10"/>
  <c r="AW96" i="10"/>
  <c r="AW92" i="10"/>
  <c r="AW88" i="10"/>
  <c r="CS88" i="10" s="1"/>
  <c r="AW84" i="10"/>
  <c r="CS84" i="10" s="1"/>
  <c r="AW80" i="10"/>
  <c r="AW76" i="10"/>
  <c r="AW72" i="10"/>
  <c r="AW68" i="10"/>
  <c r="AW126" i="10"/>
  <c r="CS126" i="10" s="1"/>
  <c r="AW64" i="10"/>
  <c r="AW60" i="10"/>
  <c r="CS60" i="10" s="1"/>
  <c r="AW56" i="10"/>
  <c r="CS56" i="10" s="1"/>
  <c r="AW52" i="10"/>
  <c r="AW48" i="10"/>
  <c r="CS48" i="10" s="1"/>
  <c r="AW44" i="10"/>
  <c r="AW40" i="10"/>
  <c r="AW128" i="10"/>
  <c r="CS128" i="10" s="1"/>
  <c r="AW15" i="10"/>
  <c r="AW23" i="10"/>
  <c r="AW27" i="10"/>
  <c r="AW190" i="10"/>
  <c r="CS190" i="10" s="1"/>
  <c r="AW185" i="10"/>
  <c r="AW179" i="10"/>
  <c r="AW175" i="10"/>
  <c r="AW171" i="10"/>
  <c r="AW167" i="10"/>
  <c r="AW197" i="10"/>
  <c r="AW191" i="10"/>
  <c r="AW195" i="10"/>
  <c r="AW141" i="10"/>
  <c r="AW133" i="10"/>
  <c r="AW125" i="10"/>
  <c r="AW148" i="10"/>
  <c r="AW140" i="10"/>
  <c r="AW161" i="10"/>
  <c r="CS161" i="10" s="1"/>
  <c r="AW157" i="10"/>
  <c r="CS157" i="10" s="1"/>
  <c r="AW153" i="10"/>
  <c r="CS153" i="10" s="1"/>
  <c r="AW149" i="10"/>
  <c r="CS149" i="10" s="1"/>
  <c r="AW115" i="10"/>
  <c r="AW111" i="10"/>
  <c r="AW107" i="10"/>
  <c r="CS107" i="10" s="1"/>
  <c r="AW103" i="10"/>
  <c r="CS103" i="10" s="1"/>
  <c r="AW99" i="10"/>
  <c r="AW95" i="10"/>
  <c r="AW91" i="10"/>
  <c r="AW87" i="10"/>
  <c r="AW83" i="10"/>
  <c r="CS83" i="10" s="1"/>
  <c r="AW79" i="10"/>
  <c r="AW75" i="10"/>
  <c r="AW71" i="10"/>
  <c r="AW67" i="10"/>
  <c r="CS67" i="10" s="1"/>
  <c r="AW122" i="10"/>
  <c r="AW63" i="10"/>
  <c r="AW59" i="10"/>
  <c r="CS59" i="10" s="1"/>
  <c r="AW55" i="10"/>
  <c r="CS55" i="10" s="1"/>
  <c r="AW51" i="10"/>
  <c r="CS51" i="10" s="1"/>
  <c r="AW47" i="10"/>
  <c r="AW43" i="10"/>
  <c r="CS43" i="10" s="1"/>
  <c r="AW39" i="10"/>
  <c r="AW124" i="10"/>
  <c r="AW17" i="10"/>
  <c r="CS17" i="10" s="1"/>
  <c r="AW35" i="10"/>
  <c r="CS35" i="10" s="1"/>
  <c r="AW189" i="10"/>
  <c r="CS189" i="10" s="1"/>
  <c r="AW183" i="10"/>
  <c r="CS183" i="10" s="1"/>
  <c r="AW178" i="10"/>
  <c r="AW174" i="10"/>
  <c r="AW170" i="10"/>
  <c r="CS170" i="10" s="1"/>
  <c r="AW166" i="10"/>
  <c r="AW192" i="10"/>
  <c r="AW196" i="10"/>
  <c r="CS196" i="10" s="1"/>
  <c r="AW147" i="10"/>
  <c r="CS147" i="10" s="1"/>
  <c r="AW139" i="10"/>
  <c r="AW131" i="10"/>
  <c r="AW123" i="10"/>
  <c r="CS123" i="10" s="1"/>
  <c r="AW146" i="10"/>
  <c r="AW164" i="10"/>
  <c r="AW160" i="10"/>
  <c r="AW156" i="10"/>
  <c r="CS156" i="10" s="1"/>
  <c r="AW152" i="10"/>
  <c r="AW118" i="10"/>
  <c r="AW114" i="10"/>
  <c r="AW110" i="10"/>
  <c r="AW106" i="10"/>
  <c r="CS106" i="10" s="1"/>
  <c r="AW102" i="10"/>
  <c r="AW98" i="10"/>
  <c r="AW94" i="10"/>
  <c r="AW90" i="10"/>
  <c r="CS90" i="10" s="1"/>
  <c r="AW86" i="10"/>
  <c r="AW82" i="10"/>
  <c r="AW78" i="10"/>
  <c r="AW74" i="10"/>
  <c r="CS74" i="10" s="1"/>
  <c r="AW70" i="10"/>
  <c r="AW136" i="10"/>
  <c r="CS136" i="10" s="1"/>
  <c r="AW66" i="10"/>
  <c r="AW62" i="10"/>
  <c r="AW58" i="10"/>
  <c r="AW54" i="10"/>
  <c r="AW50" i="10"/>
  <c r="AW46" i="10"/>
  <c r="AW42" i="10"/>
  <c r="AW134" i="10"/>
  <c r="AW120" i="10"/>
  <c r="AW19" i="10"/>
  <c r="CS19" i="10" s="1"/>
  <c r="Y3" i="10"/>
  <c r="CS3" i="10"/>
  <c r="BU3" i="10"/>
  <c r="AW3" i="10"/>
  <c r="CT3" i="10"/>
  <c r="BV3" i="10"/>
  <c r="AX3" i="10"/>
  <c r="Z3" i="10"/>
  <c r="Z4" i="10"/>
  <c r="CT4" i="10"/>
  <c r="BV4" i="10"/>
  <c r="AX4" i="10"/>
  <c r="CQ134" i="10"/>
  <c r="CQ94" i="10"/>
  <c r="CQ182" i="10"/>
  <c r="CQ150" i="10"/>
  <c r="CQ118" i="10"/>
  <c r="CQ86" i="10"/>
  <c r="CQ178" i="10"/>
  <c r="CQ146" i="10"/>
  <c r="CQ114" i="10"/>
  <c r="CQ191" i="10"/>
  <c r="CQ175" i="10"/>
  <c r="CQ159" i="10"/>
  <c r="CQ143" i="10"/>
  <c r="CQ127" i="10"/>
  <c r="CQ111" i="10"/>
  <c r="CQ95" i="10"/>
  <c r="CQ79" i="10"/>
  <c r="CQ47" i="10"/>
  <c r="CQ31" i="10"/>
  <c r="CQ15" i="10"/>
  <c r="CQ62" i="10"/>
  <c r="CQ46" i="10"/>
  <c r="CQ61" i="10"/>
  <c r="CQ29" i="10"/>
  <c r="CQ13" i="10"/>
  <c r="CQ52" i="10"/>
  <c r="CQ20" i="10"/>
  <c r="CQ78" i="10"/>
  <c r="CQ174" i="10"/>
  <c r="CQ106" i="10"/>
  <c r="CQ170" i="10"/>
  <c r="CQ138" i="10"/>
  <c r="CQ98" i="10"/>
  <c r="CQ187" i="10"/>
  <c r="CQ171" i="10"/>
  <c r="CQ155" i="10"/>
  <c r="CQ139" i="10"/>
  <c r="CQ123" i="10"/>
  <c r="CQ107" i="10"/>
  <c r="CQ91" i="10"/>
  <c r="CQ75" i="10"/>
  <c r="CQ59" i="10"/>
  <c r="CQ43" i="10"/>
  <c r="CQ27" i="10"/>
  <c r="CQ11" i="10"/>
  <c r="CQ58" i="10"/>
  <c r="CQ26" i="10"/>
  <c r="CQ57" i="10"/>
  <c r="CQ41" i="10"/>
  <c r="CQ25" i="10"/>
  <c r="CQ9" i="10"/>
  <c r="CQ68" i="10"/>
  <c r="CQ32" i="10"/>
  <c r="N24" i="4"/>
  <c r="N23" i="4"/>
  <c r="N142" i="4"/>
  <c r="N141" i="4"/>
  <c r="N108" i="4"/>
  <c r="N10" i="4"/>
  <c r="N120" i="4"/>
  <c r="N119" i="4"/>
  <c r="N130" i="4"/>
  <c r="N22" i="4"/>
  <c r="N118" i="4"/>
  <c r="N140" i="4"/>
  <c r="X197" i="10"/>
  <c r="X193" i="10"/>
  <c r="X189" i="10"/>
  <c r="X185" i="10"/>
  <c r="X181" i="10"/>
  <c r="X177" i="10"/>
  <c r="X173" i="10"/>
  <c r="X169" i="10"/>
  <c r="X165" i="10"/>
  <c r="X161" i="10"/>
  <c r="X157" i="10"/>
  <c r="X153" i="10"/>
  <c r="X149" i="10"/>
  <c r="X145" i="10"/>
  <c r="X141" i="10"/>
  <c r="X137" i="10"/>
  <c r="X133" i="10"/>
  <c r="X129" i="10"/>
  <c r="X125" i="10"/>
  <c r="X121" i="10"/>
  <c r="X117" i="10"/>
  <c r="X111" i="10"/>
  <c r="X103" i="10"/>
  <c r="X95" i="10"/>
  <c r="X87" i="10"/>
  <c r="X108" i="10"/>
  <c r="X100" i="10"/>
  <c r="X88" i="10"/>
  <c r="X84" i="10"/>
  <c r="X71" i="10"/>
  <c r="X63" i="10"/>
  <c r="X55" i="10"/>
  <c r="X47" i="10"/>
  <c r="X43" i="10"/>
  <c r="X39" i="10"/>
  <c r="X35" i="10"/>
  <c r="X31" i="10"/>
  <c r="X27" i="10"/>
  <c r="X23" i="10"/>
  <c r="X86" i="10"/>
  <c r="X85" i="10"/>
  <c r="X72" i="10"/>
  <c r="X64" i="10"/>
  <c r="X56" i="10"/>
  <c r="X48" i="10"/>
  <c r="X200" i="10"/>
  <c r="X196" i="10"/>
  <c r="X192" i="10"/>
  <c r="X188" i="10"/>
  <c r="X184" i="10"/>
  <c r="X180" i="10"/>
  <c r="X176" i="10"/>
  <c r="X172" i="10"/>
  <c r="X168" i="10"/>
  <c r="X164" i="10"/>
  <c r="X160" i="10"/>
  <c r="X156" i="10"/>
  <c r="X152" i="10"/>
  <c r="X148" i="10"/>
  <c r="X144" i="10"/>
  <c r="X140" i="10"/>
  <c r="X136" i="10"/>
  <c r="X132" i="10"/>
  <c r="X128" i="10"/>
  <c r="X124" i="10"/>
  <c r="X120" i="10"/>
  <c r="X116" i="10"/>
  <c r="X109" i="10"/>
  <c r="X101" i="10"/>
  <c r="X93" i="10"/>
  <c r="X114" i="10"/>
  <c r="X106" i="10"/>
  <c r="X98" i="10"/>
  <c r="X82" i="10"/>
  <c r="X81" i="10"/>
  <c r="X69" i="10"/>
  <c r="X61" i="10"/>
  <c r="X53" i="10"/>
  <c r="X46" i="10"/>
  <c r="X42" i="10"/>
  <c r="X38" i="10"/>
  <c r="X34" i="10"/>
  <c r="X30" i="10"/>
  <c r="X26" i="10"/>
  <c r="X22" i="10"/>
  <c r="X83" i="10"/>
  <c r="X80" i="10"/>
  <c r="X70" i="10"/>
  <c r="X62" i="10"/>
  <c r="X54" i="10"/>
  <c r="X199" i="10"/>
  <c r="X195" i="10"/>
  <c r="X191" i="10"/>
  <c r="X187" i="10"/>
  <c r="X183" i="10"/>
  <c r="X179" i="10"/>
  <c r="X175" i="10"/>
  <c r="X171" i="10"/>
  <c r="X167" i="10"/>
  <c r="X163" i="10"/>
  <c r="X159" i="10"/>
  <c r="X155" i="10"/>
  <c r="X151" i="10"/>
  <c r="X147" i="10"/>
  <c r="X143" i="10"/>
  <c r="X139" i="10"/>
  <c r="X135" i="10"/>
  <c r="X131" i="10"/>
  <c r="X127" i="10"/>
  <c r="X123" i="10"/>
  <c r="X119" i="10"/>
  <c r="X115" i="10"/>
  <c r="X107" i="10"/>
  <c r="X99" i="10"/>
  <c r="X91" i="10"/>
  <c r="X112" i="10"/>
  <c r="X104" i="10"/>
  <c r="X96" i="10"/>
  <c r="X79" i="10"/>
  <c r="X76" i="10"/>
  <c r="X67" i="10"/>
  <c r="X59" i="10"/>
  <c r="X51" i="10"/>
  <c r="X45" i="10"/>
  <c r="X41" i="10"/>
  <c r="X37" i="10"/>
  <c r="X33" i="10"/>
  <c r="X29" i="10"/>
  <c r="X25" i="10"/>
  <c r="X21" i="10"/>
  <c r="X78" i="10"/>
  <c r="X77" i="10"/>
  <c r="X68" i="10"/>
  <c r="X60" i="10"/>
  <c r="X52" i="10"/>
  <c r="X198" i="10"/>
  <c r="X194" i="10"/>
  <c r="X190" i="10"/>
  <c r="X186" i="10"/>
  <c r="X182" i="10"/>
  <c r="X178" i="10"/>
  <c r="X174" i="10"/>
  <c r="X170" i="10"/>
  <c r="X166" i="10"/>
  <c r="X162" i="10"/>
  <c r="X158" i="10"/>
  <c r="X154" i="10"/>
  <c r="X150" i="10"/>
  <c r="X146" i="10"/>
  <c r="X142" i="10"/>
  <c r="X138" i="10"/>
  <c r="X134" i="10"/>
  <c r="X130" i="10"/>
  <c r="X126" i="10"/>
  <c r="X122" i="10"/>
  <c r="X118" i="10"/>
  <c r="X113" i="10"/>
  <c r="X105" i="10"/>
  <c r="X97" i="10"/>
  <c r="X89" i="10"/>
  <c r="X110" i="10"/>
  <c r="X102" i="10"/>
  <c r="X92" i="10"/>
  <c r="X94" i="10"/>
  <c r="X73" i="10"/>
  <c r="X65" i="10"/>
  <c r="X57" i="10"/>
  <c r="X49" i="10"/>
  <c r="X44" i="10"/>
  <c r="X40" i="10"/>
  <c r="X36" i="10"/>
  <c r="X32" i="10"/>
  <c r="X28" i="10"/>
  <c r="X24" i="10"/>
  <c r="X90" i="10"/>
  <c r="X75" i="10"/>
  <c r="X74" i="10"/>
  <c r="X66" i="10"/>
  <c r="X58" i="10"/>
  <c r="X50" i="10"/>
  <c r="X8" i="10"/>
  <c r="X10" i="10"/>
  <c r="X12" i="10"/>
  <c r="X14" i="10"/>
  <c r="X16" i="10"/>
  <c r="X18" i="10"/>
  <c r="X19" i="10"/>
  <c r="X7" i="10"/>
  <c r="X20" i="10"/>
  <c r="X9" i="10"/>
  <c r="X11" i="10"/>
  <c r="X13" i="10"/>
  <c r="X15" i="10"/>
  <c r="X17" i="10"/>
  <c r="X6" i="10"/>
  <c r="M143" i="4"/>
  <c r="M25" i="4"/>
  <c r="M18" i="4"/>
  <c r="L25" i="4"/>
  <c r="BA11" i="28"/>
  <c r="DN20" i="10" s="1"/>
  <c r="BA8" i="28"/>
  <c r="DN10" i="10" s="1"/>
  <c r="BB14" i="28"/>
  <c r="DO29" i="10" s="1"/>
  <c r="BB18" i="28"/>
  <c r="DO36" i="10" s="1"/>
  <c r="BA14" i="28"/>
  <c r="DN29" i="10" s="1"/>
  <c r="BA18" i="28"/>
  <c r="DN36" i="10" s="1"/>
  <c r="Q4" i="4"/>
  <c r="O4" i="28"/>
  <c r="P4" i="28"/>
  <c r="M121" i="4"/>
  <c r="M145" i="4"/>
  <c r="M144" i="4"/>
  <c r="M123" i="4"/>
  <c r="M27" i="4"/>
  <c r="M26" i="4"/>
  <c r="M122" i="4"/>
  <c r="L136" i="4"/>
  <c r="Q12" i="4"/>
  <c r="Q3" i="4"/>
  <c r="R7" i="4"/>
  <c r="R128" i="4"/>
  <c r="R127" i="4" s="1"/>
  <c r="R106" i="4"/>
  <c r="R105" i="4" s="1"/>
  <c r="L121" i="4"/>
  <c r="L114" i="4"/>
  <c r="L18" i="4"/>
  <c r="O3" i="28"/>
  <c r="K10" i="11"/>
  <c r="L9" i="11"/>
  <c r="CR180" i="10" l="1"/>
  <c r="CR80" i="10"/>
  <c r="CR52" i="10"/>
  <c r="CR39" i="10"/>
  <c r="CR22" i="10"/>
  <c r="CR81" i="10"/>
  <c r="CR169" i="10"/>
  <c r="CR179" i="10"/>
  <c r="CR100" i="10"/>
  <c r="CR129" i="10"/>
  <c r="CR72" i="10"/>
  <c r="CR167" i="10"/>
  <c r="CR184" i="10"/>
  <c r="CR96" i="10"/>
  <c r="CS79" i="10"/>
  <c r="CS100" i="10"/>
  <c r="CS181" i="10"/>
  <c r="CS49" i="10"/>
  <c r="CS65" i="10"/>
  <c r="CS93" i="10"/>
  <c r="CS155" i="10"/>
  <c r="CS121" i="10"/>
  <c r="CS193" i="10"/>
  <c r="CR26" i="10"/>
  <c r="CR62" i="10"/>
  <c r="CR49" i="10"/>
  <c r="CR85" i="10"/>
  <c r="CR104" i="10"/>
  <c r="CR35" i="10"/>
  <c r="CR113" i="10"/>
  <c r="CR156" i="10"/>
  <c r="CR194" i="10"/>
  <c r="CR11" i="10"/>
  <c r="CR145" i="10"/>
  <c r="CR190" i="10"/>
  <c r="CR79" i="10"/>
  <c r="CS46" i="10"/>
  <c r="CS62" i="10"/>
  <c r="CS152" i="10"/>
  <c r="CS115" i="10"/>
  <c r="CS179" i="10"/>
  <c r="CS72" i="10"/>
  <c r="CS142" i="10"/>
  <c r="CS143" i="10"/>
  <c r="CS168" i="10"/>
  <c r="CS129" i="10"/>
  <c r="CS25" i="10"/>
  <c r="CR47" i="10"/>
  <c r="CR10" i="10"/>
  <c r="CR93" i="10"/>
  <c r="CR187" i="10"/>
  <c r="CR27" i="10"/>
  <c r="CR160" i="10"/>
  <c r="CR177" i="10"/>
  <c r="CR166" i="10"/>
  <c r="CR130" i="10"/>
  <c r="CR146" i="10"/>
  <c r="CS78" i="10"/>
  <c r="CS94" i="10"/>
  <c r="CS110" i="10"/>
  <c r="CS174" i="10"/>
  <c r="CS87" i="10"/>
  <c r="CS64" i="10"/>
  <c r="CS108" i="10"/>
  <c r="CS33" i="10"/>
  <c r="CS41" i="10"/>
  <c r="CS57" i="10"/>
  <c r="P13" i="4" s="1"/>
  <c r="CS85" i="10"/>
  <c r="CS163" i="10"/>
  <c r="CS165" i="10"/>
  <c r="CS38" i="10"/>
  <c r="CS30" i="10"/>
  <c r="CS22" i="10"/>
  <c r="CS14" i="10"/>
  <c r="CS9" i="10"/>
  <c r="CR63" i="10"/>
  <c r="CR64" i="10"/>
  <c r="CR43" i="10"/>
  <c r="CR98" i="10"/>
  <c r="CR192" i="10"/>
  <c r="CR84" i="10"/>
  <c r="CR148" i="10"/>
  <c r="CR174" i="10"/>
  <c r="CS146" i="10"/>
  <c r="CS39" i="10"/>
  <c r="CS99" i="10"/>
  <c r="CS133" i="10"/>
  <c r="CS197" i="10"/>
  <c r="CS23" i="10"/>
  <c r="CS44" i="10"/>
  <c r="CS53" i="10"/>
  <c r="CS130" i="10"/>
  <c r="CS113" i="10"/>
  <c r="CS31" i="10"/>
  <c r="CS120" i="10"/>
  <c r="CS50" i="10"/>
  <c r="CS66" i="10"/>
  <c r="CS71" i="10"/>
  <c r="CS141" i="10"/>
  <c r="CS167" i="10"/>
  <c r="CS185" i="10"/>
  <c r="CS15" i="10"/>
  <c r="CS92" i="10"/>
  <c r="CS198" i="10"/>
  <c r="CS172" i="10"/>
  <c r="CS69" i="10"/>
  <c r="CS82" i="10"/>
  <c r="CS98" i="10"/>
  <c r="CS114" i="10"/>
  <c r="CS160" i="10"/>
  <c r="CS178" i="10"/>
  <c r="CS63" i="10"/>
  <c r="CS91" i="10"/>
  <c r="CS112" i="10"/>
  <c r="CS127" i="10"/>
  <c r="CS169" i="10"/>
  <c r="CS36" i="10"/>
  <c r="CS28" i="10"/>
  <c r="CS20" i="10"/>
  <c r="CS12" i="10"/>
  <c r="CS7" i="10"/>
  <c r="CS105" i="10"/>
  <c r="CS151" i="10"/>
  <c r="O142" i="4"/>
  <c r="O141" i="4"/>
  <c r="O130" i="4"/>
  <c r="O120" i="4"/>
  <c r="O119" i="4"/>
  <c r="O24" i="4"/>
  <c r="O23" i="4"/>
  <c r="O10" i="4"/>
  <c r="O108" i="4"/>
  <c r="O140" i="4"/>
  <c r="O118" i="4"/>
  <c r="O22" i="4"/>
  <c r="AX75" i="10"/>
  <c r="BV192" i="10"/>
  <c r="BV188" i="10"/>
  <c r="BV184" i="10"/>
  <c r="BV180" i="10"/>
  <c r="BV176" i="10"/>
  <c r="BV172" i="10"/>
  <c r="BV168" i="10"/>
  <c r="BV164" i="10"/>
  <c r="BV160" i="10"/>
  <c r="BV196" i="10"/>
  <c r="BV157" i="10"/>
  <c r="BV153" i="10"/>
  <c r="BV149" i="10"/>
  <c r="BV145" i="10"/>
  <c r="BV141" i="10"/>
  <c r="BV137" i="10"/>
  <c r="BV133" i="10"/>
  <c r="BV129" i="10"/>
  <c r="BV125" i="10"/>
  <c r="BV121" i="10"/>
  <c r="BV117" i="10"/>
  <c r="BV113" i="10"/>
  <c r="BV109" i="10"/>
  <c r="BV105" i="10"/>
  <c r="BV101" i="10"/>
  <c r="BV97" i="10"/>
  <c r="BV199" i="10"/>
  <c r="BV189" i="10"/>
  <c r="BV183" i="10"/>
  <c r="BV178" i="10"/>
  <c r="BV173" i="10"/>
  <c r="BV167" i="10"/>
  <c r="BV162" i="10"/>
  <c r="BV197" i="10"/>
  <c r="BV156" i="10"/>
  <c r="BV151" i="10"/>
  <c r="BV146" i="10"/>
  <c r="BV140" i="10"/>
  <c r="BV135" i="10"/>
  <c r="BV130" i="10"/>
  <c r="BV124" i="10"/>
  <c r="BV119" i="10"/>
  <c r="BV114" i="10"/>
  <c r="BV108" i="10"/>
  <c r="BV103" i="10"/>
  <c r="BV98" i="10"/>
  <c r="BV93" i="10"/>
  <c r="BV89" i="10"/>
  <c r="BV85" i="10"/>
  <c r="BV81" i="10"/>
  <c r="BV77" i="10"/>
  <c r="BV73" i="10"/>
  <c r="BV69" i="10"/>
  <c r="BV65" i="10"/>
  <c r="BV61" i="10"/>
  <c r="BV57" i="10"/>
  <c r="BV53" i="10"/>
  <c r="BV198" i="10"/>
  <c r="BV187" i="10"/>
  <c r="BV182" i="10"/>
  <c r="BV177" i="10"/>
  <c r="BV171" i="10"/>
  <c r="BV166" i="10"/>
  <c r="BV161" i="10"/>
  <c r="BV195" i="10"/>
  <c r="BV155" i="10"/>
  <c r="BV150" i="10"/>
  <c r="BV144" i="10"/>
  <c r="BV139" i="10"/>
  <c r="BV134" i="10"/>
  <c r="BV128" i="10"/>
  <c r="BV123" i="10"/>
  <c r="BV118" i="10"/>
  <c r="BV112" i="10"/>
  <c r="BV107" i="10"/>
  <c r="BV102" i="10"/>
  <c r="BV96" i="10"/>
  <c r="BV92" i="10"/>
  <c r="BV88" i="10"/>
  <c r="BV84" i="10"/>
  <c r="BV80" i="10"/>
  <c r="BV76" i="10"/>
  <c r="BV72" i="10"/>
  <c r="BV68" i="10"/>
  <c r="BV64" i="10"/>
  <c r="BV60" i="10"/>
  <c r="BV56" i="10"/>
  <c r="BV52" i="10"/>
  <c r="BV191" i="10"/>
  <c r="BV186" i="10"/>
  <c r="BV181" i="10"/>
  <c r="BV175" i="10"/>
  <c r="BV170" i="10"/>
  <c r="BV165" i="10"/>
  <c r="BV159" i="10"/>
  <c r="BV194" i="10"/>
  <c r="BV154" i="10"/>
  <c r="BV148" i="10"/>
  <c r="BV143" i="10"/>
  <c r="BV138" i="10"/>
  <c r="BV132" i="10"/>
  <c r="BV127" i="10"/>
  <c r="BV122" i="10"/>
  <c r="BV116" i="10"/>
  <c r="BV111" i="10"/>
  <c r="BV106" i="10"/>
  <c r="BV100" i="10"/>
  <c r="BV95" i="10"/>
  <c r="BV91" i="10"/>
  <c r="BV87" i="10"/>
  <c r="BV83" i="10"/>
  <c r="BV79" i="10"/>
  <c r="BV75" i="10"/>
  <c r="BV71" i="10"/>
  <c r="BV67" i="10"/>
  <c r="BV63" i="10"/>
  <c r="BV59" i="10"/>
  <c r="BV55" i="10"/>
  <c r="BV200" i="10"/>
  <c r="BV190" i="10"/>
  <c r="BV185" i="10"/>
  <c r="BV179" i="10"/>
  <c r="BV174" i="10"/>
  <c r="BV169" i="10"/>
  <c r="BV163" i="10"/>
  <c r="BV158" i="10"/>
  <c r="BV193" i="10"/>
  <c r="BV152" i="10"/>
  <c r="BV147" i="10"/>
  <c r="BV142" i="10"/>
  <c r="BV136" i="10"/>
  <c r="BV131" i="10"/>
  <c r="BV126" i="10"/>
  <c r="BV120" i="10"/>
  <c r="BV115" i="10"/>
  <c r="BV110" i="10"/>
  <c r="BV104" i="10"/>
  <c r="BV99" i="10"/>
  <c r="BV94" i="10"/>
  <c r="BV90" i="10"/>
  <c r="BV86" i="10"/>
  <c r="BV82" i="10"/>
  <c r="BV78" i="10"/>
  <c r="BV74" i="10"/>
  <c r="BV70" i="10"/>
  <c r="BV66" i="10"/>
  <c r="BV62" i="10"/>
  <c r="BV58" i="10"/>
  <c r="BV54" i="10"/>
  <c r="BV7" i="10"/>
  <c r="BV9" i="10"/>
  <c r="BV11" i="10"/>
  <c r="BV13" i="10"/>
  <c r="BV15" i="10"/>
  <c r="BV17" i="10"/>
  <c r="BV19" i="10"/>
  <c r="BV21" i="10"/>
  <c r="BV23" i="10"/>
  <c r="BV25" i="10"/>
  <c r="BV10" i="10"/>
  <c r="BV18" i="10"/>
  <c r="BV26" i="10"/>
  <c r="BV50" i="10"/>
  <c r="BV12" i="10"/>
  <c r="BV20" i="10"/>
  <c r="BV27" i="10"/>
  <c r="BV29" i="10"/>
  <c r="BV31" i="10"/>
  <c r="BV33" i="10"/>
  <c r="BV35" i="10"/>
  <c r="BV37" i="10"/>
  <c r="BV39" i="10"/>
  <c r="BV41" i="10"/>
  <c r="BV43" i="10"/>
  <c r="BV45" i="10"/>
  <c r="BV47" i="10"/>
  <c r="BV49" i="10"/>
  <c r="BV6" i="10"/>
  <c r="BV14" i="10"/>
  <c r="BV22" i="10"/>
  <c r="BV48" i="10"/>
  <c r="BV8" i="10"/>
  <c r="BV16" i="10"/>
  <c r="BV24" i="10"/>
  <c r="BV28" i="10"/>
  <c r="BV30" i="10"/>
  <c r="BV32" i="10"/>
  <c r="BV34" i="10"/>
  <c r="BV36" i="10"/>
  <c r="BV38" i="10"/>
  <c r="BV40" i="10"/>
  <c r="BV42" i="10"/>
  <c r="BV44" i="10"/>
  <c r="BV46" i="10"/>
  <c r="BV51" i="10"/>
  <c r="AX71" i="10"/>
  <c r="AX67" i="10"/>
  <c r="AX199" i="10"/>
  <c r="AX195" i="10"/>
  <c r="CT195" i="10" s="1"/>
  <c r="AX191" i="10"/>
  <c r="AX183" i="10"/>
  <c r="CT183" i="10" s="1"/>
  <c r="AX175" i="10"/>
  <c r="AX167" i="10"/>
  <c r="AX188" i="10"/>
  <c r="AX168" i="10"/>
  <c r="AX142" i="10"/>
  <c r="CT142" i="10" s="1"/>
  <c r="AX134" i="10"/>
  <c r="AX163" i="10"/>
  <c r="AX159" i="10"/>
  <c r="AX155" i="10"/>
  <c r="CT155" i="10" s="1"/>
  <c r="AX151" i="10"/>
  <c r="AX178" i="10"/>
  <c r="AX147" i="10"/>
  <c r="CT147" i="10" s="1"/>
  <c r="AX139" i="10"/>
  <c r="AX131" i="10"/>
  <c r="AX123" i="10"/>
  <c r="CT123" i="10" s="1"/>
  <c r="AX117" i="10"/>
  <c r="CT117" i="10" s="1"/>
  <c r="AX113" i="10"/>
  <c r="CT113" i="10" s="1"/>
  <c r="AX109" i="10"/>
  <c r="CT109" i="10" s="1"/>
  <c r="AX105" i="10"/>
  <c r="CT105" i="10" s="1"/>
  <c r="AX124" i="10"/>
  <c r="CT124" i="10" s="1"/>
  <c r="AX97" i="10"/>
  <c r="CT97" i="10" s="1"/>
  <c r="AX89" i="10"/>
  <c r="AX81" i="10"/>
  <c r="AX126" i="10"/>
  <c r="CT126" i="10" s="1"/>
  <c r="AX98" i="10"/>
  <c r="CT98" i="10" s="1"/>
  <c r="AX90" i="10"/>
  <c r="AX82" i="10"/>
  <c r="AX74" i="10"/>
  <c r="AX66" i="10"/>
  <c r="CT66" i="10" s="1"/>
  <c r="AX62" i="10"/>
  <c r="CT62" i="10" s="1"/>
  <c r="AX58" i="10"/>
  <c r="CT58" i="10" s="1"/>
  <c r="Q13" i="4" s="1"/>
  <c r="AX54" i="10"/>
  <c r="CT54" i="10" s="1"/>
  <c r="AX50" i="10"/>
  <c r="AX46" i="10"/>
  <c r="AX42" i="10"/>
  <c r="CT42" i="10" s="1"/>
  <c r="AX38" i="10"/>
  <c r="AX34" i="10"/>
  <c r="AX30" i="10"/>
  <c r="AX26" i="10"/>
  <c r="AX22" i="10"/>
  <c r="AX18" i="10"/>
  <c r="AX14" i="10"/>
  <c r="CT14" i="10" s="1"/>
  <c r="AX10" i="10"/>
  <c r="CT10" i="10" s="1"/>
  <c r="AX198" i="10"/>
  <c r="AX194" i="10"/>
  <c r="AX189" i="10"/>
  <c r="AX181" i="10"/>
  <c r="AX173" i="10"/>
  <c r="AX165" i="10"/>
  <c r="CT165" i="10" s="1"/>
  <c r="AX180" i="10"/>
  <c r="AX148" i="10"/>
  <c r="AX140" i="10"/>
  <c r="AX132" i="10"/>
  <c r="CT132" i="10" s="1"/>
  <c r="AX162" i="10"/>
  <c r="CT162" i="10" s="1"/>
  <c r="AX158" i="10"/>
  <c r="AX154" i="10"/>
  <c r="CT154" i="10" s="1"/>
  <c r="AX150" i="10"/>
  <c r="AX174" i="10"/>
  <c r="CT174" i="10" s="1"/>
  <c r="AX145" i="10"/>
  <c r="AX137" i="10"/>
  <c r="AX129" i="10"/>
  <c r="CT129" i="10" s="1"/>
  <c r="AX121" i="10"/>
  <c r="AX116" i="10"/>
  <c r="CT116" i="10" s="1"/>
  <c r="AX112" i="10"/>
  <c r="AX108" i="10"/>
  <c r="AX104" i="10"/>
  <c r="CT104" i="10" s="1"/>
  <c r="AX120" i="10"/>
  <c r="AX95" i="10"/>
  <c r="AX87" i="10"/>
  <c r="CT87" i="10" s="1"/>
  <c r="AX79" i="10"/>
  <c r="AX122" i="10"/>
  <c r="AX96" i="10"/>
  <c r="CT96" i="10" s="1"/>
  <c r="AX88" i="10"/>
  <c r="AX80" i="10"/>
  <c r="CT80" i="10" s="1"/>
  <c r="AX72" i="10"/>
  <c r="AX65" i="10"/>
  <c r="AX61" i="10"/>
  <c r="AX57" i="10"/>
  <c r="AX53" i="10"/>
  <c r="CT53" i="10" s="1"/>
  <c r="AX49" i="10"/>
  <c r="CT49" i="10" s="1"/>
  <c r="AX45" i="10"/>
  <c r="AX41" i="10"/>
  <c r="CT41" i="10" s="1"/>
  <c r="AX37" i="10"/>
  <c r="AX33" i="10"/>
  <c r="CT33" i="10" s="1"/>
  <c r="AX29" i="10"/>
  <c r="AX25" i="10"/>
  <c r="CT25" i="10" s="1"/>
  <c r="AX21" i="10"/>
  <c r="CT21" i="10" s="1"/>
  <c r="AX17" i="10"/>
  <c r="AX13" i="10"/>
  <c r="CT13" i="10" s="1"/>
  <c r="AX9" i="10"/>
  <c r="CT9" i="10" s="1"/>
  <c r="AX197" i="10"/>
  <c r="AX193" i="10"/>
  <c r="AX187" i="10"/>
  <c r="AX179" i="10"/>
  <c r="AX171" i="10"/>
  <c r="AX190" i="10"/>
  <c r="AX176" i="10"/>
  <c r="CT176" i="10" s="1"/>
  <c r="AX146" i="10"/>
  <c r="CT146" i="10" s="1"/>
  <c r="AX138" i="10"/>
  <c r="CT138" i="10" s="1"/>
  <c r="AX186" i="10"/>
  <c r="AX161" i="10"/>
  <c r="AX157" i="10"/>
  <c r="CT157" i="10" s="1"/>
  <c r="AX153" i="10"/>
  <c r="CT153" i="10" s="1"/>
  <c r="AX149" i="10"/>
  <c r="CT149" i="10" s="1"/>
  <c r="AX170" i="10"/>
  <c r="CT170" i="10" s="1"/>
  <c r="AX143" i="10"/>
  <c r="CT143" i="10" s="1"/>
  <c r="AX135" i="10"/>
  <c r="AX127" i="10"/>
  <c r="AX119" i="10"/>
  <c r="CT119" i="10" s="1"/>
  <c r="AX115" i="10"/>
  <c r="CT115" i="10" s="1"/>
  <c r="AX111" i="10"/>
  <c r="CT111" i="10" s="1"/>
  <c r="AX107" i="10"/>
  <c r="AX103" i="10"/>
  <c r="CT103" i="10" s="1"/>
  <c r="AX101" i="10"/>
  <c r="CT101" i="10" s="1"/>
  <c r="AX93" i="10"/>
  <c r="AX85" i="10"/>
  <c r="CT85" i="10" s="1"/>
  <c r="AX77" i="10"/>
  <c r="AX102" i="10"/>
  <c r="AX94" i="10"/>
  <c r="AX86" i="10"/>
  <c r="CT86" i="10" s="1"/>
  <c r="AX78" i="10"/>
  <c r="AX70" i="10"/>
  <c r="CT70" i="10" s="1"/>
  <c r="AX64" i="10"/>
  <c r="CT64" i="10" s="1"/>
  <c r="AX60" i="10"/>
  <c r="AX56" i="10"/>
  <c r="AX52" i="10"/>
  <c r="AX48" i="10"/>
  <c r="CT48" i="10" s="1"/>
  <c r="AX44" i="10"/>
  <c r="CT44" i="10" s="1"/>
  <c r="AX40" i="10"/>
  <c r="AX36" i="10"/>
  <c r="CT36" i="10" s="1"/>
  <c r="AX32" i="10"/>
  <c r="AX28" i="10"/>
  <c r="CT28" i="10" s="1"/>
  <c r="AX24" i="10"/>
  <c r="AX20" i="10"/>
  <c r="CT20" i="10" s="1"/>
  <c r="AX16" i="10"/>
  <c r="AX12" i="10"/>
  <c r="AX200" i="10"/>
  <c r="AX196" i="10"/>
  <c r="AX192" i="10"/>
  <c r="CT192" i="10" s="1"/>
  <c r="AX185" i="10"/>
  <c r="CT185" i="10" s="1"/>
  <c r="AX177" i="10"/>
  <c r="CT177" i="10" s="1"/>
  <c r="AX169" i="10"/>
  <c r="AX182" i="10"/>
  <c r="CT182" i="10" s="1"/>
  <c r="AX172" i="10"/>
  <c r="AX144" i="10"/>
  <c r="AX136" i="10"/>
  <c r="CT136" i="10" s="1"/>
  <c r="AX164" i="10"/>
  <c r="CT164" i="10" s="1"/>
  <c r="AX160" i="10"/>
  <c r="CT160" i="10" s="1"/>
  <c r="AX156" i="10"/>
  <c r="AX152" i="10"/>
  <c r="AX184" i="10"/>
  <c r="AX166" i="10"/>
  <c r="AX141" i="10"/>
  <c r="AX133" i="10"/>
  <c r="CT133" i="10" s="1"/>
  <c r="AX125" i="10"/>
  <c r="AX118" i="10"/>
  <c r="CT118" i="10" s="1"/>
  <c r="AX114" i="10"/>
  <c r="AX110" i="10"/>
  <c r="AX106" i="10"/>
  <c r="AX128" i="10"/>
  <c r="AX99" i="10"/>
  <c r="CT99" i="10" s="1"/>
  <c r="AX91" i="10"/>
  <c r="CT91" i="10" s="1"/>
  <c r="AX83" i="10"/>
  <c r="AX130" i="10"/>
  <c r="AX100" i="10"/>
  <c r="AX92" i="10"/>
  <c r="AX84" i="10"/>
  <c r="CT84" i="10" s="1"/>
  <c r="AX76" i="10"/>
  <c r="AX68" i="10"/>
  <c r="AX63" i="10"/>
  <c r="AX59" i="10"/>
  <c r="CT59" i="10" s="1"/>
  <c r="AX55" i="10"/>
  <c r="AX51" i="10"/>
  <c r="AX47" i="10"/>
  <c r="AX43" i="10"/>
  <c r="AX39" i="10"/>
  <c r="AX35" i="10"/>
  <c r="CT35" i="10" s="1"/>
  <c r="AX31" i="10"/>
  <c r="AX27" i="10"/>
  <c r="AX23" i="10"/>
  <c r="AX19" i="10"/>
  <c r="AX15" i="10"/>
  <c r="AX11" i="10"/>
  <c r="CT11" i="10" s="1"/>
  <c r="AX6" i="10"/>
  <c r="AX69" i="10"/>
  <c r="CT69" i="10" s="1"/>
  <c r="AX7" i="10"/>
  <c r="AX8" i="10"/>
  <c r="AX73" i="10"/>
  <c r="CU4" i="10"/>
  <c r="BW4" i="10"/>
  <c r="AY4" i="10"/>
  <c r="AA4" i="10"/>
  <c r="CS140" i="10"/>
  <c r="CS119" i="10"/>
  <c r="CR83" i="10"/>
  <c r="CR32" i="10"/>
  <c r="CR61" i="10"/>
  <c r="CR175" i="10"/>
  <c r="CR33" i="10"/>
  <c r="CR149" i="10"/>
  <c r="P109" i="4"/>
  <c r="P131" i="4"/>
  <c r="P11" i="4"/>
  <c r="P135" i="4"/>
  <c r="P112" i="4"/>
  <c r="P16" i="4"/>
  <c r="P134" i="4"/>
  <c r="P17" i="4"/>
  <c r="P113" i="4"/>
  <c r="CS134" i="10"/>
  <c r="CS54" i="10"/>
  <c r="CS131" i="10"/>
  <c r="CS192" i="10"/>
  <c r="CS47" i="10"/>
  <c r="CS75" i="10"/>
  <c r="CS148" i="10"/>
  <c r="CS195" i="10"/>
  <c r="CS171" i="10"/>
  <c r="CS52" i="10"/>
  <c r="CS80" i="10"/>
  <c r="CS96" i="10"/>
  <c r="CS194" i="10"/>
  <c r="CS176" i="10"/>
  <c r="CS21" i="10"/>
  <c r="CS45" i="10"/>
  <c r="CS61" i="10"/>
  <c r="CS73" i="10"/>
  <c r="CS89" i="10"/>
  <c r="CS144" i="10"/>
  <c r="CS145" i="10"/>
  <c r="CS187" i="10"/>
  <c r="CS6" i="10"/>
  <c r="CS37" i="10"/>
  <c r="CR66" i="10"/>
  <c r="CR40" i="10"/>
  <c r="CR30" i="10"/>
  <c r="CR48" i="10"/>
  <c r="CR41" i="10"/>
  <c r="CR73" i="10"/>
  <c r="CR101" i="10"/>
  <c r="CR112" i="10"/>
  <c r="CR178" i="10"/>
  <c r="CR87" i="10"/>
  <c r="CR132" i="10"/>
  <c r="CR199" i="10"/>
  <c r="CR25" i="10"/>
  <c r="CR97" i="10"/>
  <c r="CR121" i="10"/>
  <c r="CR153" i="10"/>
  <c r="CR197" i="10"/>
  <c r="CR23" i="10"/>
  <c r="CR88" i="10"/>
  <c r="CR181" i="10"/>
  <c r="CR134" i="10"/>
  <c r="CR150" i="10"/>
  <c r="CR168" i="10"/>
  <c r="CR185" i="10"/>
  <c r="CR71" i="10"/>
  <c r="CR77" i="10"/>
  <c r="P142" i="4"/>
  <c r="P23" i="4"/>
  <c r="P10" i="4"/>
  <c r="P120" i="4"/>
  <c r="P108" i="4"/>
  <c r="P24" i="4"/>
  <c r="P141" i="4"/>
  <c r="P130" i="4"/>
  <c r="P119" i="4"/>
  <c r="P22" i="4"/>
  <c r="P118" i="4"/>
  <c r="P140" i="4"/>
  <c r="O131" i="4"/>
  <c r="O109" i="4"/>
  <c r="O11" i="4"/>
  <c r="O135" i="4"/>
  <c r="O134" i="4"/>
  <c r="O112" i="4"/>
  <c r="O113" i="4"/>
  <c r="O16" i="4"/>
  <c r="O17" i="4"/>
  <c r="CS76" i="10"/>
  <c r="CS117" i="10"/>
  <c r="CS182" i="10"/>
  <c r="CS13" i="10"/>
  <c r="CR51" i="10"/>
  <c r="CR24" i="10"/>
  <c r="CR76" i="10"/>
  <c r="CR144" i="10"/>
  <c r="CR89" i="10"/>
  <c r="CR133" i="10"/>
  <c r="CR165" i="10"/>
  <c r="Z17" i="10"/>
  <c r="Z10" i="10"/>
  <c r="Z15" i="10"/>
  <c r="Z8" i="10"/>
  <c r="Z14" i="10"/>
  <c r="Z199" i="10"/>
  <c r="Z195" i="10"/>
  <c r="Z191" i="10"/>
  <c r="Z163" i="10"/>
  <c r="Z155" i="10"/>
  <c r="Z147" i="10"/>
  <c r="Z139" i="10"/>
  <c r="Z162" i="10"/>
  <c r="Z154" i="10"/>
  <c r="Z184" i="10"/>
  <c r="Z180" i="10"/>
  <c r="Z176" i="10"/>
  <c r="Z172" i="10"/>
  <c r="Z168" i="10"/>
  <c r="Z150" i="10"/>
  <c r="Z134" i="10"/>
  <c r="Z130" i="10"/>
  <c r="Z126" i="10"/>
  <c r="Z122" i="10"/>
  <c r="Z118" i="10"/>
  <c r="Z114" i="10"/>
  <c r="Z106" i="10"/>
  <c r="Z98" i="10"/>
  <c r="Z152" i="10"/>
  <c r="Z113" i="10"/>
  <c r="Z105" i="10"/>
  <c r="Z97" i="10"/>
  <c r="Z89" i="10"/>
  <c r="Z81" i="10"/>
  <c r="Z84" i="10"/>
  <c r="Z78" i="10"/>
  <c r="Z68" i="10"/>
  <c r="Z60" i="10"/>
  <c r="Z52" i="10"/>
  <c r="Z92" i="10"/>
  <c r="Z71" i="10"/>
  <c r="Z63" i="10"/>
  <c r="Z55" i="10"/>
  <c r="Z47" i="10"/>
  <c r="Z43" i="10"/>
  <c r="Z39" i="10"/>
  <c r="Z35" i="10"/>
  <c r="Z31" i="10"/>
  <c r="Z27" i="10"/>
  <c r="Z23" i="10"/>
  <c r="Z19" i="10"/>
  <c r="Z6" i="10"/>
  <c r="Z197" i="10"/>
  <c r="Z189" i="10"/>
  <c r="Z151" i="10"/>
  <c r="Z135" i="10"/>
  <c r="Z186" i="10"/>
  <c r="Z178" i="10"/>
  <c r="Z170" i="10"/>
  <c r="Z142" i="10"/>
  <c r="Z132" i="10"/>
  <c r="Z124" i="10"/>
  <c r="Z120" i="10"/>
  <c r="Z110" i="10"/>
  <c r="Z94" i="10"/>
  <c r="Z109" i="10"/>
  <c r="Z93" i="10"/>
  <c r="Z77" i="10"/>
  <c r="Z72" i="10"/>
  <c r="Z56" i="10"/>
  <c r="Z82" i="10"/>
  <c r="Z59" i="10"/>
  <c r="Z45" i="10"/>
  <c r="Z41" i="10"/>
  <c r="Z33" i="10"/>
  <c r="Z29" i="10"/>
  <c r="Z21" i="10"/>
  <c r="Z7" i="10"/>
  <c r="Z198" i="10"/>
  <c r="Z194" i="10"/>
  <c r="Z190" i="10"/>
  <c r="Z161" i="10"/>
  <c r="Z153" i="10"/>
  <c r="Z145" i="10"/>
  <c r="Z137" i="10"/>
  <c r="Z160" i="10"/>
  <c r="Z187" i="10"/>
  <c r="Z183" i="10"/>
  <c r="Z179" i="10"/>
  <c r="Z175" i="10"/>
  <c r="Z171" i="10"/>
  <c r="Z167" i="10"/>
  <c r="Z148" i="10"/>
  <c r="Z133" i="10"/>
  <c r="Z129" i="10"/>
  <c r="Z125" i="10"/>
  <c r="Z121" i="10"/>
  <c r="Z117" i="10"/>
  <c r="Z112" i="10"/>
  <c r="Z104" i="10"/>
  <c r="Z96" i="10"/>
  <c r="Z144" i="10"/>
  <c r="Z111" i="10"/>
  <c r="Z103" i="10"/>
  <c r="Z95" i="10"/>
  <c r="Z87" i="10"/>
  <c r="Z79" i="10"/>
  <c r="Z76" i="10"/>
  <c r="Z74" i="10"/>
  <c r="Z66" i="10"/>
  <c r="Z58" i="10"/>
  <c r="Z50" i="10"/>
  <c r="Z88" i="10"/>
  <c r="Z69" i="10"/>
  <c r="Z61" i="10"/>
  <c r="Z53" i="10"/>
  <c r="Z46" i="10"/>
  <c r="Z42" i="10"/>
  <c r="Z38" i="10"/>
  <c r="Z34" i="10"/>
  <c r="Z30" i="10"/>
  <c r="Z26" i="10"/>
  <c r="Z22" i="10"/>
  <c r="Z13" i="10"/>
  <c r="Z16" i="10"/>
  <c r="Z11" i="10"/>
  <c r="Z193" i="10"/>
  <c r="Z159" i="10"/>
  <c r="Z143" i="10"/>
  <c r="Z158" i="10"/>
  <c r="Z182" i="10"/>
  <c r="Z174" i="10"/>
  <c r="Z166" i="10"/>
  <c r="Z128" i="10"/>
  <c r="Z116" i="10"/>
  <c r="Z102" i="10"/>
  <c r="Z140" i="10"/>
  <c r="Z101" i="10"/>
  <c r="Z85" i="10"/>
  <c r="Z90" i="10"/>
  <c r="Z64" i="10"/>
  <c r="Z48" i="10"/>
  <c r="Z67" i="10"/>
  <c r="Z51" i="10"/>
  <c r="Z37" i="10"/>
  <c r="Z25" i="10"/>
  <c r="Z18" i="10"/>
  <c r="Z192" i="10"/>
  <c r="Z141" i="10"/>
  <c r="Z181" i="10"/>
  <c r="Z165" i="10"/>
  <c r="Z123" i="10"/>
  <c r="Z100" i="10"/>
  <c r="Z99" i="10"/>
  <c r="Z86" i="10"/>
  <c r="Z80" i="10"/>
  <c r="Z49" i="10"/>
  <c r="Z32" i="10"/>
  <c r="Z188" i="10"/>
  <c r="Z164" i="10"/>
  <c r="Z177" i="10"/>
  <c r="Z138" i="10"/>
  <c r="Z119" i="10"/>
  <c r="Z146" i="10"/>
  <c r="Z91" i="10"/>
  <c r="Z70" i="10"/>
  <c r="Z73" i="10"/>
  <c r="Z44" i="10"/>
  <c r="Z28" i="10"/>
  <c r="Z12" i="10"/>
  <c r="Z200" i="10"/>
  <c r="Z157" i="10"/>
  <c r="Z156" i="10"/>
  <c r="Z173" i="10"/>
  <c r="Z131" i="10"/>
  <c r="Z115" i="10"/>
  <c r="Z136" i="10"/>
  <c r="Z83" i="10"/>
  <c r="Z62" i="10"/>
  <c r="Z65" i="10"/>
  <c r="Z40" i="10"/>
  <c r="Z24" i="10"/>
  <c r="Z196" i="10"/>
  <c r="Z149" i="10"/>
  <c r="Z185" i="10"/>
  <c r="Z169" i="10"/>
  <c r="Z127" i="10"/>
  <c r="Z108" i="10"/>
  <c r="Z107" i="10"/>
  <c r="Z75" i="10"/>
  <c r="Z54" i="10"/>
  <c r="Z57" i="10"/>
  <c r="Z36" i="10"/>
  <c r="Z20" i="10"/>
  <c r="Z9" i="10"/>
  <c r="CS42" i="10"/>
  <c r="CS58" i="10"/>
  <c r="CS70" i="10"/>
  <c r="CS86" i="10"/>
  <c r="CS102" i="10"/>
  <c r="CS118" i="10"/>
  <c r="CS164" i="10"/>
  <c r="CS139" i="10"/>
  <c r="CS166" i="10"/>
  <c r="CS124" i="10"/>
  <c r="CS122" i="10"/>
  <c r="CS95" i="10"/>
  <c r="CS111" i="10"/>
  <c r="CS125" i="10"/>
  <c r="CS191" i="10"/>
  <c r="CS175" i="10"/>
  <c r="CS27" i="10"/>
  <c r="CS40" i="10"/>
  <c r="CS68" i="10"/>
  <c r="CS116" i="10"/>
  <c r="CS138" i="10"/>
  <c r="CS109" i="10"/>
  <c r="CS173" i="10"/>
  <c r="CS29" i="10"/>
  <c r="CS34" i="10"/>
  <c r="CS26" i="10"/>
  <c r="CS18" i="10"/>
  <c r="CS10" i="10"/>
  <c r="N13" i="4"/>
  <c r="CR60" i="10"/>
  <c r="CR38" i="10"/>
  <c r="CR46" i="10"/>
  <c r="CR53" i="10"/>
  <c r="CR69" i="10"/>
  <c r="CR15" i="10"/>
  <c r="CR74" i="10"/>
  <c r="CR92" i="10"/>
  <c r="CR109" i="10"/>
  <c r="CR120" i="10"/>
  <c r="CR102" i="10"/>
  <c r="CR141" i="10"/>
  <c r="CR182" i="10"/>
  <c r="CR196" i="10"/>
  <c r="CR17" i="10"/>
  <c r="CR99" i="10"/>
  <c r="CR122" i="10"/>
  <c r="CR138" i="10"/>
  <c r="CR154" i="10"/>
  <c r="CR195" i="10"/>
  <c r="CR67" i="10"/>
  <c r="N143" i="4"/>
  <c r="N25" i="4"/>
  <c r="N145" i="4"/>
  <c r="N123" i="4"/>
  <c r="BA6" i="28"/>
  <c r="DN7" i="10" s="1"/>
  <c r="BA16" i="28"/>
  <c r="DN31" i="10" s="1"/>
  <c r="BB12" i="28"/>
  <c r="DO26" i="10" s="1"/>
  <c r="BB16" i="28"/>
  <c r="DO31" i="10" s="1"/>
  <c r="R4" i="4"/>
  <c r="Q4" i="28"/>
  <c r="R4" i="28"/>
  <c r="M114" i="4"/>
  <c r="N144" i="4"/>
  <c r="M136" i="4"/>
  <c r="N121" i="4"/>
  <c r="N27" i="4"/>
  <c r="N26" i="4"/>
  <c r="N122" i="4"/>
  <c r="N18" i="4"/>
  <c r="R12" i="4"/>
  <c r="R5" i="4"/>
  <c r="S7" i="4"/>
  <c r="S128" i="4"/>
  <c r="S127" i="4" s="1"/>
  <c r="S106" i="4"/>
  <c r="S105" i="4" s="1"/>
  <c r="R3" i="4"/>
  <c r="DN30" i="10"/>
  <c r="K11" i="11"/>
  <c r="L10" i="11"/>
  <c r="CT191" i="10" l="1"/>
  <c r="CT6" i="10"/>
  <c r="CT23" i="10"/>
  <c r="CT55" i="10"/>
  <c r="CT76" i="10"/>
  <c r="CT172" i="10"/>
  <c r="CT60" i="10"/>
  <c r="CT127" i="10"/>
  <c r="CT186" i="10"/>
  <c r="CT65" i="10"/>
  <c r="CT112" i="10"/>
  <c r="CT140" i="10"/>
  <c r="CT198" i="10"/>
  <c r="CT8" i="10"/>
  <c r="CT27" i="10"/>
  <c r="CT43" i="10"/>
  <c r="CT106" i="10"/>
  <c r="CT171" i="10"/>
  <c r="CT197" i="10"/>
  <c r="CT120" i="10"/>
  <c r="CT145" i="10"/>
  <c r="CT158" i="10"/>
  <c r="CT148" i="10"/>
  <c r="CT81" i="10"/>
  <c r="CT178" i="10"/>
  <c r="CT188" i="10"/>
  <c r="CT7" i="10"/>
  <c r="CT15" i="10"/>
  <c r="CT92" i="10"/>
  <c r="CT196" i="10"/>
  <c r="CT179" i="10"/>
  <c r="CT63" i="10"/>
  <c r="CT110" i="10"/>
  <c r="CT152" i="10"/>
  <c r="CT169" i="10"/>
  <c r="CT52" i="10"/>
  <c r="CT102" i="10"/>
  <c r="CT57" i="10"/>
  <c r="CT79" i="10"/>
  <c r="CT121" i="10"/>
  <c r="CT180" i="10"/>
  <c r="CT189" i="10"/>
  <c r="CT90" i="10"/>
  <c r="CT89" i="10"/>
  <c r="CT131" i="10"/>
  <c r="CT151" i="10"/>
  <c r="CT167" i="10"/>
  <c r="CT47" i="10"/>
  <c r="CT19" i="10"/>
  <c r="CT68" i="10"/>
  <c r="CT144" i="10"/>
  <c r="CT24" i="10"/>
  <c r="CT161" i="10"/>
  <c r="CT108" i="10"/>
  <c r="CT194" i="10"/>
  <c r="CT175" i="10"/>
  <c r="CT31" i="10"/>
  <c r="CT73" i="10"/>
  <c r="CT39" i="10"/>
  <c r="CT130" i="10"/>
  <c r="CT12" i="10"/>
  <c r="CT190" i="10"/>
  <c r="CT95" i="10"/>
  <c r="CT137" i="10"/>
  <c r="CT22" i="10"/>
  <c r="CT74" i="10"/>
  <c r="CT18" i="10"/>
  <c r="CT34" i="10"/>
  <c r="CT139" i="10"/>
  <c r="CT51" i="10"/>
  <c r="CT100" i="10"/>
  <c r="CT114" i="10"/>
  <c r="CT141" i="10"/>
  <c r="CT156" i="10"/>
  <c r="CT200" i="10"/>
  <c r="CT40" i="10"/>
  <c r="CT56" i="10"/>
  <c r="CT78" i="10"/>
  <c r="CT77" i="10"/>
  <c r="CT187" i="10"/>
  <c r="CT29" i="10"/>
  <c r="CT45" i="10"/>
  <c r="CT61" i="10"/>
  <c r="CT88" i="10"/>
  <c r="CT150" i="10"/>
  <c r="CT50" i="10"/>
  <c r="CT199" i="10"/>
  <c r="CT128" i="10"/>
  <c r="CT166" i="10"/>
  <c r="CT107" i="10"/>
  <c r="CT193" i="10"/>
  <c r="CT17" i="10"/>
  <c r="CT173" i="10"/>
  <c r="CT159" i="10"/>
  <c r="CT168" i="10"/>
  <c r="CT67" i="10"/>
  <c r="CT83" i="10"/>
  <c r="CT125" i="10"/>
  <c r="CT184" i="10"/>
  <c r="CT16" i="10"/>
  <c r="CT32" i="10"/>
  <c r="CT94" i="10"/>
  <c r="CT93" i="10"/>
  <c r="CT135" i="10"/>
  <c r="CT37" i="10"/>
  <c r="CT72" i="10"/>
  <c r="CT122" i="10"/>
  <c r="CT181" i="10"/>
  <c r="CT38" i="10"/>
  <c r="CT26" i="10"/>
  <c r="CT82" i="10"/>
  <c r="CT71" i="10"/>
  <c r="CT30" i="10"/>
  <c r="CT46" i="10"/>
  <c r="CT134" i="10"/>
  <c r="CT163" i="10"/>
  <c r="CU3" i="10"/>
  <c r="BW3" i="10"/>
  <c r="AY3" i="10"/>
  <c r="AA3" i="10"/>
  <c r="Q24" i="4"/>
  <c r="Q141" i="4"/>
  <c r="Q108" i="4"/>
  <c r="Q119" i="4"/>
  <c r="Q142" i="4"/>
  <c r="Q23" i="4"/>
  <c r="Q120" i="4"/>
  <c r="Q10" i="4"/>
  <c r="Q130" i="4"/>
  <c r="Q118" i="4"/>
  <c r="Q140" i="4"/>
  <c r="Q22" i="4"/>
  <c r="CT75" i="10"/>
  <c r="Q11" i="4"/>
  <c r="Q109" i="4"/>
  <c r="Q131" i="4"/>
  <c r="Q17" i="4"/>
  <c r="Q135" i="4"/>
  <c r="Q16" i="4"/>
  <c r="Q112" i="4"/>
  <c r="Q113" i="4"/>
  <c r="Q134" i="4"/>
  <c r="AA23" i="10"/>
  <c r="AA20" i="10"/>
  <c r="AA21" i="10"/>
  <c r="AA25" i="10"/>
  <c r="AA19" i="10"/>
  <c r="AA199" i="10"/>
  <c r="AA195" i="10"/>
  <c r="AA191" i="10"/>
  <c r="AA187" i="10"/>
  <c r="AA183" i="10"/>
  <c r="AA179" i="10"/>
  <c r="AA175" i="10"/>
  <c r="AA171" i="10"/>
  <c r="AA167" i="10"/>
  <c r="AA162" i="10"/>
  <c r="AA154" i="10"/>
  <c r="AA146" i="10"/>
  <c r="AA159" i="10"/>
  <c r="AA151" i="10"/>
  <c r="AA143" i="10"/>
  <c r="AA135" i="10"/>
  <c r="AA133" i="10"/>
  <c r="AA129" i="10"/>
  <c r="AA125" i="10"/>
  <c r="AA121" i="10"/>
  <c r="AA117" i="10"/>
  <c r="AA112" i="10"/>
  <c r="AA104" i="10"/>
  <c r="AA96" i="10"/>
  <c r="AA88" i="10"/>
  <c r="AA113" i="10"/>
  <c r="AA105" i="10"/>
  <c r="AA97" i="10"/>
  <c r="AA71" i="10"/>
  <c r="AA67" i="10"/>
  <c r="AA63" i="10"/>
  <c r="AA59" i="10"/>
  <c r="AA55" i="10"/>
  <c r="AA51" i="10"/>
  <c r="AA95" i="10"/>
  <c r="AA78" i="10"/>
  <c r="AA75" i="10"/>
  <c r="AA77" i="10"/>
  <c r="AA44" i="10"/>
  <c r="AA40" i="10"/>
  <c r="AA36" i="10"/>
  <c r="AA32" i="10"/>
  <c r="AA28" i="10"/>
  <c r="AA79" i="10"/>
  <c r="AA196" i="10"/>
  <c r="AA190" i="10"/>
  <c r="AA185" i="10"/>
  <c r="AA180" i="10"/>
  <c r="AA174" i="10"/>
  <c r="AA169" i="10"/>
  <c r="AA164" i="10"/>
  <c r="AA152" i="10"/>
  <c r="AA163" i="10"/>
  <c r="AA153" i="10"/>
  <c r="AA141" i="10"/>
  <c r="AA138" i="10"/>
  <c r="AA130" i="10"/>
  <c r="AA124" i="10"/>
  <c r="AA119" i="10"/>
  <c r="AA114" i="10"/>
  <c r="AA102" i="10"/>
  <c r="AA92" i="10"/>
  <c r="AA136" i="10"/>
  <c r="AA103" i="10"/>
  <c r="AA73" i="10"/>
  <c r="AA68" i="10"/>
  <c r="AA62" i="10"/>
  <c r="AA57" i="10"/>
  <c r="AA52" i="10"/>
  <c r="AA91" i="10"/>
  <c r="AA83" i="10"/>
  <c r="AA82" i="10"/>
  <c r="AA43" i="10"/>
  <c r="AA38" i="10"/>
  <c r="AA33" i="10"/>
  <c r="AA27" i="10"/>
  <c r="AA200" i="10"/>
  <c r="AA194" i="10"/>
  <c r="AA189" i="10"/>
  <c r="AA184" i="10"/>
  <c r="AA178" i="10"/>
  <c r="AA173" i="10"/>
  <c r="AA168" i="10"/>
  <c r="AA160" i="10"/>
  <c r="AA150" i="10"/>
  <c r="AA161" i="10"/>
  <c r="AA149" i="10"/>
  <c r="AA139" i="10"/>
  <c r="AA134" i="10"/>
  <c r="AA128" i="10"/>
  <c r="AA123" i="10"/>
  <c r="AA118" i="10"/>
  <c r="AA110" i="10"/>
  <c r="AA100" i="10"/>
  <c r="AA90" i="10"/>
  <c r="AA111" i="10"/>
  <c r="AA101" i="10"/>
  <c r="AA72" i="10"/>
  <c r="AA66" i="10"/>
  <c r="AA61" i="10"/>
  <c r="AA56" i="10"/>
  <c r="AA50" i="10"/>
  <c r="AA87" i="10"/>
  <c r="AA80" i="10"/>
  <c r="AA47" i="10"/>
  <c r="AA42" i="10"/>
  <c r="AA37" i="10"/>
  <c r="AA31" i="10"/>
  <c r="AA26" i="10"/>
  <c r="AA7" i="10"/>
  <c r="AA9" i="10"/>
  <c r="AA11" i="10"/>
  <c r="AA13" i="10"/>
  <c r="AA15" i="10"/>
  <c r="AA17" i="10"/>
  <c r="AA24" i="10"/>
  <c r="AA198" i="10"/>
  <c r="AA193" i="10"/>
  <c r="AA188" i="10"/>
  <c r="AA182" i="10"/>
  <c r="AA177" i="10"/>
  <c r="AA172" i="10"/>
  <c r="AA166" i="10"/>
  <c r="AA158" i="10"/>
  <c r="AA148" i="10"/>
  <c r="AA157" i="10"/>
  <c r="AA147" i="10"/>
  <c r="AA137" i="10"/>
  <c r="AA132" i="10"/>
  <c r="AA127" i="10"/>
  <c r="AA122" i="10"/>
  <c r="AA116" i="10"/>
  <c r="AA108" i="10"/>
  <c r="AA98" i="10"/>
  <c r="AA86" i="10"/>
  <c r="AA109" i="10"/>
  <c r="AA99" i="10"/>
  <c r="AA70" i="10"/>
  <c r="AA65" i="10"/>
  <c r="AA60" i="10"/>
  <c r="AA54" i="10"/>
  <c r="AA49" i="10"/>
  <c r="AA81" i="10"/>
  <c r="AA89" i="10"/>
  <c r="AA46" i="10"/>
  <c r="AA41" i="10"/>
  <c r="AA35" i="10"/>
  <c r="AA30" i="10"/>
  <c r="AA84" i="10"/>
  <c r="AA22" i="10"/>
  <c r="AA181" i="10"/>
  <c r="AA156" i="10"/>
  <c r="AA142" i="10"/>
  <c r="AA115" i="10"/>
  <c r="AA107" i="10"/>
  <c r="AA58" i="10"/>
  <c r="AA85" i="10"/>
  <c r="AA29" i="10"/>
  <c r="AA6" i="10"/>
  <c r="AA14" i="10"/>
  <c r="AA197" i="10"/>
  <c r="AA176" i="10"/>
  <c r="AA144" i="10"/>
  <c r="AA131" i="10"/>
  <c r="AA106" i="10"/>
  <c r="AA74" i="10"/>
  <c r="AA53" i="10"/>
  <c r="AA45" i="10"/>
  <c r="AA76" i="10"/>
  <c r="AA12" i="10"/>
  <c r="AA192" i="10"/>
  <c r="AA170" i="10"/>
  <c r="AA155" i="10"/>
  <c r="AA126" i="10"/>
  <c r="AA94" i="10"/>
  <c r="AA69" i="10"/>
  <c r="AA48" i="10"/>
  <c r="AA39" i="10"/>
  <c r="AA10" i="10"/>
  <c r="AA18" i="10"/>
  <c r="AA186" i="10"/>
  <c r="AA165" i="10"/>
  <c r="AA145" i="10"/>
  <c r="AA120" i="10"/>
  <c r="AA140" i="10"/>
  <c r="AA64" i="10"/>
  <c r="AA93" i="10"/>
  <c r="AA34" i="10"/>
  <c r="AA8" i="10"/>
  <c r="AA16" i="10"/>
  <c r="S12" i="4"/>
  <c r="AB4" i="10"/>
  <c r="S13" i="4"/>
  <c r="CV4" i="10"/>
  <c r="BX4" i="10"/>
  <c r="AZ4" i="10"/>
  <c r="AY38" i="10"/>
  <c r="AY20" i="10"/>
  <c r="AY13" i="10"/>
  <c r="AY33" i="10"/>
  <c r="AY16" i="10"/>
  <c r="AY9" i="10"/>
  <c r="AY28" i="10"/>
  <c r="AY22" i="10"/>
  <c r="AY21" i="10"/>
  <c r="AY15" i="10"/>
  <c r="AY17" i="10"/>
  <c r="AY23" i="10"/>
  <c r="AY37" i="10"/>
  <c r="AY11" i="10"/>
  <c r="AY19" i="10"/>
  <c r="AY27" i="10"/>
  <c r="AY68" i="10"/>
  <c r="AY35" i="10"/>
  <c r="AY24" i="10"/>
  <c r="AY12" i="10"/>
  <c r="AY36" i="10"/>
  <c r="AY29" i="10"/>
  <c r="AY14" i="10"/>
  <c r="AY25" i="10"/>
  <c r="AY30" i="10"/>
  <c r="AY31" i="10"/>
  <c r="AY34" i="10"/>
  <c r="AY10" i="10"/>
  <c r="AY18" i="10"/>
  <c r="AY26" i="10"/>
  <c r="AY32" i="10"/>
  <c r="AY80" i="10"/>
  <c r="BW197" i="10"/>
  <c r="BW193" i="10"/>
  <c r="BW189" i="10"/>
  <c r="BW185" i="10"/>
  <c r="BW181" i="10"/>
  <c r="BW177" i="10"/>
  <c r="BW173" i="10"/>
  <c r="BW169" i="10"/>
  <c r="BW165" i="10"/>
  <c r="BW161" i="10"/>
  <c r="BW157" i="10"/>
  <c r="BW153" i="10"/>
  <c r="BW149" i="10"/>
  <c r="BW145" i="10"/>
  <c r="BW141" i="10"/>
  <c r="BW137" i="10"/>
  <c r="BW133" i="10"/>
  <c r="BW129" i="10"/>
  <c r="BW125" i="10"/>
  <c r="BW121" i="10"/>
  <c r="BW117" i="10"/>
  <c r="BW113" i="10"/>
  <c r="BW109" i="10"/>
  <c r="BW105" i="10"/>
  <c r="BW101" i="10"/>
  <c r="BW97" i="10"/>
  <c r="BW93" i="10"/>
  <c r="BW89" i="10"/>
  <c r="BW85" i="10"/>
  <c r="BW81" i="10"/>
  <c r="BW77" i="10"/>
  <c r="BW73" i="10"/>
  <c r="BW69" i="10"/>
  <c r="BW65" i="10"/>
  <c r="BW61" i="10"/>
  <c r="BW57" i="10"/>
  <c r="BW53" i="10"/>
  <c r="BW49" i="10"/>
  <c r="BW200" i="10"/>
  <c r="BW196" i="10"/>
  <c r="BW192" i="10"/>
  <c r="BW188" i="10"/>
  <c r="BW184" i="10"/>
  <c r="BW180" i="10"/>
  <c r="BW176" i="10"/>
  <c r="BW172" i="10"/>
  <c r="BW168" i="10"/>
  <c r="BW164" i="10"/>
  <c r="BW160" i="10"/>
  <c r="BW156" i="10"/>
  <c r="BW152" i="10"/>
  <c r="BW148" i="10"/>
  <c r="BW144" i="10"/>
  <c r="BW140" i="10"/>
  <c r="BW136" i="10"/>
  <c r="BW132" i="10"/>
  <c r="BW128" i="10"/>
  <c r="BW124" i="10"/>
  <c r="BW120" i="10"/>
  <c r="BW116" i="10"/>
  <c r="BW112" i="10"/>
  <c r="BW108" i="10"/>
  <c r="BW104" i="10"/>
  <c r="BW100" i="10"/>
  <c r="BW96" i="10"/>
  <c r="BW92" i="10"/>
  <c r="BW88" i="10"/>
  <c r="BW84" i="10"/>
  <c r="BW80" i="10"/>
  <c r="BW76" i="10"/>
  <c r="BW72" i="10"/>
  <c r="BW68" i="10"/>
  <c r="BW64" i="10"/>
  <c r="BW60" i="10"/>
  <c r="BW56" i="10"/>
  <c r="BW52" i="10"/>
  <c r="BW48" i="10"/>
  <c r="BW199" i="10"/>
  <c r="BW195" i="10"/>
  <c r="BW191" i="10"/>
  <c r="BW187" i="10"/>
  <c r="BW183" i="10"/>
  <c r="BW179" i="10"/>
  <c r="BW175" i="10"/>
  <c r="BW171" i="10"/>
  <c r="BW167" i="10"/>
  <c r="BW163" i="10"/>
  <c r="BW159" i="10"/>
  <c r="BW155" i="10"/>
  <c r="BW151" i="10"/>
  <c r="BW147" i="10"/>
  <c r="BW143" i="10"/>
  <c r="BW139" i="10"/>
  <c r="BW135" i="10"/>
  <c r="BW131" i="10"/>
  <c r="BW127" i="10"/>
  <c r="BW123" i="10"/>
  <c r="BW119" i="10"/>
  <c r="BW115" i="10"/>
  <c r="BW111" i="10"/>
  <c r="BW107" i="10"/>
  <c r="BW103" i="10"/>
  <c r="BW99" i="10"/>
  <c r="BW95" i="10"/>
  <c r="BW91" i="10"/>
  <c r="BW87" i="10"/>
  <c r="BW83" i="10"/>
  <c r="BW79" i="10"/>
  <c r="BW75" i="10"/>
  <c r="BW71" i="10"/>
  <c r="BW67" i="10"/>
  <c r="BW63" i="10"/>
  <c r="BW59" i="10"/>
  <c r="BW55" i="10"/>
  <c r="BW51" i="10"/>
  <c r="BW198" i="10"/>
  <c r="BW194" i="10"/>
  <c r="BW190" i="10"/>
  <c r="BW186" i="10"/>
  <c r="BW182" i="10"/>
  <c r="BW178" i="10"/>
  <c r="BW174" i="10"/>
  <c r="BW170" i="10"/>
  <c r="BW166" i="10"/>
  <c r="BW162" i="10"/>
  <c r="BW158" i="10"/>
  <c r="BW154" i="10"/>
  <c r="BW150" i="10"/>
  <c r="BW146" i="10"/>
  <c r="BW142" i="10"/>
  <c r="BW138" i="10"/>
  <c r="BW134" i="10"/>
  <c r="BW130" i="10"/>
  <c r="BW126" i="10"/>
  <c r="BW122" i="10"/>
  <c r="BW118" i="10"/>
  <c r="BW114" i="10"/>
  <c r="BW110" i="10"/>
  <c r="BW106" i="10"/>
  <c r="BW102" i="10"/>
  <c r="BW98" i="10"/>
  <c r="BW94" i="10"/>
  <c r="BW90" i="10"/>
  <c r="BW86" i="10"/>
  <c r="BW82" i="10"/>
  <c r="BW78" i="10"/>
  <c r="BW74" i="10"/>
  <c r="BW70" i="10"/>
  <c r="BW66" i="10"/>
  <c r="BW62" i="10"/>
  <c r="BW58" i="10"/>
  <c r="BW54" i="10"/>
  <c r="BW50" i="10"/>
  <c r="BW6" i="10"/>
  <c r="BW13" i="10"/>
  <c r="CU13" i="10" s="1"/>
  <c r="BW14" i="10"/>
  <c r="BW21" i="10"/>
  <c r="CU21" i="10" s="1"/>
  <c r="BW22" i="10"/>
  <c r="AY199" i="10"/>
  <c r="AY191" i="10"/>
  <c r="CU191" i="10" s="1"/>
  <c r="AY162" i="10"/>
  <c r="CU162" i="10" s="1"/>
  <c r="AY158" i="10"/>
  <c r="CU158" i="10" s="1"/>
  <c r="AY154" i="10"/>
  <c r="CU154" i="10" s="1"/>
  <c r="AY150" i="10"/>
  <c r="CU150" i="10" s="1"/>
  <c r="AY188" i="10"/>
  <c r="AY198" i="10"/>
  <c r="AY187" i="10"/>
  <c r="AY179" i="10"/>
  <c r="AY171" i="10"/>
  <c r="CU171" i="10" s="1"/>
  <c r="AY180" i="10"/>
  <c r="AY148" i="10"/>
  <c r="AY140" i="10"/>
  <c r="AY132" i="10"/>
  <c r="AY124" i="10"/>
  <c r="CU124" i="10" s="1"/>
  <c r="AY174" i="10"/>
  <c r="AY145" i="10"/>
  <c r="AY129" i="10"/>
  <c r="AY99" i="10"/>
  <c r="AY91" i="10"/>
  <c r="AY83" i="10"/>
  <c r="AY75" i="10"/>
  <c r="CU75" i="10" s="1"/>
  <c r="AY67" i="10"/>
  <c r="AY127" i="10"/>
  <c r="AY100" i="10"/>
  <c r="CU100" i="10" s="1"/>
  <c r="AY92" i="10"/>
  <c r="AY84" i="10"/>
  <c r="AY116" i="10"/>
  <c r="AY112" i="10"/>
  <c r="CU112" i="10" s="1"/>
  <c r="AY108" i="10"/>
  <c r="AY104" i="10"/>
  <c r="BW7" i="10"/>
  <c r="BW8" i="10"/>
  <c r="BW15" i="10"/>
  <c r="BW16" i="10"/>
  <c r="CU16" i="10" s="1"/>
  <c r="BW23" i="10"/>
  <c r="BW24" i="10"/>
  <c r="BW29" i="10"/>
  <c r="BW31" i="10"/>
  <c r="BW33" i="10"/>
  <c r="BW35" i="10"/>
  <c r="BW37" i="10"/>
  <c r="CU37" i="10" s="1"/>
  <c r="BW39" i="10"/>
  <c r="BW41" i="10"/>
  <c r="BW43" i="10"/>
  <c r="BW45" i="10"/>
  <c r="BW47" i="10"/>
  <c r="AY78" i="10"/>
  <c r="AY197" i="10"/>
  <c r="CU197" i="10" s="1"/>
  <c r="AY194" i="10"/>
  <c r="CU194" i="10" s="1"/>
  <c r="AY161" i="10"/>
  <c r="CU161" i="10" s="1"/>
  <c r="AY157" i="10"/>
  <c r="CU157" i="10" s="1"/>
  <c r="AY153" i="10"/>
  <c r="CU153" i="10" s="1"/>
  <c r="AY149" i="10"/>
  <c r="CU149" i="10" s="1"/>
  <c r="AY186" i="10"/>
  <c r="AY200" i="10"/>
  <c r="CU200" i="10" s="1"/>
  <c r="AY185" i="10"/>
  <c r="CU185" i="10" s="1"/>
  <c r="AY177" i="10"/>
  <c r="AY169" i="10"/>
  <c r="AY176" i="10"/>
  <c r="CU176" i="10" s="1"/>
  <c r="AY146" i="10"/>
  <c r="AY138" i="10"/>
  <c r="AY130" i="10"/>
  <c r="CU130" i="10" s="1"/>
  <c r="AY122" i="10"/>
  <c r="CU122" i="10" s="1"/>
  <c r="AY170" i="10"/>
  <c r="AY143" i="10"/>
  <c r="AY125" i="10"/>
  <c r="AY97" i="10"/>
  <c r="AY89" i="10"/>
  <c r="CU89" i="10" s="1"/>
  <c r="AY81" i="10"/>
  <c r="AY73" i="10"/>
  <c r="AY133" i="10"/>
  <c r="CU133" i="10" s="1"/>
  <c r="AY123" i="10"/>
  <c r="CU123" i="10" s="1"/>
  <c r="AY98" i="10"/>
  <c r="CU98" i="10" s="1"/>
  <c r="AY90" i="10"/>
  <c r="AY137" i="10"/>
  <c r="AY115" i="10"/>
  <c r="AY111" i="10"/>
  <c r="AY107" i="10"/>
  <c r="CU107" i="10" s="1"/>
  <c r="AY103" i="10"/>
  <c r="BW9" i="10"/>
  <c r="BW10" i="10"/>
  <c r="BW17" i="10"/>
  <c r="CU17" i="10" s="1"/>
  <c r="BW18" i="10"/>
  <c r="BW25" i="10"/>
  <c r="BW26" i="10"/>
  <c r="AY72" i="10"/>
  <c r="AY195" i="10"/>
  <c r="CU195" i="10" s="1"/>
  <c r="AY164" i="10"/>
  <c r="CU164" i="10" s="1"/>
  <c r="AY160" i="10"/>
  <c r="CU160" i="10" s="1"/>
  <c r="AY156" i="10"/>
  <c r="CU156" i="10" s="1"/>
  <c r="AY152" i="10"/>
  <c r="CU152" i="10" s="1"/>
  <c r="AY196" i="10"/>
  <c r="CU196" i="10" s="1"/>
  <c r="AY184" i="10"/>
  <c r="CU184" i="10" s="1"/>
  <c r="AY192" i="10"/>
  <c r="CU192" i="10" s="1"/>
  <c r="AY183" i="10"/>
  <c r="AY175" i="10"/>
  <c r="CU175" i="10" s="1"/>
  <c r="AY167" i="10"/>
  <c r="AY172" i="10"/>
  <c r="CU172" i="10" s="1"/>
  <c r="AY144" i="10"/>
  <c r="CU144" i="10" s="1"/>
  <c r="AY136" i="10"/>
  <c r="AY128" i="10"/>
  <c r="CU128" i="10" s="1"/>
  <c r="AY120" i="10"/>
  <c r="AY166" i="10"/>
  <c r="AY141" i="10"/>
  <c r="AY121" i="10"/>
  <c r="AY95" i="10"/>
  <c r="AY87" i="10"/>
  <c r="AY79" i="10"/>
  <c r="CU79" i="10" s="1"/>
  <c r="AY71" i="10"/>
  <c r="AY139" i="10"/>
  <c r="CU139" i="10" s="1"/>
  <c r="AY119" i="10"/>
  <c r="AY96" i="10"/>
  <c r="CU96" i="10" s="1"/>
  <c r="AY88" i="10"/>
  <c r="CU88" i="10" s="1"/>
  <c r="AY118" i="10"/>
  <c r="AY114" i="10"/>
  <c r="AY110" i="10"/>
  <c r="AY106" i="10"/>
  <c r="BW11" i="10"/>
  <c r="CU11" i="10" s="1"/>
  <c r="BW12" i="10"/>
  <c r="BW19" i="10"/>
  <c r="CU19" i="10" s="1"/>
  <c r="BW20" i="10"/>
  <c r="BW27" i="10"/>
  <c r="BW28" i="10"/>
  <c r="CU28" i="10" s="1"/>
  <c r="BW30" i="10"/>
  <c r="CU30" i="10" s="1"/>
  <c r="BW32" i="10"/>
  <c r="BW34" i="10"/>
  <c r="BW36" i="10"/>
  <c r="CU36" i="10" s="1"/>
  <c r="BW38" i="10"/>
  <c r="CU38" i="10" s="1"/>
  <c r="BW40" i="10"/>
  <c r="BW42" i="10"/>
  <c r="BW44" i="10"/>
  <c r="BW46" i="10"/>
  <c r="AY193" i="10"/>
  <c r="AY163" i="10"/>
  <c r="AY159" i="10"/>
  <c r="AY155" i="10"/>
  <c r="CU155" i="10" s="1"/>
  <c r="AY151" i="10"/>
  <c r="AY190" i="10"/>
  <c r="CU190" i="10" s="1"/>
  <c r="AY182" i="10"/>
  <c r="AY189" i="10"/>
  <c r="CU189" i="10" s="1"/>
  <c r="AY181" i="10"/>
  <c r="CU181" i="10" s="1"/>
  <c r="AY173" i="10"/>
  <c r="CU173" i="10" s="1"/>
  <c r="AY165" i="10"/>
  <c r="CU165" i="10" s="1"/>
  <c r="AY168" i="10"/>
  <c r="CU168" i="10" s="1"/>
  <c r="AY142" i="10"/>
  <c r="AY134" i="10"/>
  <c r="AY126" i="10"/>
  <c r="AY178" i="10"/>
  <c r="CU178" i="10" s="1"/>
  <c r="AY147" i="10"/>
  <c r="CU147" i="10" s="1"/>
  <c r="AY135" i="10"/>
  <c r="CU135" i="10" s="1"/>
  <c r="AY101" i="10"/>
  <c r="CU101" i="10" s="1"/>
  <c r="AY93" i="10"/>
  <c r="CU93" i="10" s="1"/>
  <c r="AY85" i="10"/>
  <c r="CU85" i="10" s="1"/>
  <c r="AY77" i="10"/>
  <c r="CU77" i="10" s="1"/>
  <c r="AY69" i="10"/>
  <c r="CU69" i="10" s="1"/>
  <c r="AY131" i="10"/>
  <c r="AY102" i="10"/>
  <c r="AY94" i="10"/>
  <c r="CU94" i="10" s="1"/>
  <c r="AY86" i="10"/>
  <c r="AY117" i="10"/>
  <c r="CU117" i="10" s="1"/>
  <c r="AY113" i="10"/>
  <c r="AY109" i="10"/>
  <c r="CU109" i="10" s="1"/>
  <c r="AY105" i="10"/>
  <c r="AY40" i="10"/>
  <c r="AY44" i="10"/>
  <c r="AY48" i="10"/>
  <c r="CU48" i="10" s="1"/>
  <c r="AY52" i="10"/>
  <c r="AY56" i="10"/>
  <c r="CU56" i="10" s="1"/>
  <c r="AY60" i="10"/>
  <c r="AY64" i="10"/>
  <c r="CU64" i="10" s="1"/>
  <c r="AY6" i="10"/>
  <c r="AY39" i="10"/>
  <c r="AY43" i="10"/>
  <c r="AY47" i="10"/>
  <c r="CU47" i="10" s="1"/>
  <c r="AY51" i="10"/>
  <c r="CU51" i="10" s="1"/>
  <c r="AY55" i="10"/>
  <c r="AY59" i="10"/>
  <c r="CU59" i="10" s="1"/>
  <c r="R13" i="4" s="1"/>
  <c r="AY63" i="10"/>
  <c r="AY7" i="10"/>
  <c r="CU7" i="10" s="1"/>
  <c r="AY42" i="10"/>
  <c r="AY46" i="10"/>
  <c r="AY50" i="10"/>
  <c r="CU50" i="10" s="1"/>
  <c r="AY54" i="10"/>
  <c r="AY58" i="10"/>
  <c r="AY62" i="10"/>
  <c r="AY66" i="10"/>
  <c r="CU66" i="10" s="1"/>
  <c r="AY70" i="10"/>
  <c r="AY74" i="10"/>
  <c r="AY76" i="10"/>
  <c r="AY8" i="10"/>
  <c r="AY41" i="10"/>
  <c r="CU41" i="10" s="1"/>
  <c r="AY45" i="10"/>
  <c r="CU45" i="10" s="1"/>
  <c r="AY49" i="10"/>
  <c r="AY53" i="10"/>
  <c r="CU53" i="10" s="1"/>
  <c r="AY57" i="10"/>
  <c r="AY61" i="10"/>
  <c r="CU61" i="10" s="1"/>
  <c r="AY65" i="10"/>
  <c r="AY82" i="10"/>
  <c r="CU82" i="10" s="1"/>
  <c r="P143" i="4"/>
  <c r="P121" i="4"/>
  <c r="P18" i="4"/>
  <c r="O18" i="4"/>
  <c r="O143" i="4"/>
  <c r="O121" i="4"/>
  <c r="O25" i="4"/>
  <c r="P25" i="4"/>
  <c r="P145" i="4"/>
  <c r="P123" i="4"/>
  <c r="P122" i="4"/>
  <c r="P27" i="4"/>
  <c r="P26" i="4"/>
  <c r="P144" i="4"/>
  <c r="Q3" i="28"/>
  <c r="S3" i="4"/>
  <c r="S5" i="4"/>
  <c r="BB15" i="28"/>
  <c r="DO30" i="10" s="1"/>
  <c r="BB9" i="28"/>
  <c r="DO13" i="10" s="1"/>
  <c r="S4" i="4"/>
  <c r="S4" i="28"/>
  <c r="T4" i="28"/>
  <c r="O144" i="4"/>
  <c r="N136" i="4"/>
  <c r="O26" i="4"/>
  <c r="N114" i="4"/>
  <c r="O122" i="4"/>
  <c r="O145" i="4"/>
  <c r="O123" i="4"/>
  <c r="O27" i="4"/>
  <c r="T7" i="4"/>
  <c r="T128" i="4"/>
  <c r="T127" i="4" s="1"/>
  <c r="T106" i="4"/>
  <c r="T105" i="4" s="1"/>
  <c r="K12" i="11"/>
  <c r="L11" i="11"/>
  <c r="CU163" i="10" l="1"/>
  <c r="CU120" i="10"/>
  <c r="CU72" i="10"/>
  <c r="CU125" i="10"/>
  <c r="CU74" i="10"/>
  <c r="CU58" i="10"/>
  <c r="CU131" i="10"/>
  <c r="CU141" i="10"/>
  <c r="CU136" i="10"/>
  <c r="CU115" i="10"/>
  <c r="CU24" i="10"/>
  <c r="CU14" i="10"/>
  <c r="CU90" i="10"/>
  <c r="CU186" i="10"/>
  <c r="CU104" i="10"/>
  <c r="CU106" i="10"/>
  <c r="CU99" i="10"/>
  <c r="CU170" i="10"/>
  <c r="CU8" i="10"/>
  <c r="CU134" i="10"/>
  <c r="CU27" i="10"/>
  <c r="CU118" i="10"/>
  <c r="CU95" i="10"/>
  <c r="CU73" i="10"/>
  <c r="CU169" i="10"/>
  <c r="CU84" i="10"/>
  <c r="CU180" i="10"/>
  <c r="CU22" i="10"/>
  <c r="CU63" i="10"/>
  <c r="CU83" i="10"/>
  <c r="CU179" i="10"/>
  <c r="CU67" i="10"/>
  <c r="CU40" i="10"/>
  <c r="CU146" i="10"/>
  <c r="CU65" i="10"/>
  <c r="CU49" i="10"/>
  <c r="CU76" i="10"/>
  <c r="CU62" i="10"/>
  <c r="CU43" i="10"/>
  <c r="CU60" i="10"/>
  <c r="CU113" i="10"/>
  <c r="CU102" i="10"/>
  <c r="CU142" i="10"/>
  <c r="CU151" i="10"/>
  <c r="CU193" i="10"/>
  <c r="CU20" i="10"/>
  <c r="CU71" i="10"/>
  <c r="CU121" i="10"/>
  <c r="CU167" i="10"/>
  <c r="CU111" i="10"/>
  <c r="CU81" i="10"/>
  <c r="CU143" i="10"/>
  <c r="CU177" i="10"/>
  <c r="CU29" i="10"/>
  <c r="CU15" i="10"/>
  <c r="CU108" i="10"/>
  <c r="CU92" i="10"/>
  <c r="CU129" i="10"/>
  <c r="CU188" i="10"/>
  <c r="CU42" i="10"/>
  <c r="CU55" i="10"/>
  <c r="CU39" i="10"/>
  <c r="CU110" i="10"/>
  <c r="CU9" i="10"/>
  <c r="CU35" i="10"/>
  <c r="CU145" i="10"/>
  <c r="CU140" i="10"/>
  <c r="CU57" i="10"/>
  <c r="CU70" i="10"/>
  <c r="CU54" i="10"/>
  <c r="CU6" i="10"/>
  <c r="CU52" i="10"/>
  <c r="CU105" i="10"/>
  <c r="CU86" i="10"/>
  <c r="CU126" i="10"/>
  <c r="CU182" i="10"/>
  <c r="CU159" i="10"/>
  <c r="CU12" i="10"/>
  <c r="CU114" i="10"/>
  <c r="CU119" i="10"/>
  <c r="CU87" i="10"/>
  <c r="CU166" i="10"/>
  <c r="CU183" i="10"/>
  <c r="CU103" i="10"/>
  <c r="CU137" i="10"/>
  <c r="CU97" i="10"/>
  <c r="CU78" i="10"/>
  <c r="CU33" i="10"/>
  <c r="CU23" i="10"/>
  <c r="CU116" i="10"/>
  <c r="CU127" i="10"/>
  <c r="CU91" i="10"/>
  <c r="CU174" i="10"/>
  <c r="CU148" i="10"/>
  <c r="CU187" i="10"/>
  <c r="CU199" i="10"/>
  <c r="CU80" i="10"/>
  <c r="CU46" i="10"/>
  <c r="CU44" i="10"/>
  <c r="CU138" i="10"/>
  <c r="CU132" i="10"/>
  <c r="CU18" i="10"/>
  <c r="CU68" i="10"/>
  <c r="BX47" i="10"/>
  <c r="AZ37" i="10"/>
  <c r="AZ16" i="10"/>
  <c r="AZ24" i="10"/>
  <c r="AZ30" i="10"/>
  <c r="AZ32" i="10"/>
  <c r="AZ14" i="10"/>
  <c r="AZ22" i="10"/>
  <c r="AZ34" i="10"/>
  <c r="AZ38" i="10"/>
  <c r="AZ12" i="10"/>
  <c r="AZ20" i="10"/>
  <c r="AZ28" i="10"/>
  <c r="AZ36" i="10"/>
  <c r="AZ10" i="10"/>
  <c r="AZ18" i="10"/>
  <c r="AZ26" i="10"/>
  <c r="BX6" i="10"/>
  <c r="BX8" i="10"/>
  <c r="BX10" i="10"/>
  <c r="BX12" i="10"/>
  <c r="BX14" i="10"/>
  <c r="BX16" i="10"/>
  <c r="BX18" i="10"/>
  <c r="BX20" i="10"/>
  <c r="BX22" i="10"/>
  <c r="BX24" i="10"/>
  <c r="BX26" i="10"/>
  <c r="BX28" i="10"/>
  <c r="BX30" i="10"/>
  <c r="BX32" i="10"/>
  <c r="BX34" i="10"/>
  <c r="BX36" i="10"/>
  <c r="BX38" i="10"/>
  <c r="BX40" i="10"/>
  <c r="BX42" i="10"/>
  <c r="BX44" i="10"/>
  <c r="BX46" i="10"/>
  <c r="BX7" i="10"/>
  <c r="BX9" i="10"/>
  <c r="BX11" i="10"/>
  <c r="BX13" i="10"/>
  <c r="BX15" i="10"/>
  <c r="BX17" i="10"/>
  <c r="BX19" i="10"/>
  <c r="BX21" i="10"/>
  <c r="BX23" i="10"/>
  <c r="BX25" i="10"/>
  <c r="BX27" i="10"/>
  <c r="BX29" i="10"/>
  <c r="BX31" i="10"/>
  <c r="BX33" i="10"/>
  <c r="BX35" i="10"/>
  <c r="BX37" i="10"/>
  <c r="BX39" i="10"/>
  <c r="BX41" i="10"/>
  <c r="BX43" i="10"/>
  <c r="BX45" i="10"/>
  <c r="BX197" i="10"/>
  <c r="BX193" i="10"/>
  <c r="BX189" i="10"/>
  <c r="BX185" i="10"/>
  <c r="BX181" i="10"/>
  <c r="BX177" i="10"/>
  <c r="BX173" i="10"/>
  <c r="BX169" i="10"/>
  <c r="BX163" i="10"/>
  <c r="BX161" i="10"/>
  <c r="BX157" i="10"/>
  <c r="BX153" i="10"/>
  <c r="BX149" i="10"/>
  <c r="BX145" i="10"/>
  <c r="BX141" i="10"/>
  <c r="BX137" i="10"/>
  <c r="BX133" i="10"/>
  <c r="BX129" i="10"/>
  <c r="BX125" i="10"/>
  <c r="BX121" i="10"/>
  <c r="BX117" i="10"/>
  <c r="BX113" i="10"/>
  <c r="BX109" i="10"/>
  <c r="BX105" i="10"/>
  <c r="BX101" i="10"/>
  <c r="BX97" i="10"/>
  <c r="BX93" i="10"/>
  <c r="BX89" i="10"/>
  <c r="BX85" i="10"/>
  <c r="BX81" i="10"/>
  <c r="BX77" i="10"/>
  <c r="BX73" i="10"/>
  <c r="BX69" i="10"/>
  <c r="BX65" i="10"/>
  <c r="BX61" i="10"/>
  <c r="BX57" i="10"/>
  <c r="BX53" i="10"/>
  <c r="BX49" i="10"/>
  <c r="BX200" i="10"/>
  <c r="BX196" i="10"/>
  <c r="BX192" i="10"/>
  <c r="BX188" i="10"/>
  <c r="BX184" i="10"/>
  <c r="BX180" i="10"/>
  <c r="BX176" i="10"/>
  <c r="BX172" i="10"/>
  <c r="BX168" i="10"/>
  <c r="BX166" i="10"/>
  <c r="BX160" i="10"/>
  <c r="BX156" i="10"/>
  <c r="BX152" i="10"/>
  <c r="BX148" i="10"/>
  <c r="BX144" i="10"/>
  <c r="BX140" i="10"/>
  <c r="BX136" i="10"/>
  <c r="BX132" i="10"/>
  <c r="BX128" i="10"/>
  <c r="BX124" i="10"/>
  <c r="BX120" i="10"/>
  <c r="BX116" i="10"/>
  <c r="BX112" i="10"/>
  <c r="BX108" i="10"/>
  <c r="BX104" i="10"/>
  <c r="BX100" i="10"/>
  <c r="BX96" i="10"/>
  <c r="BX92" i="10"/>
  <c r="BX88" i="10"/>
  <c r="BX84" i="10"/>
  <c r="BX80" i="10"/>
  <c r="BX76" i="10"/>
  <c r="BX72" i="10"/>
  <c r="BX68" i="10"/>
  <c r="BX64" i="10"/>
  <c r="BX60" i="10"/>
  <c r="BX56" i="10"/>
  <c r="BX52" i="10"/>
  <c r="BX48" i="10"/>
  <c r="BX199" i="10"/>
  <c r="BX195" i="10"/>
  <c r="BX191" i="10"/>
  <c r="BX187" i="10"/>
  <c r="BX183" i="10"/>
  <c r="BX179" i="10"/>
  <c r="BX175" i="10"/>
  <c r="BX171" i="10"/>
  <c r="BX167" i="10"/>
  <c r="BX164" i="10"/>
  <c r="BX159" i="10"/>
  <c r="BX155" i="10"/>
  <c r="BX151" i="10"/>
  <c r="BX147" i="10"/>
  <c r="BX143" i="10"/>
  <c r="BX139" i="10"/>
  <c r="BX135" i="10"/>
  <c r="BX131" i="10"/>
  <c r="BX127" i="10"/>
  <c r="BX123" i="10"/>
  <c r="BX119" i="10"/>
  <c r="BX115" i="10"/>
  <c r="BX111" i="10"/>
  <c r="BX107" i="10"/>
  <c r="BX103" i="10"/>
  <c r="BX99" i="10"/>
  <c r="BX95" i="10"/>
  <c r="BX91" i="10"/>
  <c r="BX87" i="10"/>
  <c r="BX83" i="10"/>
  <c r="BX79" i="10"/>
  <c r="BX75" i="10"/>
  <c r="BX71" i="10"/>
  <c r="BX67" i="10"/>
  <c r="BX63" i="10"/>
  <c r="BX59" i="10"/>
  <c r="BX55" i="10"/>
  <c r="BX51" i="10"/>
  <c r="BX198" i="10"/>
  <c r="BX194" i="10"/>
  <c r="BX190" i="10"/>
  <c r="BX186" i="10"/>
  <c r="BX182" i="10"/>
  <c r="BX178" i="10"/>
  <c r="BX174" i="10"/>
  <c r="BX170" i="10"/>
  <c r="BX165" i="10"/>
  <c r="BX162" i="10"/>
  <c r="BX158" i="10"/>
  <c r="BX154" i="10"/>
  <c r="BX150" i="10"/>
  <c r="BX146" i="10"/>
  <c r="BX142" i="10"/>
  <c r="BX138" i="10"/>
  <c r="BX134" i="10"/>
  <c r="BX130" i="10"/>
  <c r="BX126" i="10"/>
  <c r="BX122" i="10"/>
  <c r="BX118" i="10"/>
  <c r="BX114" i="10"/>
  <c r="BX110" i="10"/>
  <c r="BX106" i="10"/>
  <c r="BX102" i="10"/>
  <c r="BX98" i="10"/>
  <c r="BX94" i="10"/>
  <c r="BX90" i="10"/>
  <c r="BX86" i="10"/>
  <c r="BX82" i="10"/>
  <c r="BX78" i="10"/>
  <c r="BX74" i="10"/>
  <c r="BX70" i="10"/>
  <c r="BX66" i="10"/>
  <c r="BX62" i="10"/>
  <c r="BX58" i="10"/>
  <c r="BX54" i="10"/>
  <c r="BX50" i="10"/>
  <c r="AZ9" i="10"/>
  <c r="CV9" i="10" s="1"/>
  <c r="AZ11" i="10"/>
  <c r="CV11" i="10" s="1"/>
  <c r="AZ13" i="10"/>
  <c r="CV13" i="10" s="1"/>
  <c r="AZ15" i="10"/>
  <c r="CV15" i="10" s="1"/>
  <c r="AZ17" i="10"/>
  <c r="CV17" i="10" s="1"/>
  <c r="AZ19" i="10"/>
  <c r="CV19" i="10" s="1"/>
  <c r="AZ21" i="10"/>
  <c r="CV21" i="10" s="1"/>
  <c r="AZ23" i="10"/>
  <c r="CV23" i="10" s="1"/>
  <c r="AZ25" i="10"/>
  <c r="CV25" i="10" s="1"/>
  <c r="AZ27" i="10"/>
  <c r="CV27" i="10" s="1"/>
  <c r="AZ29" i="10"/>
  <c r="CV29" i="10" s="1"/>
  <c r="AZ31" i="10"/>
  <c r="CV31" i="10" s="1"/>
  <c r="AZ33" i="10"/>
  <c r="CV33" i="10" s="1"/>
  <c r="AZ35" i="10"/>
  <c r="CV35" i="10" s="1"/>
  <c r="AZ199" i="10"/>
  <c r="AZ188" i="10"/>
  <c r="CV188" i="10" s="1"/>
  <c r="AZ180" i="10"/>
  <c r="AZ172" i="10"/>
  <c r="AZ198" i="10"/>
  <c r="CV198" i="10" s="1"/>
  <c r="AZ192" i="10"/>
  <c r="CV192" i="10" s="1"/>
  <c r="AZ163" i="10"/>
  <c r="AZ159" i="10"/>
  <c r="AZ155" i="10"/>
  <c r="AZ151" i="10"/>
  <c r="AZ147" i="10"/>
  <c r="AZ143" i="10"/>
  <c r="AZ139" i="10"/>
  <c r="AZ135" i="10"/>
  <c r="AZ131" i="10"/>
  <c r="AZ127" i="10"/>
  <c r="AZ123" i="10"/>
  <c r="AZ119" i="10"/>
  <c r="CV119" i="10" s="1"/>
  <c r="AZ116" i="10"/>
  <c r="AZ112" i="10"/>
  <c r="AZ108" i="10"/>
  <c r="AZ104" i="10"/>
  <c r="AZ175" i="10"/>
  <c r="AZ183" i="10"/>
  <c r="AZ169" i="10"/>
  <c r="CV169" i="10" s="1"/>
  <c r="AZ98" i="10"/>
  <c r="CV98" i="10" s="1"/>
  <c r="AZ90" i="10"/>
  <c r="AZ82" i="10"/>
  <c r="AZ101" i="10"/>
  <c r="AZ93" i="10"/>
  <c r="AZ85" i="10"/>
  <c r="AZ77" i="10"/>
  <c r="CV77" i="10" s="1"/>
  <c r="AZ69" i="10"/>
  <c r="AZ40" i="10"/>
  <c r="CV40" i="10" s="1"/>
  <c r="AZ44" i="10"/>
  <c r="AZ48" i="10"/>
  <c r="AZ52" i="10"/>
  <c r="CV52" i="10" s="1"/>
  <c r="AZ56" i="10"/>
  <c r="AZ60" i="10"/>
  <c r="CV60" i="10" s="1"/>
  <c r="T13" i="4" s="1"/>
  <c r="AZ64" i="10"/>
  <c r="AZ70" i="10"/>
  <c r="CV70" i="10" s="1"/>
  <c r="AZ74" i="10"/>
  <c r="AZ196" i="10"/>
  <c r="AZ186" i="10"/>
  <c r="CV186" i="10" s="1"/>
  <c r="AZ178" i="10"/>
  <c r="AZ170" i="10"/>
  <c r="AZ193" i="10"/>
  <c r="CV193" i="10" s="1"/>
  <c r="AZ197" i="10"/>
  <c r="AZ162" i="10"/>
  <c r="AZ158" i="10"/>
  <c r="CV158" i="10" s="1"/>
  <c r="AZ154" i="10"/>
  <c r="AZ150" i="10"/>
  <c r="AZ146" i="10"/>
  <c r="AZ142" i="10"/>
  <c r="CV142" i="10" s="1"/>
  <c r="AZ138" i="10"/>
  <c r="AZ134" i="10"/>
  <c r="AZ130" i="10"/>
  <c r="AZ126" i="10"/>
  <c r="CV126" i="10" s="1"/>
  <c r="AZ122" i="10"/>
  <c r="AZ189" i="10"/>
  <c r="CV189" i="10" s="1"/>
  <c r="AZ115" i="10"/>
  <c r="AZ111" i="10"/>
  <c r="CV111" i="10" s="1"/>
  <c r="AZ107" i="10"/>
  <c r="AZ103" i="10"/>
  <c r="AZ171" i="10"/>
  <c r="AZ181" i="10"/>
  <c r="CV181" i="10" s="1"/>
  <c r="AZ165" i="10"/>
  <c r="AZ96" i="10"/>
  <c r="AZ88" i="10"/>
  <c r="AZ80" i="10"/>
  <c r="CV80" i="10" s="1"/>
  <c r="AZ99" i="10"/>
  <c r="AZ91" i="10"/>
  <c r="AZ83" i="10"/>
  <c r="AZ75" i="10"/>
  <c r="CV75" i="10" s="1"/>
  <c r="AZ67" i="10"/>
  <c r="AZ7" i="10"/>
  <c r="AZ39" i="10"/>
  <c r="AZ43" i="10"/>
  <c r="AZ47" i="10"/>
  <c r="AZ51" i="10"/>
  <c r="CV51" i="10" s="1"/>
  <c r="AZ55" i="10"/>
  <c r="CV55" i="10" s="1"/>
  <c r="AZ59" i="10"/>
  <c r="CV59" i="10" s="1"/>
  <c r="AZ63" i="10"/>
  <c r="AZ191" i="10"/>
  <c r="AZ184" i="10"/>
  <c r="AZ176" i="10"/>
  <c r="CV176" i="10" s="1"/>
  <c r="AZ168" i="10"/>
  <c r="AZ200" i="10"/>
  <c r="CV200" i="10" s="1"/>
  <c r="AZ194" i="10"/>
  <c r="AZ161" i="10"/>
  <c r="CV161" i="10" s="1"/>
  <c r="AZ157" i="10"/>
  <c r="AZ153" i="10"/>
  <c r="AZ149" i="10"/>
  <c r="AZ145" i="10"/>
  <c r="CV145" i="10" s="1"/>
  <c r="AZ141" i="10"/>
  <c r="AZ137" i="10"/>
  <c r="AZ133" i="10"/>
  <c r="AZ129" i="10"/>
  <c r="CV129" i="10" s="1"/>
  <c r="AZ125" i="10"/>
  <c r="AZ121" i="10"/>
  <c r="AZ118" i="10"/>
  <c r="CV118" i="10" s="1"/>
  <c r="AZ114" i="10"/>
  <c r="CV114" i="10" s="1"/>
  <c r="AZ110" i="10"/>
  <c r="CV110" i="10" s="1"/>
  <c r="AZ106" i="10"/>
  <c r="CV106" i="10" s="1"/>
  <c r="AZ187" i="10"/>
  <c r="AZ167" i="10"/>
  <c r="CV167" i="10" s="1"/>
  <c r="AZ177" i="10"/>
  <c r="CV177" i="10" s="1"/>
  <c r="AZ102" i="10"/>
  <c r="AZ94" i="10"/>
  <c r="CV94" i="10" s="1"/>
  <c r="AZ86" i="10"/>
  <c r="CV86" i="10" s="1"/>
  <c r="AZ78" i="10"/>
  <c r="CV78" i="10" s="1"/>
  <c r="AZ97" i="10"/>
  <c r="CV97" i="10" s="1"/>
  <c r="AZ89" i="10"/>
  <c r="CV89" i="10" s="1"/>
  <c r="AZ81" i="10"/>
  <c r="CV81" i="10" s="1"/>
  <c r="AZ73" i="10"/>
  <c r="AZ42" i="10"/>
  <c r="CV42" i="10" s="1"/>
  <c r="AZ46" i="10"/>
  <c r="CV46" i="10" s="1"/>
  <c r="AZ50" i="10"/>
  <c r="CV50" i="10" s="1"/>
  <c r="AZ54" i="10"/>
  <c r="AZ58" i="10"/>
  <c r="CV58" i="10" s="1"/>
  <c r="AZ62" i="10"/>
  <c r="CV62" i="10" s="1"/>
  <c r="AZ66" i="10"/>
  <c r="CV66" i="10" s="1"/>
  <c r="AZ190" i="10"/>
  <c r="CV190" i="10" s="1"/>
  <c r="AZ182" i="10"/>
  <c r="AZ174" i="10"/>
  <c r="CV174" i="10" s="1"/>
  <c r="AZ166" i="10"/>
  <c r="CV166" i="10" s="1"/>
  <c r="AZ195" i="10"/>
  <c r="AZ164" i="10"/>
  <c r="CV164" i="10" s="1"/>
  <c r="AZ160" i="10"/>
  <c r="AZ156" i="10"/>
  <c r="CV156" i="10" s="1"/>
  <c r="AZ152" i="10"/>
  <c r="AZ148" i="10"/>
  <c r="AZ144" i="10"/>
  <c r="AZ140" i="10"/>
  <c r="CV140" i="10" s="1"/>
  <c r="AZ136" i="10"/>
  <c r="AZ132" i="10"/>
  <c r="AZ128" i="10"/>
  <c r="AZ124" i="10"/>
  <c r="CV124" i="10" s="1"/>
  <c r="AZ120" i="10"/>
  <c r="AZ117" i="10"/>
  <c r="AZ113" i="10"/>
  <c r="CV113" i="10" s="1"/>
  <c r="AZ109" i="10"/>
  <c r="AZ105" i="10"/>
  <c r="AZ179" i="10"/>
  <c r="CV179" i="10" s="1"/>
  <c r="AZ185" i="10"/>
  <c r="CV185" i="10" s="1"/>
  <c r="AZ173" i="10"/>
  <c r="AZ100" i="10"/>
  <c r="AZ92" i="10"/>
  <c r="CV92" i="10" s="1"/>
  <c r="AZ84" i="10"/>
  <c r="CV84" i="10" s="1"/>
  <c r="AZ76" i="10"/>
  <c r="CV76" i="10" s="1"/>
  <c r="AZ95" i="10"/>
  <c r="AZ87" i="10"/>
  <c r="CV87" i="10" s="1"/>
  <c r="AZ79" i="10"/>
  <c r="CV79" i="10" s="1"/>
  <c r="AZ71" i="10"/>
  <c r="CV71" i="10" s="1"/>
  <c r="AZ6" i="10"/>
  <c r="AZ8" i="10"/>
  <c r="AZ41" i="10"/>
  <c r="CV41" i="10" s="1"/>
  <c r="AZ45" i="10"/>
  <c r="CV45" i="10" s="1"/>
  <c r="AZ49" i="10"/>
  <c r="CV49" i="10" s="1"/>
  <c r="AZ53" i="10"/>
  <c r="AZ57" i="10"/>
  <c r="CV57" i="10" s="1"/>
  <c r="AZ61" i="10"/>
  <c r="AZ65" i="10"/>
  <c r="CV65" i="10" s="1"/>
  <c r="AZ72" i="10"/>
  <c r="CV72" i="10" s="1"/>
  <c r="AZ68" i="10"/>
  <c r="CV68" i="10" s="1"/>
  <c r="AB20" i="10"/>
  <c r="AB6" i="10"/>
  <c r="AB198" i="10"/>
  <c r="AB194" i="10"/>
  <c r="AB190" i="10"/>
  <c r="AB186" i="10"/>
  <c r="AB182" i="10"/>
  <c r="AB178" i="10"/>
  <c r="AB174" i="10"/>
  <c r="AB170" i="10"/>
  <c r="AB166" i="10"/>
  <c r="AB162" i="10"/>
  <c r="AB158" i="10"/>
  <c r="AB154" i="10"/>
  <c r="AB150" i="10"/>
  <c r="AB146" i="10"/>
  <c r="AB142" i="10"/>
  <c r="AB138" i="10"/>
  <c r="AB134" i="10"/>
  <c r="AB130" i="10"/>
  <c r="AB126" i="10"/>
  <c r="AB122" i="10"/>
  <c r="AB118" i="10"/>
  <c r="AB114" i="10"/>
  <c r="AB107" i="10"/>
  <c r="AB99" i="10"/>
  <c r="AB112" i="10"/>
  <c r="AB104" i="10"/>
  <c r="AB96" i="10"/>
  <c r="AB88" i="10"/>
  <c r="AB80" i="10"/>
  <c r="AB75" i="10"/>
  <c r="AB68" i="10"/>
  <c r="AB60" i="10"/>
  <c r="AB52" i="10"/>
  <c r="AB85" i="10"/>
  <c r="AB45" i="10"/>
  <c r="AB41" i="10"/>
  <c r="AB37" i="10"/>
  <c r="AB33" i="10"/>
  <c r="AB29" i="10"/>
  <c r="AB25" i="10"/>
  <c r="AB21" i="10"/>
  <c r="AB69" i="10"/>
  <c r="AB61" i="10"/>
  <c r="AB53" i="10"/>
  <c r="AB87" i="10"/>
  <c r="AB8" i="10"/>
  <c r="AB10" i="10"/>
  <c r="AB12" i="10"/>
  <c r="AB14" i="10"/>
  <c r="AB16" i="10"/>
  <c r="AB18" i="10"/>
  <c r="AB7" i="10"/>
  <c r="AB15" i="10"/>
  <c r="AB200" i="10"/>
  <c r="AB195" i="10"/>
  <c r="AB189" i="10"/>
  <c r="AB184" i="10"/>
  <c r="AB179" i="10"/>
  <c r="AB173" i="10"/>
  <c r="AB168" i="10"/>
  <c r="AB163" i="10"/>
  <c r="AB157" i="10"/>
  <c r="AB152" i="10"/>
  <c r="AB147" i="10"/>
  <c r="AB141" i="10"/>
  <c r="AB136" i="10"/>
  <c r="AB120" i="10"/>
  <c r="AB115" i="10"/>
  <c r="AB105" i="10"/>
  <c r="AB95" i="10"/>
  <c r="AB106" i="10"/>
  <c r="AB84" i="10"/>
  <c r="AB56" i="10"/>
  <c r="AB34" i="10"/>
  <c r="AB71" i="10"/>
  <c r="AB13" i="10"/>
  <c r="AB19" i="10"/>
  <c r="AB199" i="10"/>
  <c r="AB193" i="10"/>
  <c r="AB188" i="10"/>
  <c r="AB183" i="10"/>
  <c r="AB177" i="10"/>
  <c r="AB172" i="10"/>
  <c r="AB167" i="10"/>
  <c r="AB161" i="10"/>
  <c r="AB156" i="10"/>
  <c r="AB151" i="10"/>
  <c r="AB145" i="10"/>
  <c r="AB140" i="10"/>
  <c r="AB135" i="10"/>
  <c r="AB129" i="10"/>
  <c r="AB124" i="10"/>
  <c r="AB119" i="10"/>
  <c r="AB113" i="10"/>
  <c r="AB103" i="10"/>
  <c r="AB93" i="10"/>
  <c r="AB102" i="10"/>
  <c r="AB92" i="10"/>
  <c r="AB82" i="10"/>
  <c r="AB74" i="10"/>
  <c r="AB64" i="10"/>
  <c r="AB54" i="10"/>
  <c r="AB77" i="10"/>
  <c r="AB43" i="10"/>
  <c r="AB38" i="10"/>
  <c r="AB32" i="10"/>
  <c r="AB27" i="10"/>
  <c r="AB22" i="10"/>
  <c r="AB67" i="10"/>
  <c r="AB57" i="10"/>
  <c r="AB91" i="10"/>
  <c r="AB17" i="10"/>
  <c r="AB196" i="10"/>
  <c r="AB185" i="10"/>
  <c r="AB175" i="10"/>
  <c r="AB164" i="10"/>
  <c r="AB148" i="10"/>
  <c r="AB137" i="10"/>
  <c r="AB132" i="10"/>
  <c r="AB127" i="10"/>
  <c r="AB121" i="10"/>
  <c r="AB109" i="10"/>
  <c r="AB108" i="10"/>
  <c r="AB86" i="10"/>
  <c r="AB70" i="10"/>
  <c r="AB48" i="10"/>
  <c r="AB40" i="10"/>
  <c r="AB30" i="10"/>
  <c r="AB73" i="10"/>
  <c r="AB63" i="10"/>
  <c r="AB131" i="10"/>
  <c r="AB94" i="10"/>
  <c r="AB66" i="10"/>
  <c r="AB89" i="10"/>
  <c r="AB39" i="10"/>
  <c r="AB23" i="10"/>
  <c r="AB49" i="10"/>
  <c r="AB11" i="10"/>
  <c r="AB197" i="10"/>
  <c r="AB192" i="10"/>
  <c r="AB187" i="10"/>
  <c r="AB181" i="10"/>
  <c r="AB176" i="10"/>
  <c r="AB171" i="10"/>
  <c r="AB165" i="10"/>
  <c r="AB160" i="10"/>
  <c r="AB155" i="10"/>
  <c r="AB149" i="10"/>
  <c r="AB144" i="10"/>
  <c r="AB139" i="10"/>
  <c r="AB133" i="10"/>
  <c r="AB128" i="10"/>
  <c r="AB123" i="10"/>
  <c r="AB117" i="10"/>
  <c r="AB111" i="10"/>
  <c r="AB101" i="10"/>
  <c r="AB110" i="10"/>
  <c r="AB100" i="10"/>
  <c r="AB90" i="10"/>
  <c r="AB78" i="10"/>
  <c r="AB72" i="10"/>
  <c r="AB62" i="10"/>
  <c r="AB50" i="10"/>
  <c r="AB47" i="10"/>
  <c r="AB42" i="10"/>
  <c r="AB36" i="10"/>
  <c r="AB31" i="10"/>
  <c r="AB26" i="10"/>
  <c r="AB79" i="10"/>
  <c r="AB65" i="10"/>
  <c r="AB55" i="10"/>
  <c r="AB81" i="10"/>
  <c r="AB9" i="10"/>
  <c r="AB191" i="10"/>
  <c r="AB180" i="10"/>
  <c r="AB169" i="10"/>
  <c r="AB159" i="10"/>
  <c r="AB153" i="10"/>
  <c r="AB143" i="10"/>
  <c r="AB116" i="10"/>
  <c r="AB97" i="10"/>
  <c r="AB98" i="10"/>
  <c r="AB76" i="10"/>
  <c r="AB58" i="10"/>
  <c r="AB46" i="10"/>
  <c r="AB35" i="10"/>
  <c r="AB24" i="10"/>
  <c r="AB51" i="10"/>
  <c r="AB125" i="10"/>
  <c r="AB83" i="10"/>
  <c r="AB44" i="10"/>
  <c r="AB28" i="10"/>
  <c r="AB59" i="10"/>
  <c r="CU10" i="10"/>
  <c r="CU25" i="10"/>
  <c r="CU32" i="10"/>
  <c r="CU34" i="10"/>
  <c r="R109" i="4"/>
  <c r="R131" i="4"/>
  <c r="R11" i="4"/>
  <c r="R113" i="4"/>
  <c r="R112" i="4"/>
  <c r="R16" i="4"/>
  <c r="R134" i="4"/>
  <c r="R17" i="4"/>
  <c r="R135" i="4"/>
  <c r="AB3" i="10"/>
  <c r="CV3" i="10"/>
  <c r="BX3" i="10"/>
  <c r="AZ3" i="10"/>
  <c r="AC4" i="10"/>
  <c r="CW4" i="10"/>
  <c r="BY4" i="10"/>
  <c r="BA4" i="10"/>
  <c r="CU198" i="10"/>
  <c r="CU26" i="10"/>
  <c r="CU31" i="10"/>
  <c r="R23" i="4"/>
  <c r="R10" i="4"/>
  <c r="R108" i="4"/>
  <c r="R142" i="4"/>
  <c r="R120" i="4"/>
  <c r="R141" i="4"/>
  <c r="R130" i="4"/>
  <c r="R24" i="4"/>
  <c r="R119" i="4"/>
  <c r="R140" i="4"/>
  <c r="R22" i="4"/>
  <c r="R118" i="4"/>
  <c r="Q143" i="4"/>
  <c r="S3" i="28"/>
  <c r="Q26" i="4"/>
  <c r="O136" i="4"/>
  <c r="Q123" i="4"/>
  <c r="P136" i="4"/>
  <c r="Q25" i="4"/>
  <c r="O114" i="4"/>
  <c r="Q27" i="4"/>
  <c r="Q145" i="4"/>
  <c r="Q122" i="4"/>
  <c r="Q144" i="4"/>
  <c r="P114" i="4"/>
  <c r="T4" i="4"/>
  <c r="V4" i="28"/>
  <c r="U4" i="28"/>
  <c r="Q18" i="4"/>
  <c r="Q121" i="4"/>
  <c r="T5" i="4"/>
  <c r="T12" i="4"/>
  <c r="T3" i="4"/>
  <c r="U7" i="4"/>
  <c r="U128" i="4"/>
  <c r="U127" i="4" s="1"/>
  <c r="U106" i="4"/>
  <c r="U105" i="4" s="1"/>
  <c r="K13" i="11"/>
  <c r="L12" i="11"/>
  <c r="CV120" i="10" l="1"/>
  <c r="CV136" i="10"/>
  <c r="CV152" i="10"/>
  <c r="CV195" i="10"/>
  <c r="CV125" i="10"/>
  <c r="CV141" i="10"/>
  <c r="CV157" i="10"/>
  <c r="CV168" i="10"/>
  <c r="CV47" i="10"/>
  <c r="CV67" i="10"/>
  <c r="CV99" i="10"/>
  <c r="CV122" i="10"/>
  <c r="CV138" i="10"/>
  <c r="CV154" i="10"/>
  <c r="CV44" i="10"/>
  <c r="CV90" i="10"/>
  <c r="CV131" i="10"/>
  <c r="CV147" i="10"/>
  <c r="CV61" i="10"/>
  <c r="CV173" i="10"/>
  <c r="CV109" i="10"/>
  <c r="CV43" i="10"/>
  <c r="CV170" i="10"/>
  <c r="CV56" i="10"/>
  <c r="CV93" i="10"/>
  <c r="CV104" i="10"/>
  <c r="CV184" i="10"/>
  <c r="CV83" i="10"/>
  <c r="CV88" i="10"/>
  <c r="CV115" i="10"/>
  <c r="CV74" i="10"/>
  <c r="CV135" i="10"/>
  <c r="CV151" i="10"/>
  <c r="CV103" i="10"/>
  <c r="CV108" i="10"/>
  <c r="CV199" i="10"/>
  <c r="CV128" i="10"/>
  <c r="CV187" i="10"/>
  <c r="CV133" i="10"/>
  <c r="CV146" i="10"/>
  <c r="CV160" i="10"/>
  <c r="CV149" i="10"/>
  <c r="CV162" i="10"/>
  <c r="CV69" i="10"/>
  <c r="CV123" i="10"/>
  <c r="CV53" i="10"/>
  <c r="CV8" i="10"/>
  <c r="CV117" i="10"/>
  <c r="CV132" i="10"/>
  <c r="CV148" i="10"/>
  <c r="CV182" i="10"/>
  <c r="CV102" i="10"/>
  <c r="CV121" i="10"/>
  <c r="CV137" i="10"/>
  <c r="CV153" i="10"/>
  <c r="CV191" i="10"/>
  <c r="CV7" i="10"/>
  <c r="CV91" i="10"/>
  <c r="CV96" i="10"/>
  <c r="CV134" i="10"/>
  <c r="CV150" i="10"/>
  <c r="CV197" i="10"/>
  <c r="CV64" i="10"/>
  <c r="CV48" i="10"/>
  <c r="CV82" i="10"/>
  <c r="CV183" i="10"/>
  <c r="CV112" i="10"/>
  <c r="CV127" i="10"/>
  <c r="CV143" i="10"/>
  <c r="CV159" i="10"/>
  <c r="CV172" i="10"/>
  <c r="CV144" i="10"/>
  <c r="CV194" i="10"/>
  <c r="CV39" i="10"/>
  <c r="CV171" i="10"/>
  <c r="CV130" i="10"/>
  <c r="CV178" i="10"/>
  <c r="CV101" i="10"/>
  <c r="CV139" i="10"/>
  <c r="CV155" i="10"/>
  <c r="CV6" i="10"/>
  <c r="CV95" i="10"/>
  <c r="CV100" i="10"/>
  <c r="CV105" i="10"/>
  <c r="CV54" i="10"/>
  <c r="CV73" i="10"/>
  <c r="CV63" i="10"/>
  <c r="CV165" i="10"/>
  <c r="CV107" i="10"/>
  <c r="CV196" i="10"/>
  <c r="CV85" i="10"/>
  <c r="CV175" i="10"/>
  <c r="CV116" i="10"/>
  <c r="CV163" i="10"/>
  <c r="CV180" i="10"/>
  <c r="CV30" i="10"/>
  <c r="CV22" i="10"/>
  <c r="CV10" i="10"/>
  <c r="CV14" i="10"/>
  <c r="AC3" i="10"/>
  <c r="CW3" i="10"/>
  <c r="BY3" i="10"/>
  <c r="BA3" i="10"/>
  <c r="BY47" i="10"/>
  <c r="BY6" i="10"/>
  <c r="BY53" i="10"/>
  <c r="BY7" i="10"/>
  <c r="BY9" i="10"/>
  <c r="BY11" i="10"/>
  <c r="BY13" i="10"/>
  <c r="BY15" i="10"/>
  <c r="BY17" i="10"/>
  <c r="BY19" i="10"/>
  <c r="BY21" i="10"/>
  <c r="BY23" i="10"/>
  <c r="BY25" i="10"/>
  <c r="BY27" i="10"/>
  <c r="BY29" i="10"/>
  <c r="BY31" i="10"/>
  <c r="BY33" i="10"/>
  <c r="BY35" i="10"/>
  <c r="BY37" i="10"/>
  <c r="BY39" i="10"/>
  <c r="BY41" i="10"/>
  <c r="BY43" i="10"/>
  <c r="BY45" i="10"/>
  <c r="BY8" i="10"/>
  <c r="BY10" i="10"/>
  <c r="BY12" i="10"/>
  <c r="BY14" i="10"/>
  <c r="BY16" i="10"/>
  <c r="BY18" i="10"/>
  <c r="BY20" i="10"/>
  <c r="BY22" i="10"/>
  <c r="BY24" i="10"/>
  <c r="BY26" i="10"/>
  <c r="BY28" i="10"/>
  <c r="BY30" i="10"/>
  <c r="BY32" i="10"/>
  <c r="BY34" i="10"/>
  <c r="BY36" i="10"/>
  <c r="BY38" i="10"/>
  <c r="BY40" i="10"/>
  <c r="BY42" i="10"/>
  <c r="BY44" i="10"/>
  <c r="BY46" i="10"/>
  <c r="BY196" i="10"/>
  <c r="BY192" i="10"/>
  <c r="BY188" i="10"/>
  <c r="BY184" i="10"/>
  <c r="BY180" i="10"/>
  <c r="BY176" i="10"/>
  <c r="BY172" i="10"/>
  <c r="BY168" i="10"/>
  <c r="BY164" i="10"/>
  <c r="BY161" i="10"/>
  <c r="BY157" i="10"/>
  <c r="BY153" i="10"/>
  <c r="BY149" i="10"/>
  <c r="BY145" i="10"/>
  <c r="BY141" i="10"/>
  <c r="BY137" i="10"/>
  <c r="BY133" i="10"/>
  <c r="BY129" i="10"/>
  <c r="BY125" i="10"/>
  <c r="BY121" i="10"/>
  <c r="BY117" i="10"/>
  <c r="BY113" i="10"/>
  <c r="BY109" i="10"/>
  <c r="BY105" i="10"/>
  <c r="BY101" i="10"/>
  <c r="BY97" i="10"/>
  <c r="BY93" i="10"/>
  <c r="BY89" i="10"/>
  <c r="BY85" i="10"/>
  <c r="BY81" i="10"/>
  <c r="BY77" i="10"/>
  <c r="BY73" i="10"/>
  <c r="BY69" i="10"/>
  <c r="BY65" i="10"/>
  <c r="BY61" i="10"/>
  <c r="BY57" i="10"/>
  <c r="BY200" i="10"/>
  <c r="BY195" i="10"/>
  <c r="BY191" i="10"/>
  <c r="BY187" i="10"/>
  <c r="BY183" i="10"/>
  <c r="BY179" i="10"/>
  <c r="BY175" i="10"/>
  <c r="BY171" i="10"/>
  <c r="BY167" i="10"/>
  <c r="BY163" i="10"/>
  <c r="BY160" i="10"/>
  <c r="BY156" i="10"/>
  <c r="BY152" i="10"/>
  <c r="BY148" i="10"/>
  <c r="BY144" i="10"/>
  <c r="BY140" i="10"/>
  <c r="BY136" i="10"/>
  <c r="BY132" i="10"/>
  <c r="BY128" i="10"/>
  <c r="BY124" i="10"/>
  <c r="BY120" i="10"/>
  <c r="BY116" i="10"/>
  <c r="BY112" i="10"/>
  <c r="BY108" i="10"/>
  <c r="BY104" i="10"/>
  <c r="BY100" i="10"/>
  <c r="BY96" i="10"/>
  <c r="BY92" i="10"/>
  <c r="BY88" i="10"/>
  <c r="BY84" i="10"/>
  <c r="BY80" i="10"/>
  <c r="BY76" i="10"/>
  <c r="BY72" i="10"/>
  <c r="BY68" i="10"/>
  <c r="BY64" i="10"/>
  <c r="BY60" i="10"/>
  <c r="BY56" i="10"/>
  <c r="BY199" i="10"/>
  <c r="BY194" i="10"/>
  <c r="BY190" i="10"/>
  <c r="BY186" i="10"/>
  <c r="BY182" i="10"/>
  <c r="BY178" i="10"/>
  <c r="BY174" i="10"/>
  <c r="BY170" i="10"/>
  <c r="BY166" i="10"/>
  <c r="BY198" i="10"/>
  <c r="BY159" i="10"/>
  <c r="BY155" i="10"/>
  <c r="BY151" i="10"/>
  <c r="BY147" i="10"/>
  <c r="BY143" i="10"/>
  <c r="BY139" i="10"/>
  <c r="BY135" i="10"/>
  <c r="BY131" i="10"/>
  <c r="BY127" i="10"/>
  <c r="BY123" i="10"/>
  <c r="BY119" i="10"/>
  <c r="BY115" i="10"/>
  <c r="BY111" i="10"/>
  <c r="BY107" i="10"/>
  <c r="BY103" i="10"/>
  <c r="BY99" i="10"/>
  <c r="BY95" i="10"/>
  <c r="BY91" i="10"/>
  <c r="BY87" i="10"/>
  <c r="BY83" i="10"/>
  <c r="BY79" i="10"/>
  <c r="BY75" i="10"/>
  <c r="BY71" i="10"/>
  <c r="BY67" i="10"/>
  <c r="BY63" i="10"/>
  <c r="BY59" i="10"/>
  <c r="BY55" i="10"/>
  <c r="BY197" i="10"/>
  <c r="BY193" i="10"/>
  <c r="BY189" i="10"/>
  <c r="BY185" i="10"/>
  <c r="BY181" i="10"/>
  <c r="BY177" i="10"/>
  <c r="BY173" i="10"/>
  <c r="BY169" i="10"/>
  <c r="BY165" i="10"/>
  <c r="BY162" i="10"/>
  <c r="BY158" i="10"/>
  <c r="BY154" i="10"/>
  <c r="BY150" i="10"/>
  <c r="BY146" i="10"/>
  <c r="BY142" i="10"/>
  <c r="BY138" i="10"/>
  <c r="BY134" i="10"/>
  <c r="BY130" i="10"/>
  <c r="BY126" i="10"/>
  <c r="BY122" i="10"/>
  <c r="BY118" i="10"/>
  <c r="BY114" i="10"/>
  <c r="BY110" i="10"/>
  <c r="BY106" i="10"/>
  <c r="BY102" i="10"/>
  <c r="BY98" i="10"/>
  <c r="BY94" i="10"/>
  <c r="BY90" i="10"/>
  <c r="BY86" i="10"/>
  <c r="BY82" i="10"/>
  <c r="BY78" i="10"/>
  <c r="BY74" i="10"/>
  <c r="BY70" i="10"/>
  <c r="BY66" i="10"/>
  <c r="BY62" i="10"/>
  <c r="BY58" i="10"/>
  <c r="BY54" i="10"/>
  <c r="BY52" i="10"/>
  <c r="BY50" i="10"/>
  <c r="BA194" i="10"/>
  <c r="BA188" i="10"/>
  <c r="CW188" i="10" s="1"/>
  <c r="BA184" i="10"/>
  <c r="CW184" i="10" s="1"/>
  <c r="BA180" i="10"/>
  <c r="CW180" i="10" s="1"/>
  <c r="BA176" i="10"/>
  <c r="CW176" i="10" s="1"/>
  <c r="BA172" i="10"/>
  <c r="CW172" i="10" s="1"/>
  <c r="BA168" i="10"/>
  <c r="CW168" i="10" s="1"/>
  <c r="BA193" i="10"/>
  <c r="BA191" i="10"/>
  <c r="CW191" i="10" s="1"/>
  <c r="BA161" i="10"/>
  <c r="BA157" i="10"/>
  <c r="CW157" i="10" s="1"/>
  <c r="BA153" i="10"/>
  <c r="CW153" i="10" s="1"/>
  <c r="BA149" i="10"/>
  <c r="CW149" i="10" s="1"/>
  <c r="BA141" i="10"/>
  <c r="CW141" i="10" s="1"/>
  <c r="BA133" i="10"/>
  <c r="CW133" i="10" s="1"/>
  <c r="BA142" i="10"/>
  <c r="CW142" i="10" s="1"/>
  <c r="BA134" i="10"/>
  <c r="BA126" i="10"/>
  <c r="BA118" i="10"/>
  <c r="BA114" i="10"/>
  <c r="BA110" i="10"/>
  <c r="BA106" i="10"/>
  <c r="BA102" i="10"/>
  <c r="BA98" i="10"/>
  <c r="BA94" i="10"/>
  <c r="BA90" i="10"/>
  <c r="BA86" i="10"/>
  <c r="BA82" i="10"/>
  <c r="BA78" i="10"/>
  <c r="BA74" i="10"/>
  <c r="BA70" i="10"/>
  <c r="BA66" i="10"/>
  <c r="BA62" i="10"/>
  <c r="BA58" i="10"/>
  <c r="BA54" i="10"/>
  <c r="BA50" i="10"/>
  <c r="CW50" i="10" s="1"/>
  <c r="BA46" i="10"/>
  <c r="CW46" i="10" s="1"/>
  <c r="BA42" i="10"/>
  <c r="BA131" i="10"/>
  <c r="BA129" i="10"/>
  <c r="BA8" i="10"/>
  <c r="CW8" i="10" s="1"/>
  <c r="BY49" i="10"/>
  <c r="BA200" i="10"/>
  <c r="CW200" i="10" s="1"/>
  <c r="BA192" i="10"/>
  <c r="BA187" i="10"/>
  <c r="CW187" i="10" s="1"/>
  <c r="BA183" i="10"/>
  <c r="CW183" i="10" s="1"/>
  <c r="BA179" i="10"/>
  <c r="BA175" i="10"/>
  <c r="CW175" i="10" s="1"/>
  <c r="BA171" i="10"/>
  <c r="CW171" i="10" s="1"/>
  <c r="BA167" i="10"/>
  <c r="CW167" i="10" s="1"/>
  <c r="BA195" i="10"/>
  <c r="BA164" i="10"/>
  <c r="CW164" i="10" s="1"/>
  <c r="BA160" i="10"/>
  <c r="CW160" i="10" s="1"/>
  <c r="BA156" i="10"/>
  <c r="CW156" i="10" s="1"/>
  <c r="BA152" i="10"/>
  <c r="CW152" i="10" s="1"/>
  <c r="BA147" i="10"/>
  <c r="CW147" i="10" s="1"/>
  <c r="BA139" i="10"/>
  <c r="CW139" i="10" s="1"/>
  <c r="BA148" i="10"/>
  <c r="BA140" i="10"/>
  <c r="CW140" i="10" s="1"/>
  <c r="BA132" i="10"/>
  <c r="BA124" i="10"/>
  <c r="CW124" i="10" s="1"/>
  <c r="BA117" i="10"/>
  <c r="CW117" i="10" s="1"/>
  <c r="BA113" i="10"/>
  <c r="BA109" i="10"/>
  <c r="CW109" i="10" s="1"/>
  <c r="BA105" i="10"/>
  <c r="CW105" i="10" s="1"/>
  <c r="BA101" i="10"/>
  <c r="CW101" i="10" s="1"/>
  <c r="BA97" i="10"/>
  <c r="BA93" i="10"/>
  <c r="CW93" i="10" s="1"/>
  <c r="BA89" i="10"/>
  <c r="CW89" i="10" s="1"/>
  <c r="BA85" i="10"/>
  <c r="CW85" i="10" s="1"/>
  <c r="BA81" i="10"/>
  <c r="BA77" i="10"/>
  <c r="CW77" i="10" s="1"/>
  <c r="BA73" i="10"/>
  <c r="CW73" i="10" s="1"/>
  <c r="BA69" i="10"/>
  <c r="CW69" i="10" s="1"/>
  <c r="BA65" i="10"/>
  <c r="BA61" i="10"/>
  <c r="CW61" i="10" s="1"/>
  <c r="BA57" i="10"/>
  <c r="CW57" i="10" s="1"/>
  <c r="BA53" i="10"/>
  <c r="CW53" i="10" s="1"/>
  <c r="BA49" i="10"/>
  <c r="BA45" i="10"/>
  <c r="CW45" i="10" s="1"/>
  <c r="BA41" i="10"/>
  <c r="CW41" i="10" s="1"/>
  <c r="BA127" i="10"/>
  <c r="CW127" i="10" s="1"/>
  <c r="BA125" i="10"/>
  <c r="CW125" i="10" s="1"/>
  <c r="BY48" i="10"/>
  <c r="BA198" i="10"/>
  <c r="CW198" i="10" s="1"/>
  <c r="BA190" i="10"/>
  <c r="CW190" i="10" s="1"/>
  <c r="BA186" i="10"/>
  <c r="CW186" i="10" s="1"/>
  <c r="BA182" i="10"/>
  <c r="BA178" i="10"/>
  <c r="CW178" i="10" s="1"/>
  <c r="BA174" i="10"/>
  <c r="CW174" i="10" s="1"/>
  <c r="BA170" i="10"/>
  <c r="CW170" i="10" s="1"/>
  <c r="BA166" i="10"/>
  <c r="BA197" i="10"/>
  <c r="CW197" i="10" s="1"/>
  <c r="BA163" i="10"/>
  <c r="BA159" i="10"/>
  <c r="CW159" i="10" s="1"/>
  <c r="BA155" i="10"/>
  <c r="CW155" i="10" s="1"/>
  <c r="BA151" i="10"/>
  <c r="CW151" i="10" s="1"/>
  <c r="BA145" i="10"/>
  <c r="BA137" i="10"/>
  <c r="CW137" i="10" s="1"/>
  <c r="BA146" i="10"/>
  <c r="CW146" i="10" s="1"/>
  <c r="BA138" i="10"/>
  <c r="CW138" i="10" s="1"/>
  <c r="BA130" i="10"/>
  <c r="CW130" i="10" s="1"/>
  <c r="BA122" i="10"/>
  <c r="BA116" i="10"/>
  <c r="BA112" i="10"/>
  <c r="CW112" i="10" s="1"/>
  <c r="BA108" i="10"/>
  <c r="CW108" i="10" s="1"/>
  <c r="BA104" i="10"/>
  <c r="CW104" i="10" s="1"/>
  <c r="BA100" i="10"/>
  <c r="BA96" i="10"/>
  <c r="CW96" i="10" s="1"/>
  <c r="BA92" i="10"/>
  <c r="CW92" i="10" s="1"/>
  <c r="BA88" i="10"/>
  <c r="CW88" i="10" s="1"/>
  <c r="BA84" i="10"/>
  <c r="BA80" i="10"/>
  <c r="CW80" i="10" s="1"/>
  <c r="BA76" i="10"/>
  <c r="CW76" i="10" s="1"/>
  <c r="BA72" i="10"/>
  <c r="CW72" i="10" s="1"/>
  <c r="BA68" i="10"/>
  <c r="BA64" i="10"/>
  <c r="CW64" i="10" s="1"/>
  <c r="BA60" i="10"/>
  <c r="CW60" i="10" s="1"/>
  <c r="BA56" i="10"/>
  <c r="CW56" i="10" s="1"/>
  <c r="BA52" i="10"/>
  <c r="CW52" i="10" s="1"/>
  <c r="BA48" i="10"/>
  <c r="BA44" i="10"/>
  <c r="CW44" i="10" s="1"/>
  <c r="BA40" i="10"/>
  <c r="CW40" i="10" s="1"/>
  <c r="BA123" i="10"/>
  <c r="CW123" i="10" s="1"/>
  <c r="BA121" i="10"/>
  <c r="CW121" i="10" s="1"/>
  <c r="BY51" i="10"/>
  <c r="BA196" i="10"/>
  <c r="CW196" i="10" s="1"/>
  <c r="BA189" i="10"/>
  <c r="CW189" i="10" s="1"/>
  <c r="BA185" i="10"/>
  <c r="CW185" i="10" s="1"/>
  <c r="BA181" i="10"/>
  <c r="CW181" i="10" s="1"/>
  <c r="BA177" i="10"/>
  <c r="CW177" i="10" s="1"/>
  <c r="BA173" i="10"/>
  <c r="CW173" i="10" s="1"/>
  <c r="BA169" i="10"/>
  <c r="CW169" i="10" s="1"/>
  <c r="BA165" i="10"/>
  <c r="CW165" i="10" s="1"/>
  <c r="BA199" i="10"/>
  <c r="BA162" i="10"/>
  <c r="CW162" i="10" s="1"/>
  <c r="BA158" i="10"/>
  <c r="CW158" i="10" s="1"/>
  <c r="BA154" i="10"/>
  <c r="BA150" i="10"/>
  <c r="CW150" i="10" s="1"/>
  <c r="BA143" i="10"/>
  <c r="CW143" i="10" s="1"/>
  <c r="BA135" i="10"/>
  <c r="CW135" i="10" s="1"/>
  <c r="BA144" i="10"/>
  <c r="CW144" i="10" s="1"/>
  <c r="BA136" i="10"/>
  <c r="CW136" i="10" s="1"/>
  <c r="BA128" i="10"/>
  <c r="CW128" i="10" s="1"/>
  <c r="BA120" i="10"/>
  <c r="CW120" i="10" s="1"/>
  <c r="BA115" i="10"/>
  <c r="CW115" i="10" s="1"/>
  <c r="BA111" i="10"/>
  <c r="CW111" i="10" s="1"/>
  <c r="BA107" i="10"/>
  <c r="CW107" i="10" s="1"/>
  <c r="BA103" i="10"/>
  <c r="CW103" i="10" s="1"/>
  <c r="BA99" i="10"/>
  <c r="CW99" i="10" s="1"/>
  <c r="BA95" i="10"/>
  <c r="CW95" i="10" s="1"/>
  <c r="BA91" i="10"/>
  <c r="CW91" i="10" s="1"/>
  <c r="BA87" i="10"/>
  <c r="CW87" i="10" s="1"/>
  <c r="BA83" i="10"/>
  <c r="CW83" i="10" s="1"/>
  <c r="BA79" i="10"/>
  <c r="CW79" i="10" s="1"/>
  <c r="BA75" i="10"/>
  <c r="CW75" i="10" s="1"/>
  <c r="BA71" i="10"/>
  <c r="CW71" i="10" s="1"/>
  <c r="BA67" i="10"/>
  <c r="CW67" i="10" s="1"/>
  <c r="BA63" i="10"/>
  <c r="CW63" i="10" s="1"/>
  <c r="BA59" i="10"/>
  <c r="CW59" i="10" s="1"/>
  <c r="BA55" i="10"/>
  <c r="CW55" i="10" s="1"/>
  <c r="BA51" i="10"/>
  <c r="CW51" i="10" s="1"/>
  <c r="BA47" i="10"/>
  <c r="BA43" i="10"/>
  <c r="CW43" i="10" s="1"/>
  <c r="BA39" i="10"/>
  <c r="CW39" i="10" s="1"/>
  <c r="BA119" i="10"/>
  <c r="BA15" i="10"/>
  <c r="CW15" i="10" s="1"/>
  <c r="BA29" i="10"/>
  <c r="CW29" i="10" s="1"/>
  <c r="BA37" i="10"/>
  <c r="CW37" i="10" s="1"/>
  <c r="BA9" i="10"/>
  <c r="BA17" i="10"/>
  <c r="BA23" i="10"/>
  <c r="CW23" i="10" s="1"/>
  <c r="BA31" i="10"/>
  <c r="CW31" i="10" s="1"/>
  <c r="BA11" i="10"/>
  <c r="CW11" i="10" s="1"/>
  <c r="BA19" i="10"/>
  <c r="CW19" i="10" s="1"/>
  <c r="BA25" i="10"/>
  <c r="BA33" i="10"/>
  <c r="CW33" i="10" s="1"/>
  <c r="BA13" i="10"/>
  <c r="CW13" i="10" s="1"/>
  <c r="BA21" i="10"/>
  <c r="CW21" i="10" s="1"/>
  <c r="BA27" i="10"/>
  <c r="CW27" i="10" s="1"/>
  <c r="BA35" i="10"/>
  <c r="CW35" i="10" s="1"/>
  <c r="BA7" i="10"/>
  <c r="CW7" i="10" s="1"/>
  <c r="BA6" i="10"/>
  <c r="CW6" i="10" s="1"/>
  <c r="BA12" i="10"/>
  <c r="CW12" i="10" s="1"/>
  <c r="BA20" i="10"/>
  <c r="CW20" i="10" s="1"/>
  <c r="BA26" i="10"/>
  <c r="BA32" i="10"/>
  <c r="CW32" i="10" s="1"/>
  <c r="BA38" i="10"/>
  <c r="CW38" i="10" s="1"/>
  <c r="BA22" i="10"/>
  <c r="CW22" i="10" s="1"/>
  <c r="BA34" i="10"/>
  <c r="BA10" i="10"/>
  <c r="BA14" i="10"/>
  <c r="CW14" i="10" s="1"/>
  <c r="BA16" i="10"/>
  <c r="CW16" i="10" s="1"/>
  <c r="BA18" i="10"/>
  <c r="BA24" i="10"/>
  <c r="CW24" i="10" s="1"/>
  <c r="BA28" i="10"/>
  <c r="CW28" i="10" s="1"/>
  <c r="BA30" i="10"/>
  <c r="CW30" i="10" s="1"/>
  <c r="BA36" i="10"/>
  <c r="CW36" i="10" s="1"/>
  <c r="CV36" i="10"/>
  <c r="CV38" i="10"/>
  <c r="CV32" i="10"/>
  <c r="CV37" i="10"/>
  <c r="U13" i="4"/>
  <c r="AD4" i="10"/>
  <c r="CX4" i="10"/>
  <c r="BZ4" i="10"/>
  <c r="BB4" i="10"/>
  <c r="CV26" i="10"/>
  <c r="CV28" i="10"/>
  <c r="CV34" i="10"/>
  <c r="S120" i="4"/>
  <c r="S130" i="4"/>
  <c r="S24" i="4"/>
  <c r="S141" i="4"/>
  <c r="S119" i="4"/>
  <c r="S10" i="4"/>
  <c r="S142" i="4"/>
  <c r="S23" i="4"/>
  <c r="S108" i="4"/>
  <c r="S140" i="4"/>
  <c r="S118" i="4"/>
  <c r="S22" i="4"/>
  <c r="S131" i="4"/>
  <c r="S109" i="4"/>
  <c r="S11" i="4"/>
  <c r="S17" i="4"/>
  <c r="S113" i="4"/>
  <c r="S135" i="4"/>
  <c r="S134" i="4"/>
  <c r="S16" i="4"/>
  <c r="S112" i="4"/>
  <c r="CV18" i="10"/>
  <c r="CV20" i="10"/>
  <c r="CV24" i="10"/>
  <c r="AC199" i="10"/>
  <c r="AC194" i="10"/>
  <c r="AC164" i="10"/>
  <c r="AC156" i="10"/>
  <c r="AC148" i="10"/>
  <c r="AC140" i="10"/>
  <c r="AC195" i="10"/>
  <c r="AC187" i="10"/>
  <c r="AC183" i="10"/>
  <c r="AC179" i="10"/>
  <c r="AC175" i="10"/>
  <c r="AC171" i="10"/>
  <c r="AC167" i="10"/>
  <c r="AC161" i="10"/>
  <c r="AC133" i="10"/>
  <c r="AC129" i="10"/>
  <c r="AC125" i="10"/>
  <c r="AC121" i="10"/>
  <c r="AC117" i="10"/>
  <c r="AC113" i="10"/>
  <c r="AC109" i="10"/>
  <c r="AC105" i="10"/>
  <c r="AC101" i="10"/>
  <c r="AC97" i="10"/>
  <c r="AC93" i="10"/>
  <c r="AC89" i="10"/>
  <c r="AC85" i="10"/>
  <c r="AC81" i="10"/>
  <c r="AC77" i="10"/>
  <c r="AC147" i="10"/>
  <c r="AC145" i="10"/>
  <c r="AC135" i="10"/>
  <c r="AC44" i="10"/>
  <c r="AC40" i="10"/>
  <c r="AC36" i="10"/>
  <c r="AC32" i="10"/>
  <c r="AC28" i="10"/>
  <c r="AC24" i="10"/>
  <c r="AC20" i="10"/>
  <c r="AC69" i="10"/>
  <c r="AC61" i="10"/>
  <c r="AC53" i="10"/>
  <c r="AC72" i="10"/>
  <c r="AC64" i="10"/>
  <c r="AC56" i="10"/>
  <c r="AC48" i="10"/>
  <c r="AC198" i="10"/>
  <c r="AC192" i="10"/>
  <c r="AC162" i="10"/>
  <c r="AC154" i="10"/>
  <c r="AC146" i="10"/>
  <c r="AC138" i="10"/>
  <c r="AC193" i="10"/>
  <c r="AC186" i="10"/>
  <c r="AC182" i="10"/>
  <c r="AC178" i="10"/>
  <c r="AC174" i="10"/>
  <c r="AC170" i="10"/>
  <c r="AC166" i="10"/>
  <c r="AC159" i="10"/>
  <c r="AC132" i="10"/>
  <c r="AC128" i="10"/>
  <c r="AC124" i="10"/>
  <c r="AC120" i="10"/>
  <c r="AC116" i="10"/>
  <c r="AC112" i="10"/>
  <c r="AC108" i="10"/>
  <c r="AC197" i="10"/>
  <c r="AC190" i="10"/>
  <c r="AC160" i="10"/>
  <c r="AC152" i="10"/>
  <c r="AC144" i="10"/>
  <c r="AC136" i="10"/>
  <c r="AC191" i="10"/>
  <c r="AC185" i="10"/>
  <c r="AC181" i="10"/>
  <c r="AC177" i="10"/>
  <c r="AC173" i="10"/>
  <c r="AC169" i="10"/>
  <c r="AC165" i="10"/>
  <c r="AC157" i="10"/>
  <c r="AC131" i="10"/>
  <c r="AC127" i="10"/>
  <c r="AC123" i="10"/>
  <c r="AC119" i="10"/>
  <c r="AC115" i="10"/>
  <c r="AC111" i="10"/>
  <c r="AC107" i="10"/>
  <c r="AC103" i="10"/>
  <c r="AC99" i="10"/>
  <c r="AC200" i="10"/>
  <c r="AC196" i="10"/>
  <c r="AC188" i="10"/>
  <c r="AC158" i="10"/>
  <c r="AC150" i="10"/>
  <c r="AC142" i="10"/>
  <c r="AC134" i="10"/>
  <c r="AC189" i="10"/>
  <c r="AC184" i="10"/>
  <c r="AC180" i="10"/>
  <c r="AC176" i="10"/>
  <c r="AC172" i="10"/>
  <c r="AC168" i="10"/>
  <c r="AC163" i="10"/>
  <c r="AC155" i="10"/>
  <c r="AC130" i="10"/>
  <c r="AC126" i="10"/>
  <c r="AC122" i="10"/>
  <c r="AC118" i="10"/>
  <c r="AC114" i="10"/>
  <c r="AC110" i="10"/>
  <c r="AC106" i="10"/>
  <c r="AC102" i="10"/>
  <c r="AC98" i="10"/>
  <c r="AC94" i="10"/>
  <c r="AC90" i="10"/>
  <c r="AC86" i="10"/>
  <c r="AC82" i="10"/>
  <c r="AC78" i="10"/>
  <c r="AC149" i="10"/>
  <c r="AC153" i="10"/>
  <c r="AC139" i="10"/>
  <c r="AC45" i="10"/>
  <c r="AC41" i="10"/>
  <c r="AC37" i="10"/>
  <c r="AC33" i="10"/>
  <c r="AC29" i="10"/>
  <c r="AC25" i="10"/>
  <c r="AC21" i="10"/>
  <c r="AC71" i="10"/>
  <c r="AC63" i="10"/>
  <c r="AC55" i="10"/>
  <c r="AC74" i="10"/>
  <c r="AC66" i="10"/>
  <c r="AC58" i="10"/>
  <c r="AC50" i="10"/>
  <c r="AC6" i="10"/>
  <c r="AC11" i="10"/>
  <c r="AC104" i="10"/>
  <c r="AC92" i="10"/>
  <c r="AC84" i="10"/>
  <c r="AC76" i="10"/>
  <c r="AC151" i="10"/>
  <c r="AC43" i="10"/>
  <c r="AC35" i="10"/>
  <c r="AC27" i="10"/>
  <c r="AC19" i="10"/>
  <c r="AC59" i="10"/>
  <c r="AC70" i="10"/>
  <c r="AC54" i="10"/>
  <c r="AC10" i="10"/>
  <c r="AC12" i="10"/>
  <c r="AC14" i="10"/>
  <c r="AC100" i="10"/>
  <c r="AC91" i="10"/>
  <c r="AC83" i="10"/>
  <c r="AC75" i="10"/>
  <c r="AC143" i="10"/>
  <c r="AC42" i="10"/>
  <c r="AC34" i="10"/>
  <c r="AC26" i="10"/>
  <c r="AC73" i="10"/>
  <c r="AC57" i="10"/>
  <c r="AC68" i="10"/>
  <c r="AC52" i="10"/>
  <c r="AC96" i="10"/>
  <c r="AC88" i="10"/>
  <c r="AC80" i="10"/>
  <c r="AC141" i="10"/>
  <c r="AC47" i="10"/>
  <c r="AC39" i="10"/>
  <c r="AC31" i="10"/>
  <c r="AC23" i="10"/>
  <c r="AC67" i="10"/>
  <c r="AC51" i="10"/>
  <c r="AC62" i="10"/>
  <c r="AC95" i="10"/>
  <c r="AC46" i="10"/>
  <c r="AC65" i="10"/>
  <c r="AC7" i="10"/>
  <c r="AC15" i="10"/>
  <c r="AC16" i="10"/>
  <c r="AC17" i="10"/>
  <c r="AC87" i="10"/>
  <c r="AC38" i="10"/>
  <c r="AC49" i="10"/>
  <c r="AC22" i="10"/>
  <c r="AC18" i="10"/>
  <c r="AC8" i="10"/>
  <c r="AC79" i="10"/>
  <c r="AC30" i="10"/>
  <c r="AC60" i="10"/>
  <c r="AC9" i="10"/>
  <c r="AC137" i="10"/>
  <c r="AC13" i="10"/>
  <c r="CV12" i="10"/>
  <c r="CV16" i="10"/>
  <c r="R18" i="4"/>
  <c r="R143" i="4"/>
  <c r="R121" i="4"/>
  <c r="R25" i="4"/>
  <c r="U5" i="4"/>
  <c r="R144" i="4"/>
  <c r="U12" i="4"/>
  <c r="R27" i="4"/>
  <c r="R122" i="4"/>
  <c r="R145" i="4"/>
  <c r="R26" i="4"/>
  <c r="R123" i="4"/>
  <c r="W4" i="28"/>
  <c r="X4" i="28"/>
  <c r="U3" i="28"/>
  <c r="Q136" i="4"/>
  <c r="Q114" i="4"/>
  <c r="V7" i="4"/>
  <c r="V128" i="4"/>
  <c r="V127" i="4" s="1"/>
  <c r="V106" i="4"/>
  <c r="V105" i="4" s="1"/>
  <c r="U3" i="4"/>
  <c r="U4" i="4"/>
  <c r="K14" i="11"/>
  <c r="L13" i="11"/>
  <c r="CW126" i="10" l="1"/>
  <c r="CW48" i="10"/>
  <c r="CW62" i="10"/>
  <c r="CW78" i="10"/>
  <c r="CW94" i="10"/>
  <c r="CW110" i="10"/>
  <c r="CW134" i="10"/>
  <c r="CW194" i="10"/>
  <c r="CW49" i="10"/>
  <c r="CW131" i="10"/>
  <c r="CW54" i="10"/>
  <c r="CW70" i="10"/>
  <c r="CW86" i="10"/>
  <c r="CW102" i="10"/>
  <c r="CW118" i="10"/>
  <c r="CW25" i="10"/>
  <c r="CW68" i="10"/>
  <c r="CW84" i="10"/>
  <c r="CW100" i="10"/>
  <c r="CW116" i="10"/>
  <c r="CW166" i="10"/>
  <c r="CW182" i="10"/>
  <c r="CW132" i="10"/>
  <c r="CW192" i="10"/>
  <c r="CW129" i="10"/>
  <c r="CW10" i="10"/>
  <c r="CW17" i="10"/>
  <c r="CW47" i="10"/>
  <c r="CW199" i="10"/>
  <c r="CW122" i="10"/>
  <c r="CW65" i="10"/>
  <c r="CW81" i="10"/>
  <c r="CW97" i="10"/>
  <c r="CW113" i="10"/>
  <c r="CW195" i="10"/>
  <c r="CW179" i="10"/>
  <c r="CW18" i="10"/>
  <c r="CW34" i="10"/>
  <c r="CW26" i="10"/>
  <c r="CW9" i="10"/>
  <c r="CW119" i="10"/>
  <c r="CW154" i="10"/>
  <c r="CW145" i="10"/>
  <c r="CW163" i="10"/>
  <c r="CW148" i="10"/>
  <c r="CW42" i="10"/>
  <c r="CW58" i="10"/>
  <c r="CW74" i="10"/>
  <c r="CW90" i="10"/>
  <c r="CW106" i="10"/>
  <c r="CW161" i="10"/>
  <c r="V12" i="4"/>
  <c r="CY4" i="10"/>
  <c r="CA4" i="10"/>
  <c r="BC4" i="10"/>
  <c r="V13" i="4"/>
  <c r="AE4" i="10"/>
  <c r="T142" i="4"/>
  <c r="T23" i="4"/>
  <c r="T120" i="4"/>
  <c r="T10" i="4"/>
  <c r="T24" i="4"/>
  <c r="T141" i="4"/>
  <c r="T108" i="4"/>
  <c r="T119" i="4"/>
  <c r="T130" i="4"/>
  <c r="T140" i="4"/>
  <c r="T22" i="4"/>
  <c r="T118" i="4"/>
  <c r="AD198" i="10"/>
  <c r="AD194" i="10"/>
  <c r="AD190" i="10"/>
  <c r="AD186" i="10"/>
  <c r="AD182" i="10"/>
  <c r="AD178" i="10"/>
  <c r="AD174" i="10"/>
  <c r="AD170" i="10"/>
  <c r="AD166" i="10"/>
  <c r="AD159" i="10"/>
  <c r="AD151" i="10"/>
  <c r="AD164" i="10"/>
  <c r="AD156" i="10"/>
  <c r="AD148" i="10"/>
  <c r="AD140" i="10"/>
  <c r="AD141" i="10"/>
  <c r="AD109" i="10"/>
  <c r="AD101" i="10"/>
  <c r="AD93" i="10"/>
  <c r="AD85" i="10"/>
  <c r="AD112" i="10"/>
  <c r="AD104" i="10"/>
  <c r="AD133" i="10"/>
  <c r="AD129" i="10"/>
  <c r="AD125" i="10"/>
  <c r="AD121" i="10"/>
  <c r="AD117" i="10"/>
  <c r="AD94" i="10"/>
  <c r="AD77" i="10"/>
  <c r="AD67" i="10"/>
  <c r="AD59" i="10"/>
  <c r="AD51" i="10"/>
  <c r="AD92" i="10"/>
  <c r="AD76" i="10"/>
  <c r="AD68" i="10"/>
  <c r="AD60" i="10"/>
  <c r="AD52" i="10"/>
  <c r="AD83" i="10"/>
  <c r="AD46" i="10"/>
  <c r="AD42" i="10"/>
  <c r="AD38" i="10"/>
  <c r="AD34" i="10"/>
  <c r="AD30" i="10"/>
  <c r="AD26" i="10"/>
  <c r="AD22" i="10"/>
  <c r="AD199" i="10"/>
  <c r="AD195" i="10"/>
  <c r="AD191" i="10"/>
  <c r="AD187" i="10"/>
  <c r="AD183" i="10"/>
  <c r="AD179" i="10"/>
  <c r="AD175" i="10"/>
  <c r="AD171" i="10"/>
  <c r="AD167" i="10"/>
  <c r="AD161" i="10"/>
  <c r="AD153" i="10"/>
  <c r="AD145" i="10"/>
  <c r="AD158" i="10"/>
  <c r="AD150" i="10"/>
  <c r="AD142" i="10"/>
  <c r="AD134" i="10"/>
  <c r="AD111" i="10"/>
  <c r="AD103" i="10"/>
  <c r="AD95" i="10"/>
  <c r="AD87" i="10"/>
  <c r="AD135" i="10"/>
  <c r="AD106" i="10"/>
  <c r="AD98" i="10"/>
  <c r="AD130" i="10"/>
  <c r="AD126" i="10"/>
  <c r="AD122" i="10"/>
  <c r="AD118" i="10"/>
  <c r="AD114" i="10"/>
  <c r="AD80" i="10"/>
  <c r="AD69" i="10"/>
  <c r="AD61" i="10"/>
  <c r="AD53" i="10"/>
  <c r="AD79" i="10"/>
  <c r="AD81" i="10"/>
  <c r="AD70" i="10"/>
  <c r="AD62" i="10"/>
  <c r="AD54" i="10"/>
  <c r="AD96" i="10"/>
  <c r="AD47" i="10"/>
  <c r="AD43" i="10"/>
  <c r="AD39" i="10"/>
  <c r="AD35" i="10"/>
  <c r="AD31" i="10"/>
  <c r="AD27" i="10"/>
  <c r="AD23" i="10"/>
  <c r="AD19" i="10"/>
  <c r="AD11" i="10"/>
  <c r="AD193" i="10"/>
  <c r="AD185" i="10"/>
  <c r="AD177" i="10"/>
  <c r="AD169" i="10"/>
  <c r="AD157" i="10"/>
  <c r="AD162" i="10"/>
  <c r="AD146" i="10"/>
  <c r="AD137" i="10"/>
  <c r="AD99" i="10"/>
  <c r="AD143" i="10"/>
  <c r="AD102" i="10"/>
  <c r="AD128" i="10"/>
  <c r="AD120" i="10"/>
  <c r="AD90" i="10"/>
  <c r="AD65" i="10"/>
  <c r="AD49" i="10"/>
  <c r="AD74" i="10"/>
  <c r="AD58" i="10"/>
  <c r="AD78" i="10"/>
  <c r="AD41" i="10"/>
  <c r="AD33" i="10"/>
  <c r="AD25" i="10"/>
  <c r="AD16" i="10"/>
  <c r="AD18" i="10"/>
  <c r="AD200" i="10"/>
  <c r="AD192" i="10"/>
  <c r="AD184" i="10"/>
  <c r="AD176" i="10"/>
  <c r="AD168" i="10"/>
  <c r="AD155" i="10"/>
  <c r="AD160" i="10"/>
  <c r="AD144" i="10"/>
  <c r="AD113" i="10"/>
  <c r="AD97" i="10"/>
  <c r="AD139" i="10"/>
  <c r="AD100" i="10"/>
  <c r="AD127" i="10"/>
  <c r="AD119" i="10"/>
  <c r="AD86" i="10"/>
  <c r="AD63" i="10"/>
  <c r="AD82" i="10"/>
  <c r="AD72" i="10"/>
  <c r="AD56" i="10"/>
  <c r="AD75" i="10"/>
  <c r="AD40" i="10"/>
  <c r="AD32" i="10"/>
  <c r="AD24" i="10"/>
  <c r="AD7" i="10"/>
  <c r="AD13" i="10"/>
  <c r="AD197" i="10"/>
  <c r="AD189" i="10"/>
  <c r="AD181" i="10"/>
  <c r="AD173" i="10"/>
  <c r="AD165" i="10"/>
  <c r="AD149" i="10"/>
  <c r="AD154" i="10"/>
  <c r="AD138" i="10"/>
  <c r="AD107" i="10"/>
  <c r="AD91" i="10"/>
  <c r="AD110" i="10"/>
  <c r="AD132" i="10"/>
  <c r="AD124" i="10"/>
  <c r="AD116" i="10"/>
  <c r="AD73" i="10"/>
  <c r="AD57" i="10"/>
  <c r="AD88" i="10"/>
  <c r="AD66" i="10"/>
  <c r="AD50" i="10"/>
  <c r="AD45" i="10"/>
  <c r="AD37" i="10"/>
  <c r="AD29" i="10"/>
  <c r="AD21" i="10"/>
  <c r="AD6" i="10"/>
  <c r="AD9" i="10"/>
  <c r="AD12" i="10"/>
  <c r="AD17" i="10"/>
  <c r="AD180" i="10"/>
  <c r="AD152" i="10"/>
  <c r="AD108" i="10"/>
  <c r="AD71" i="10"/>
  <c r="AD48" i="10"/>
  <c r="AD20" i="10"/>
  <c r="AD172" i="10"/>
  <c r="AD136" i="10"/>
  <c r="AD131" i="10"/>
  <c r="AD55" i="10"/>
  <c r="AD44" i="10"/>
  <c r="AD14" i="10"/>
  <c r="AD10" i="10"/>
  <c r="AD196" i="10"/>
  <c r="AD163" i="10"/>
  <c r="AD105" i="10"/>
  <c r="AD123" i="10"/>
  <c r="AD84" i="10"/>
  <c r="AD36" i="10"/>
  <c r="AD8" i="10"/>
  <c r="AD188" i="10"/>
  <c r="AD147" i="10"/>
  <c r="AD89" i="10"/>
  <c r="AD115" i="10"/>
  <c r="AD64" i="10"/>
  <c r="AD28" i="10"/>
  <c r="AD15" i="10"/>
  <c r="CW66" i="10"/>
  <c r="CW82" i="10"/>
  <c r="CW98" i="10"/>
  <c r="CW114" i="10"/>
  <c r="CW193" i="10"/>
  <c r="BZ51" i="10"/>
  <c r="BZ49" i="10"/>
  <c r="BZ48" i="10"/>
  <c r="BZ50" i="10"/>
  <c r="BZ198" i="10"/>
  <c r="BZ190" i="10"/>
  <c r="BZ186" i="10"/>
  <c r="BZ182" i="10"/>
  <c r="BZ178" i="10"/>
  <c r="BZ174" i="10"/>
  <c r="BZ170" i="10"/>
  <c r="BZ166" i="10"/>
  <c r="BZ162" i="10"/>
  <c r="BZ158" i="10"/>
  <c r="BZ193" i="10"/>
  <c r="BZ154" i="10"/>
  <c r="BZ150" i="10"/>
  <c r="BZ146" i="10"/>
  <c r="BB79" i="10"/>
  <c r="BZ197" i="10"/>
  <c r="BZ189" i="10"/>
  <c r="BZ185" i="10"/>
  <c r="BZ199" i="10"/>
  <c r="BZ191" i="10"/>
  <c r="BZ187" i="10"/>
  <c r="BZ183" i="10"/>
  <c r="BZ179" i="10"/>
  <c r="BZ175" i="10"/>
  <c r="BZ171" i="10"/>
  <c r="BZ167" i="10"/>
  <c r="BZ163" i="10"/>
  <c r="BZ159" i="10"/>
  <c r="BZ194" i="10"/>
  <c r="BZ155" i="10"/>
  <c r="BZ151" i="10"/>
  <c r="BZ147" i="10"/>
  <c r="BZ143" i="10"/>
  <c r="BZ139" i="10"/>
  <c r="BZ135" i="10"/>
  <c r="BZ131" i="10"/>
  <c r="BZ127" i="10"/>
  <c r="BZ123" i="10"/>
  <c r="BZ119" i="10"/>
  <c r="BZ115" i="10"/>
  <c r="BZ111" i="10"/>
  <c r="BZ107" i="10"/>
  <c r="BZ103" i="10"/>
  <c r="BZ99" i="10"/>
  <c r="BZ95" i="10"/>
  <c r="BZ91" i="10"/>
  <c r="BZ87" i="10"/>
  <c r="BZ83" i="10"/>
  <c r="BZ79" i="10"/>
  <c r="BZ75" i="10"/>
  <c r="BZ71" i="10"/>
  <c r="BZ67" i="10"/>
  <c r="BZ63" i="10"/>
  <c r="BZ59" i="10"/>
  <c r="BZ55" i="10"/>
  <c r="BZ200" i="10"/>
  <c r="BZ181" i="10"/>
  <c r="BZ173" i="10"/>
  <c r="BZ165" i="10"/>
  <c r="BZ196" i="10"/>
  <c r="BZ153" i="10"/>
  <c r="BZ145" i="10"/>
  <c r="BZ140" i="10"/>
  <c r="BZ134" i="10"/>
  <c r="BZ129" i="10"/>
  <c r="BZ124" i="10"/>
  <c r="BZ118" i="10"/>
  <c r="BZ113" i="10"/>
  <c r="BZ108" i="10"/>
  <c r="BZ102" i="10"/>
  <c r="BZ97" i="10"/>
  <c r="BZ92" i="10"/>
  <c r="BZ86" i="10"/>
  <c r="BZ81" i="10"/>
  <c r="BZ76" i="10"/>
  <c r="BZ70" i="10"/>
  <c r="BZ65" i="10"/>
  <c r="BZ60" i="10"/>
  <c r="BZ54" i="10"/>
  <c r="BZ192" i="10"/>
  <c r="BZ180" i="10"/>
  <c r="BZ172" i="10"/>
  <c r="BZ164" i="10"/>
  <c r="BZ195" i="10"/>
  <c r="BZ152" i="10"/>
  <c r="BZ144" i="10"/>
  <c r="BZ138" i="10"/>
  <c r="BZ133" i="10"/>
  <c r="BZ128" i="10"/>
  <c r="BZ122" i="10"/>
  <c r="BZ117" i="10"/>
  <c r="BZ112" i="10"/>
  <c r="BZ106" i="10"/>
  <c r="BZ101" i="10"/>
  <c r="BZ96" i="10"/>
  <c r="BZ90" i="10"/>
  <c r="BZ85" i="10"/>
  <c r="BZ80" i="10"/>
  <c r="BZ74" i="10"/>
  <c r="BZ69" i="10"/>
  <c r="BZ64" i="10"/>
  <c r="BZ58" i="10"/>
  <c r="BZ53" i="10"/>
  <c r="BZ188" i="10"/>
  <c r="BZ177" i="10"/>
  <c r="BZ169" i="10"/>
  <c r="BZ161" i="10"/>
  <c r="BZ157" i="10"/>
  <c r="BZ149" i="10"/>
  <c r="BZ142" i="10"/>
  <c r="BZ137" i="10"/>
  <c r="BZ132" i="10"/>
  <c r="BZ126" i="10"/>
  <c r="BZ121" i="10"/>
  <c r="BZ116" i="10"/>
  <c r="BZ110" i="10"/>
  <c r="BZ105" i="10"/>
  <c r="BZ100" i="10"/>
  <c r="BZ94" i="10"/>
  <c r="BZ89" i="10"/>
  <c r="BZ84" i="10"/>
  <c r="BZ78" i="10"/>
  <c r="BZ73" i="10"/>
  <c r="BZ68" i="10"/>
  <c r="BZ62" i="10"/>
  <c r="BZ57" i="10"/>
  <c r="BZ52" i="10"/>
  <c r="BZ184" i="10"/>
  <c r="BZ176" i="10"/>
  <c r="BZ168" i="10"/>
  <c r="BZ160" i="10"/>
  <c r="BZ156" i="10"/>
  <c r="BZ148" i="10"/>
  <c r="BZ141" i="10"/>
  <c r="BZ136" i="10"/>
  <c r="BZ130" i="10"/>
  <c r="BZ125" i="10"/>
  <c r="BZ120" i="10"/>
  <c r="BZ114" i="10"/>
  <c r="BZ109" i="10"/>
  <c r="BZ104" i="10"/>
  <c r="BZ98" i="10"/>
  <c r="BZ93" i="10"/>
  <c r="BZ88" i="10"/>
  <c r="BZ82" i="10"/>
  <c r="BZ77" i="10"/>
  <c r="BZ72" i="10"/>
  <c r="BZ66" i="10"/>
  <c r="BZ61" i="10"/>
  <c r="BZ56" i="10"/>
  <c r="BZ8" i="10"/>
  <c r="BZ9" i="10"/>
  <c r="BZ16" i="10"/>
  <c r="BZ17" i="10"/>
  <c r="BZ24" i="10"/>
  <c r="BZ25" i="10"/>
  <c r="BZ28" i="10"/>
  <c r="BZ30" i="10"/>
  <c r="BZ32" i="10"/>
  <c r="BZ34" i="10"/>
  <c r="BZ36" i="10"/>
  <c r="BZ38" i="10"/>
  <c r="BZ40" i="10"/>
  <c r="BZ42" i="10"/>
  <c r="BZ44" i="10"/>
  <c r="BZ46" i="10"/>
  <c r="BZ10" i="10"/>
  <c r="BZ11" i="10"/>
  <c r="BZ18" i="10"/>
  <c r="BZ19" i="10"/>
  <c r="BZ26" i="10"/>
  <c r="BZ12" i="10"/>
  <c r="BZ13" i="10"/>
  <c r="BZ20" i="10"/>
  <c r="BZ21" i="10"/>
  <c r="BZ27" i="10"/>
  <c r="BZ29" i="10"/>
  <c r="BZ31" i="10"/>
  <c r="BZ33" i="10"/>
  <c r="BZ35" i="10"/>
  <c r="BZ37" i="10"/>
  <c r="BZ39" i="10"/>
  <c r="BZ41" i="10"/>
  <c r="BZ43" i="10"/>
  <c r="BZ45" i="10"/>
  <c r="BZ47" i="10"/>
  <c r="BZ6" i="10"/>
  <c r="BZ7" i="10"/>
  <c r="BZ14" i="10"/>
  <c r="BZ15" i="10"/>
  <c r="BZ22" i="10"/>
  <c r="BZ23" i="10"/>
  <c r="BB69" i="10"/>
  <c r="BB73" i="10"/>
  <c r="BB83" i="10"/>
  <c r="BB77" i="10"/>
  <c r="BB71" i="10"/>
  <c r="BB198" i="10"/>
  <c r="CX198" i="10" s="1"/>
  <c r="BB194" i="10"/>
  <c r="BB189" i="10"/>
  <c r="CX189" i="10" s="1"/>
  <c r="BB190" i="10"/>
  <c r="BB182" i="10"/>
  <c r="CX182" i="10" s="1"/>
  <c r="BB174" i="10"/>
  <c r="BB166" i="10"/>
  <c r="CX166" i="10" s="1"/>
  <c r="BB167" i="10"/>
  <c r="BB161" i="10"/>
  <c r="BB157" i="10"/>
  <c r="BB153" i="10"/>
  <c r="BB149" i="10"/>
  <c r="CX149" i="10" s="1"/>
  <c r="BB141" i="10"/>
  <c r="CX141" i="10" s="1"/>
  <c r="BB133" i="10"/>
  <c r="BB125" i="10"/>
  <c r="BB181" i="10"/>
  <c r="CX181" i="10" s="1"/>
  <c r="BB165" i="10"/>
  <c r="BB142" i="10"/>
  <c r="BB124" i="10"/>
  <c r="BB98" i="10"/>
  <c r="BB90" i="10"/>
  <c r="BB82" i="10"/>
  <c r="BB74" i="10"/>
  <c r="BB66" i="10"/>
  <c r="BB126" i="10"/>
  <c r="CX126" i="10" s="1"/>
  <c r="BB116" i="10"/>
  <c r="CX116" i="10" s="1"/>
  <c r="BB112" i="10"/>
  <c r="CX112" i="10" s="1"/>
  <c r="BB108" i="10"/>
  <c r="CX108" i="10" s="1"/>
  <c r="BB104" i="10"/>
  <c r="BB97" i="10"/>
  <c r="CX97" i="10" s="1"/>
  <c r="BB89" i="10"/>
  <c r="CX89" i="10" s="1"/>
  <c r="BB65" i="10"/>
  <c r="CX65" i="10" s="1"/>
  <c r="BB61" i="10"/>
  <c r="BB57" i="10"/>
  <c r="BB53" i="10"/>
  <c r="BB49" i="10"/>
  <c r="BB45" i="10"/>
  <c r="BB41" i="10"/>
  <c r="CX41" i="10" s="1"/>
  <c r="BB37" i="10"/>
  <c r="BB33" i="10"/>
  <c r="BB29" i="10"/>
  <c r="BB25" i="10"/>
  <c r="BB21" i="10"/>
  <c r="BB17" i="10"/>
  <c r="BB13" i="10"/>
  <c r="BB9" i="10"/>
  <c r="BB6" i="10"/>
  <c r="BB197" i="10"/>
  <c r="CX197" i="10" s="1"/>
  <c r="BB193" i="10"/>
  <c r="BB187" i="10"/>
  <c r="CX187" i="10" s="1"/>
  <c r="BB188" i="10"/>
  <c r="CX188" i="10" s="1"/>
  <c r="BB180" i="10"/>
  <c r="CX180" i="10" s="1"/>
  <c r="BB172" i="10"/>
  <c r="CX172" i="10" s="1"/>
  <c r="BB179" i="10"/>
  <c r="CX179" i="10" s="1"/>
  <c r="BB164" i="10"/>
  <c r="BB160" i="10"/>
  <c r="BB156" i="10"/>
  <c r="BB152" i="10"/>
  <c r="BB147" i="10"/>
  <c r="CX147" i="10" s="1"/>
  <c r="BB139" i="10"/>
  <c r="BB131" i="10"/>
  <c r="CX131" i="10" s="1"/>
  <c r="BB123" i="10"/>
  <c r="BB177" i="10"/>
  <c r="CX177" i="10" s="1"/>
  <c r="BB148" i="10"/>
  <c r="CX148" i="10" s="1"/>
  <c r="BB140" i="10"/>
  <c r="BB120" i="10"/>
  <c r="BB96" i="10"/>
  <c r="BB88" i="10"/>
  <c r="BB80" i="10"/>
  <c r="CX80" i="10" s="1"/>
  <c r="BB72" i="10"/>
  <c r="CX72" i="10" s="1"/>
  <c r="BB132" i="10"/>
  <c r="CX132" i="10" s="1"/>
  <c r="BB122" i="10"/>
  <c r="BB115" i="10"/>
  <c r="CX115" i="10" s="1"/>
  <c r="BB111" i="10"/>
  <c r="CX111" i="10" s="1"/>
  <c r="BB107" i="10"/>
  <c r="BB103" i="10"/>
  <c r="BB95" i="10"/>
  <c r="CX95" i="10" s="1"/>
  <c r="BB87" i="10"/>
  <c r="CX87" i="10" s="1"/>
  <c r="BB64" i="10"/>
  <c r="CX64" i="10" s="1"/>
  <c r="BB60" i="10"/>
  <c r="BB56" i="10"/>
  <c r="CX56" i="10" s="1"/>
  <c r="BB52" i="10"/>
  <c r="CX52" i="10" s="1"/>
  <c r="BB48" i="10"/>
  <c r="BB44" i="10"/>
  <c r="CX44" i="10" s="1"/>
  <c r="BB40" i="10"/>
  <c r="BB36" i="10"/>
  <c r="BB32" i="10"/>
  <c r="BB28" i="10"/>
  <c r="CX28" i="10" s="1"/>
  <c r="BB24" i="10"/>
  <c r="BB20" i="10"/>
  <c r="BB16" i="10"/>
  <c r="BB12" i="10"/>
  <c r="BB75" i="10"/>
  <c r="CX75" i="10" s="1"/>
  <c r="BB200" i="10"/>
  <c r="CX200" i="10" s="1"/>
  <c r="BB196" i="10"/>
  <c r="CX196" i="10" s="1"/>
  <c r="BB192" i="10"/>
  <c r="CX192" i="10" s="1"/>
  <c r="BB185" i="10"/>
  <c r="CX185" i="10" s="1"/>
  <c r="BB186" i="10"/>
  <c r="CX186" i="10" s="1"/>
  <c r="BB178" i="10"/>
  <c r="CX178" i="10" s="1"/>
  <c r="BB170" i="10"/>
  <c r="BB175" i="10"/>
  <c r="CX175" i="10" s="1"/>
  <c r="BB163" i="10"/>
  <c r="CX163" i="10" s="1"/>
  <c r="BB159" i="10"/>
  <c r="CX159" i="10" s="1"/>
  <c r="BB155" i="10"/>
  <c r="BB151" i="10"/>
  <c r="BB145" i="10"/>
  <c r="BB137" i="10"/>
  <c r="BB129" i="10"/>
  <c r="CX129" i="10" s="1"/>
  <c r="BB121" i="10"/>
  <c r="CX121" i="10" s="1"/>
  <c r="BB173" i="10"/>
  <c r="BB146" i="10"/>
  <c r="BB134" i="10"/>
  <c r="CX134" i="10" s="1"/>
  <c r="BB102" i="10"/>
  <c r="CX102" i="10" s="1"/>
  <c r="BB94" i="10"/>
  <c r="CX94" i="10" s="1"/>
  <c r="BB86" i="10"/>
  <c r="CX86" i="10" s="1"/>
  <c r="BB78" i="10"/>
  <c r="BB70" i="10"/>
  <c r="CX70" i="10" s="1"/>
  <c r="BB138" i="10"/>
  <c r="CX138" i="10" s="1"/>
  <c r="BB118" i="10"/>
  <c r="BB114" i="10"/>
  <c r="BB110" i="10"/>
  <c r="CX110" i="10" s="1"/>
  <c r="BB106" i="10"/>
  <c r="CX106" i="10" s="1"/>
  <c r="BB101" i="10"/>
  <c r="BB93" i="10"/>
  <c r="BB85" i="10"/>
  <c r="CX85" i="10" s="1"/>
  <c r="BB63" i="10"/>
  <c r="CX63" i="10" s="1"/>
  <c r="BB59" i="10"/>
  <c r="BB55" i="10"/>
  <c r="BB51" i="10"/>
  <c r="CX51" i="10" s="1"/>
  <c r="BB47" i="10"/>
  <c r="BB43" i="10"/>
  <c r="CX43" i="10" s="1"/>
  <c r="BB39" i="10"/>
  <c r="BB35" i="10"/>
  <c r="CX35" i="10" s="1"/>
  <c r="BB31" i="10"/>
  <c r="BB27" i="10"/>
  <c r="CX27" i="10" s="1"/>
  <c r="BB23" i="10"/>
  <c r="BB19" i="10"/>
  <c r="CX19" i="10" s="1"/>
  <c r="BB15" i="10"/>
  <c r="BB11" i="10"/>
  <c r="CX11" i="10" s="1"/>
  <c r="BB67" i="10"/>
  <c r="CX67" i="10" s="1"/>
  <c r="BB199" i="10"/>
  <c r="BB195" i="10"/>
  <c r="CX195" i="10" s="1"/>
  <c r="BB191" i="10"/>
  <c r="CX191" i="10" s="1"/>
  <c r="BB183" i="10"/>
  <c r="BB184" i="10"/>
  <c r="CX184" i="10" s="1"/>
  <c r="BB176" i="10"/>
  <c r="CX176" i="10" s="1"/>
  <c r="BB168" i="10"/>
  <c r="BB171" i="10"/>
  <c r="CX171" i="10" s="1"/>
  <c r="BB162" i="10"/>
  <c r="CX162" i="10" s="1"/>
  <c r="BB158" i="10"/>
  <c r="BB154" i="10"/>
  <c r="CX154" i="10" s="1"/>
  <c r="BB150" i="10"/>
  <c r="CX150" i="10" s="1"/>
  <c r="BB143" i="10"/>
  <c r="CX143" i="10" s="1"/>
  <c r="BB135" i="10"/>
  <c r="CX135" i="10" s="1"/>
  <c r="BB127" i="10"/>
  <c r="CX127" i="10" s="1"/>
  <c r="BB119" i="10"/>
  <c r="BB169" i="10"/>
  <c r="CX169" i="10" s="1"/>
  <c r="BB144" i="10"/>
  <c r="BB128" i="10"/>
  <c r="CX128" i="10" s="1"/>
  <c r="BB100" i="10"/>
  <c r="BB92" i="10"/>
  <c r="CX92" i="10" s="1"/>
  <c r="BB84" i="10"/>
  <c r="CX84" i="10" s="1"/>
  <c r="BB76" i="10"/>
  <c r="BB68" i="10"/>
  <c r="CX68" i="10" s="1"/>
  <c r="BB130" i="10"/>
  <c r="CX130" i="10" s="1"/>
  <c r="BB117" i="10"/>
  <c r="CX117" i="10" s="1"/>
  <c r="BB113" i="10"/>
  <c r="CX113" i="10" s="1"/>
  <c r="BB109" i="10"/>
  <c r="CX109" i="10" s="1"/>
  <c r="BB105" i="10"/>
  <c r="CX105" i="10" s="1"/>
  <c r="BB99" i="10"/>
  <c r="CX99" i="10" s="1"/>
  <c r="BB91" i="10"/>
  <c r="BB136" i="10"/>
  <c r="BB62" i="10"/>
  <c r="CX62" i="10" s="1"/>
  <c r="BB58" i="10"/>
  <c r="BB54" i="10"/>
  <c r="BB50" i="10"/>
  <c r="CX50" i="10" s="1"/>
  <c r="BB46" i="10"/>
  <c r="CX46" i="10" s="1"/>
  <c r="BB42" i="10"/>
  <c r="CX42" i="10" s="1"/>
  <c r="BB38" i="10"/>
  <c r="BB34" i="10"/>
  <c r="CX34" i="10" s="1"/>
  <c r="BB30" i="10"/>
  <c r="CX30" i="10" s="1"/>
  <c r="BB26" i="10"/>
  <c r="CX26" i="10" s="1"/>
  <c r="BB22" i="10"/>
  <c r="BB18" i="10"/>
  <c r="CX18" i="10" s="1"/>
  <c r="BB14" i="10"/>
  <c r="CX14" i="10" s="1"/>
  <c r="BB10" i="10"/>
  <c r="CX10" i="10" s="1"/>
  <c r="BB81" i="10"/>
  <c r="BB7" i="10"/>
  <c r="CX7" i="10" s="1"/>
  <c r="BB8" i="10"/>
  <c r="CX3" i="10"/>
  <c r="BZ3" i="10"/>
  <c r="BB3" i="10"/>
  <c r="AD3" i="10"/>
  <c r="W3" i="28"/>
  <c r="T109" i="4"/>
  <c r="T11" i="4"/>
  <c r="T131" i="4"/>
  <c r="T16" i="4"/>
  <c r="T112" i="4"/>
  <c r="T134" i="4"/>
  <c r="T17" i="4"/>
  <c r="T135" i="4"/>
  <c r="T113" i="4"/>
  <c r="S121" i="4"/>
  <c r="S25" i="4"/>
  <c r="S27" i="4"/>
  <c r="S123" i="4"/>
  <c r="S144" i="4"/>
  <c r="S145" i="4"/>
  <c r="S26" i="4"/>
  <c r="S122" i="4"/>
  <c r="S143" i="4"/>
  <c r="S18" i="4"/>
  <c r="R114" i="4"/>
  <c r="R136" i="4"/>
  <c r="BB11" i="28"/>
  <c r="DO20" i="10" s="1"/>
  <c r="BB19" i="28"/>
  <c r="DO52" i="10" s="1"/>
  <c r="BB8" i="28"/>
  <c r="DO10" i="10" s="1"/>
  <c r="V5" i="4"/>
  <c r="Y4" i="28"/>
  <c r="Z4" i="28"/>
  <c r="W7" i="4"/>
  <c r="W128" i="4"/>
  <c r="W127" i="4" s="1"/>
  <c r="W106" i="4"/>
  <c r="W105" i="4" s="1"/>
  <c r="V3" i="4"/>
  <c r="V4" i="4"/>
  <c r="K15" i="11"/>
  <c r="L14" i="11"/>
  <c r="CX13" i="10" l="1"/>
  <c r="CX61" i="10"/>
  <c r="CX104" i="10"/>
  <c r="CX29" i="10"/>
  <c r="CX199" i="10"/>
  <c r="CX151" i="10"/>
  <c r="CX24" i="10"/>
  <c r="CX40" i="10"/>
  <c r="CX140" i="10"/>
  <c r="CX156" i="10"/>
  <c r="CX193" i="10"/>
  <c r="CX90" i="10"/>
  <c r="CX165" i="10"/>
  <c r="CX161" i="10"/>
  <c r="CX8" i="10"/>
  <c r="CX136" i="10"/>
  <c r="CX119" i="10"/>
  <c r="CX23" i="10"/>
  <c r="CX55" i="10"/>
  <c r="CX93" i="10"/>
  <c r="CX114" i="10"/>
  <c r="CX170" i="10"/>
  <c r="CX12" i="10"/>
  <c r="CX103" i="10"/>
  <c r="CX88" i="10"/>
  <c r="CX160" i="10"/>
  <c r="CX66" i="10"/>
  <c r="CX71" i="10"/>
  <c r="CX69" i="10"/>
  <c r="CX22" i="10"/>
  <c r="CX54" i="10"/>
  <c r="CX76" i="10"/>
  <c r="CX118" i="10"/>
  <c r="CX137" i="10"/>
  <c r="CX48" i="10"/>
  <c r="CX96" i="10"/>
  <c r="CX164" i="10"/>
  <c r="CX45" i="10"/>
  <c r="CX36" i="10"/>
  <c r="CX152" i="10"/>
  <c r="CX9" i="10"/>
  <c r="CX25" i="10"/>
  <c r="CX82" i="10"/>
  <c r="CX133" i="10"/>
  <c r="CX157" i="10"/>
  <c r="CX194" i="10"/>
  <c r="CX83" i="10"/>
  <c r="CX16" i="10"/>
  <c r="CX32" i="10"/>
  <c r="CX37" i="10"/>
  <c r="CX53" i="10"/>
  <c r="CX74" i="10"/>
  <c r="CX125" i="10"/>
  <c r="CX153" i="10"/>
  <c r="CX100" i="10"/>
  <c r="CX183" i="10"/>
  <c r="CX39" i="10"/>
  <c r="CX78" i="10"/>
  <c r="CX155" i="10"/>
  <c r="CX60" i="10"/>
  <c r="CX122" i="10"/>
  <c r="CX139" i="10"/>
  <c r="CX17" i="10"/>
  <c r="CX49" i="10"/>
  <c r="CX98" i="10"/>
  <c r="CX167" i="10"/>
  <c r="CX190" i="10"/>
  <c r="CX81" i="10"/>
  <c r="CX38" i="10"/>
  <c r="CX91" i="10"/>
  <c r="CX168" i="10"/>
  <c r="CX59" i="10"/>
  <c r="CX101" i="10"/>
  <c r="CX146" i="10"/>
  <c r="CX107" i="10"/>
  <c r="CX124" i="10"/>
  <c r="CX77" i="10"/>
  <c r="CX58" i="10"/>
  <c r="CX144" i="10"/>
  <c r="CX158" i="10"/>
  <c r="CX15" i="10"/>
  <c r="CX31" i="10"/>
  <c r="CX47" i="10"/>
  <c r="CX173" i="10"/>
  <c r="CX145" i="10"/>
  <c r="CX20" i="10"/>
  <c r="CX120" i="10"/>
  <c r="CX123" i="10"/>
  <c r="CX57" i="10"/>
  <c r="CX142" i="10"/>
  <c r="CX174" i="10"/>
  <c r="CX33" i="10"/>
  <c r="CX73" i="10"/>
  <c r="BC53" i="10"/>
  <c r="BC23" i="10"/>
  <c r="BC15" i="10"/>
  <c r="BC27" i="10"/>
  <c r="BC31" i="10"/>
  <c r="BC11" i="10"/>
  <c r="BC33" i="10"/>
  <c r="BC41" i="10"/>
  <c r="BC45" i="10"/>
  <c r="BC39" i="10"/>
  <c r="BC49" i="10"/>
  <c r="BC21" i="10"/>
  <c r="BC29" i="10"/>
  <c r="BC40" i="10"/>
  <c r="BC52" i="10"/>
  <c r="BC50" i="10"/>
  <c r="BC42" i="10"/>
  <c r="BC54" i="10"/>
  <c r="BC44" i="10"/>
  <c r="BC48" i="10"/>
  <c r="BC13" i="10"/>
  <c r="BC19" i="10"/>
  <c r="BC9" i="10"/>
  <c r="BC17" i="10"/>
  <c r="BC25" i="10"/>
  <c r="BC58" i="10"/>
  <c r="BC60" i="10"/>
  <c r="BC35" i="10"/>
  <c r="BC56" i="10"/>
  <c r="BC37" i="10"/>
  <c r="CA199" i="10"/>
  <c r="CA195" i="10"/>
  <c r="CA191" i="10"/>
  <c r="CA187" i="10"/>
  <c r="CA183" i="10"/>
  <c r="CA179" i="10"/>
  <c r="CA175" i="10"/>
  <c r="CA171" i="10"/>
  <c r="CA167" i="10"/>
  <c r="CA163" i="10"/>
  <c r="CA159" i="10"/>
  <c r="CA155" i="10"/>
  <c r="CA151" i="10"/>
  <c r="CA147" i="10"/>
  <c r="CA143" i="10"/>
  <c r="CA139" i="10"/>
  <c r="CA135" i="10"/>
  <c r="CA131" i="10"/>
  <c r="CA127" i="10"/>
  <c r="CA123" i="10"/>
  <c r="CA119" i="10"/>
  <c r="CA115" i="10"/>
  <c r="CA111" i="10"/>
  <c r="CA198" i="10"/>
  <c r="CA194" i="10"/>
  <c r="CA190" i="10"/>
  <c r="CA186" i="10"/>
  <c r="CA182" i="10"/>
  <c r="CA178" i="10"/>
  <c r="CA174" i="10"/>
  <c r="BC73" i="10"/>
  <c r="CA197" i="10"/>
  <c r="CA193" i="10"/>
  <c r="CA189" i="10"/>
  <c r="CA185" i="10"/>
  <c r="CA181" i="10"/>
  <c r="CA200" i="10"/>
  <c r="CA196" i="10"/>
  <c r="CA192" i="10"/>
  <c r="CA188" i="10"/>
  <c r="CA184" i="10"/>
  <c r="CA180" i="10"/>
  <c r="CA176" i="10"/>
  <c r="CA172" i="10"/>
  <c r="CA168" i="10"/>
  <c r="CA164" i="10"/>
  <c r="CA160" i="10"/>
  <c r="CA156" i="10"/>
  <c r="CA152" i="10"/>
  <c r="CA148" i="10"/>
  <c r="CA144" i="10"/>
  <c r="CA140" i="10"/>
  <c r="CA136" i="10"/>
  <c r="CA132" i="10"/>
  <c r="CA128" i="10"/>
  <c r="CA124" i="10"/>
  <c r="CA120" i="10"/>
  <c r="CA116" i="10"/>
  <c r="CA112" i="10"/>
  <c r="CA108" i="10"/>
  <c r="CA104" i="10"/>
  <c r="CA100" i="10"/>
  <c r="CA96" i="10"/>
  <c r="CA92" i="10"/>
  <c r="CA88" i="10"/>
  <c r="CA84" i="10"/>
  <c r="CA80" i="10"/>
  <c r="CA76" i="10"/>
  <c r="CA72" i="10"/>
  <c r="CA68" i="10"/>
  <c r="CA177" i="10"/>
  <c r="CA166" i="10"/>
  <c r="CA158" i="10"/>
  <c r="CA150" i="10"/>
  <c r="CA142" i="10"/>
  <c r="CA134" i="10"/>
  <c r="CA126" i="10"/>
  <c r="CA118" i="10"/>
  <c r="CA110" i="10"/>
  <c r="CA105" i="10"/>
  <c r="CA99" i="10"/>
  <c r="CA94" i="10"/>
  <c r="CA89" i="10"/>
  <c r="CA83" i="10"/>
  <c r="CA78" i="10"/>
  <c r="CA73" i="10"/>
  <c r="CA67" i="10"/>
  <c r="CA63" i="10"/>
  <c r="CA59" i="10"/>
  <c r="CA55" i="10"/>
  <c r="CA51" i="10"/>
  <c r="CA173" i="10"/>
  <c r="CA165" i="10"/>
  <c r="CA157" i="10"/>
  <c r="CA149" i="10"/>
  <c r="CA141" i="10"/>
  <c r="CA133" i="10"/>
  <c r="CA125" i="10"/>
  <c r="CA117" i="10"/>
  <c r="CA109" i="10"/>
  <c r="CA103" i="10"/>
  <c r="CA98" i="10"/>
  <c r="CA93" i="10"/>
  <c r="CA87" i="10"/>
  <c r="CA82" i="10"/>
  <c r="CA77" i="10"/>
  <c r="CA71" i="10"/>
  <c r="CA66" i="10"/>
  <c r="CA62" i="10"/>
  <c r="CA58" i="10"/>
  <c r="CA54" i="10"/>
  <c r="CA50" i="10"/>
  <c r="CA170" i="10"/>
  <c r="CA162" i="10"/>
  <c r="CA154" i="10"/>
  <c r="CA146" i="10"/>
  <c r="CA138" i="10"/>
  <c r="CA130" i="10"/>
  <c r="CA122" i="10"/>
  <c r="CA114" i="10"/>
  <c r="CA107" i="10"/>
  <c r="CA102" i="10"/>
  <c r="CA97" i="10"/>
  <c r="CA91" i="10"/>
  <c r="CA86" i="10"/>
  <c r="CA81" i="10"/>
  <c r="CA75" i="10"/>
  <c r="CA70" i="10"/>
  <c r="CA65" i="10"/>
  <c r="CA61" i="10"/>
  <c r="CA57" i="10"/>
  <c r="CA53" i="10"/>
  <c r="CA49" i="10"/>
  <c r="CA169" i="10"/>
  <c r="CA161" i="10"/>
  <c r="CA153" i="10"/>
  <c r="CA145" i="10"/>
  <c r="CA137" i="10"/>
  <c r="CA129" i="10"/>
  <c r="CA121" i="10"/>
  <c r="CA113" i="10"/>
  <c r="CA106" i="10"/>
  <c r="CA101" i="10"/>
  <c r="CA95" i="10"/>
  <c r="CA90" i="10"/>
  <c r="CA85" i="10"/>
  <c r="CA79" i="10"/>
  <c r="CA74" i="10"/>
  <c r="CA69" i="10"/>
  <c r="CA64" i="10"/>
  <c r="CA60" i="10"/>
  <c r="CA56" i="10"/>
  <c r="CA52" i="10"/>
  <c r="CA48" i="10"/>
  <c r="CA7" i="10"/>
  <c r="CA9" i="10"/>
  <c r="CA11" i="10"/>
  <c r="CA13" i="10"/>
  <c r="CA15" i="10"/>
  <c r="CY15" i="10" s="1"/>
  <c r="CA17" i="10"/>
  <c r="CA19" i="10"/>
  <c r="CA21" i="10"/>
  <c r="CY21" i="10" s="1"/>
  <c r="CA23" i="10"/>
  <c r="CA25" i="10"/>
  <c r="CA27" i="10"/>
  <c r="CY27" i="10" s="1"/>
  <c r="CA12" i="10"/>
  <c r="CA20" i="10"/>
  <c r="CA28" i="10"/>
  <c r="CA30" i="10"/>
  <c r="CA32" i="10"/>
  <c r="CA34" i="10"/>
  <c r="CA36" i="10"/>
  <c r="CA38" i="10"/>
  <c r="CA40" i="10"/>
  <c r="CA42" i="10"/>
  <c r="CA44" i="10"/>
  <c r="CA46" i="10"/>
  <c r="BC47" i="10"/>
  <c r="BC67" i="10"/>
  <c r="CY67" i="10" s="1"/>
  <c r="BC189" i="10"/>
  <c r="CY189" i="10" s="1"/>
  <c r="BC181" i="10"/>
  <c r="BC173" i="10"/>
  <c r="BC165" i="10"/>
  <c r="BC161" i="10"/>
  <c r="BC157" i="10"/>
  <c r="BC153" i="10"/>
  <c r="BC149" i="10"/>
  <c r="CY149" i="10" s="1"/>
  <c r="BC199" i="10"/>
  <c r="CY199" i="10" s="1"/>
  <c r="BC196" i="10"/>
  <c r="CY196" i="10" s="1"/>
  <c r="BC178" i="10"/>
  <c r="CY178" i="10" s="1"/>
  <c r="BC148" i="10"/>
  <c r="CY148" i="10" s="1"/>
  <c r="BC140" i="10"/>
  <c r="CY140" i="10" s="1"/>
  <c r="BC132" i="10"/>
  <c r="BC176" i="10"/>
  <c r="BC145" i="10"/>
  <c r="BC137" i="10"/>
  <c r="BC129" i="10"/>
  <c r="BC121" i="10"/>
  <c r="BC122" i="10"/>
  <c r="CY122" i="10" s="1"/>
  <c r="BC115" i="10"/>
  <c r="CY115" i="10" s="1"/>
  <c r="BC111" i="10"/>
  <c r="BC107" i="10"/>
  <c r="BC103" i="10"/>
  <c r="BC95" i="10"/>
  <c r="CY95" i="10" s="1"/>
  <c r="BC87" i="10"/>
  <c r="BC79" i="10"/>
  <c r="BC120" i="10"/>
  <c r="CY120" i="10" s="1"/>
  <c r="BC96" i="10"/>
  <c r="BC88" i="10"/>
  <c r="CY88" i="10" s="1"/>
  <c r="BC80" i="10"/>
  <c r="BC72" i="10"/>
  <c r="CY72" i="10" s="1"/>
  <c r="CA6" i="10"/>
  <c r="CA14" i="10"/>
  <c r="CA22" i="10"/>
  <c r="BC46" i="10"/>
  <c r="BC57" i="10"/>
  <c r="BC61" i="10"/>
  <c r="BC55" i="10"/>
  <c r="CY55" i="10" s="1"/>
  <c r="BC63" i="10"/>
  <c r="BC69" i="10"/>
  <c r="BC187" i="10"/>
  <c r="BC179" i="10"/>
  <c r="CY179" i="10" s="1"/>
  <c r="BC171" i="10"/>
  <c r="BC164" i="10"/>
  <c r="CY164" i="10" s="1"/>
  <c r="BC160" i="10"/>
  <c r="BC156" i="10"/>
  <c r="BC152" i="10"/>
  <c r="CY152" i="10" s="1"/>
  <c r="BC200" i="10"/>
  <c r="CY200" i="10" s="1"/>
  <c r="BC194" i="10"/>
  <c r="CY194" i="10" s="1"/>
  <c r="BC193" i="10"/>
  <c r="CY193" i="10" s="1"/>
  <c r="BC174" i="10"/>
  <c r="CY174" i="10" s="1"/>
  <c r="BC146" i="10"/>
  <c r="CY146" i="10" s="1"/>
  <c r="BC138" i="10"/>
  <c r="CY138" i="10" s="1"/>
  <c r="BC184" i="10"/>
  <c r="CY184" i="10" s="1"/>
  <c r="BC172" i="10"/>
  <c r="BC143" i="10"/>
  <c r="BC135" i="10"/>
  <c r="CY135" i="10" s="1"/>
  <c r="BC127" i="10"/>
  <c r="BC119" i="10"/>
  <c r="CY119" i="10" s="1"/>
  <c r="BC118" i="10"/>
  <c r="CY118" i="10" s="1"/>
  <c r="BC114" i="10"/>
  <c r="BC110" i="10"/>
  <c r="BC106" i="10"/>
  <c r="CY106" i="10" s="1"/>
  <c r="BC101" i="10"/>
  <c r="BC93" i="10"/>
  <c r="BC85" i="10"/>
  <c r="CY85" i="10" s="1"/>
  <c r="BC77" i="10"/>
  <c r="CY77" i="10" s="1"/>
  <c r="BC102" i="10"/>
  <c r="CY102" i="10" s="1"/>
  <c r="BC94" i="10"/>
  <c r="CY94" i="10" s="1"/>
  <c r="BC86" i="10"/>
  <c r="BC78" i="10"/>
  <c r="CY78" i="10" s="1"/>
  <c r="BC70" i="10"/>
  <c r="CY70" i="10" s="1"/>
  <c r="CA8" i="10"/>
  <c r="CA16" i="10"/>
  <c r="CA24" i="10"/>
  <c r="CA29" i="10"/>
  <c r="CA31" i="10"/>
  <c r="CA33" i="10"/>
  <c r="CA35" i="10"/>
  <c r="CA37" i="10"/>
  <c r="CA39" i="10"/>
  <c r="CA41" i="10"/>
  <c r="CA43" i="10"/>
  <c r="CA45" i="10"/>
  <c r="CA47" i="10"/>
  <c r="BC43" i="10"/>
  <c r="BC65" i="10"/>
  <c r="CY65" i="10" s="1"/>
  <c r="BC64" i="10"/>
  <c r="CY64" i="10" s="1"/>
  <c r="BC198" i="10"/>
  <c r="BC185" i="10"/>
  <c r="BC177" i="10"/>
  <c r="CY177" i="10" s="1"/>
  <c r="BC169" i="10"/>
  <c r="CY169" i="10" s="1"/>
  <c r="BC163" i="10"/>
  <c r="CY163" i="10" s="1"/>
  <c r="BC159" i="10"/>
  <c r="BC155" i="10"/>
  <c r="BC151" i="10"/>
  <c r="CY151" i="10" s="1"/>
  <c r="BC197" i="10"/>
  <c r="BC191" i="10"/>
  <c r="BC188" i="10"/>
  <c r="BC170" i="10"/>
  <c r="CY170" i="10" s="1"/>
  <c r="BC144" i="10"/>
  <c r="BC136" i="10"/>
  <c r="CY136" i="10" s="1"/>
  <c r="BC182" i="10"/>
  <c r="BC168" i="10"/>
  <c r="CY168" i="10" s="1"/>
  <c r="BC141" i="10"/>
  <c r="BC133" i="10"/>
  <c r="CY133" i="10" s="1"/>
  <c r="BC125" i="10"/>
  <c r="CY125" i="10" s="1"/>
  <c r="BC130" i="10"/>
  <c r="CY130" i="10" s="1"/>
  <c r="BC117" i="10"/>
  <c r="BC113" i="10"/>
  <c r="CY113" i="10" s="1"/>
  <c r="BC109" i="10"/>
  <c r="BC105" i="10"/>
  <c r="CY105" i="10" s="1"/>
  <c r="BC99" i="10"/>
  <c r="CY99" i="10" s="1"/>
  <c r="BC91" i="10"/>
  <c r="BC83" i="10"/>
  <c r="BC128" i="10"/>
  <c r="BC100" i="10"/>
  <c r="CY100" i="10" s="1"/>
  <c r="BC92" i="10"/>
  <c r="BC84" i="10"/>
  <c r="CY84" i="10" s="1"/>
  <c r="BC76" i="10"/>
  <c r="CY76" i="10" s="1"/>
  <c r="BC68" i="10"/>
  <c r="CY68" i="10" s="1"/>
  <c r="CA10" i="10"/>
  <c r="CA18" i="10"/>
  <c r="CA26" i="10"/>
  <c r="BC62" i="10"/>
  <c r="CY62" i="10" s="1"/>
  <c r="BC51" i="10"/>
  <c r="BC59" i="10"/>
  <c r="CY59" i="10" s="1"/>
  <c r="BC71" i="10"/>
  <c r="BC195" i="10"/>
  <c r="CY195" i="10" s="1"/>
  <c r="BC183" i="10"/>
  <c r="CY183" i="10" s="1"/>
  <c r="BC175" i="10"/>
  <c r="CY175" i="10" s="1"/>
  <c r="BC167" i="10"/>
  <c r="CY167" i="10" s="1"/>
  <c r="BC162" i="10"/>
  <c r="CY162" i="10" s="1"/>
  <c r="BC158" i="10"/>
  <c r="CY158" i="10" s="1"/>
  <c r="BC154" i="10"/>
  <c r="CY154" i="10" s="1"/>
  <c r="BC150" i="10"/>
  <c r="CY150" i="10" s="1"/>
  <c r="BC192" i="10"/>
  <c r="BC190" i="10"/>
  <c r="CY190" i="10" s="1"/>
  <c r="BC186" i="10"/>
  <c r="CY186" i="10" s="1"/>
  <c r="BC166" i="10"/>
  <c r="CY166" i="10" s="1"/>
  <c r="BC142" i="10"/>
  <c r="BC134" i="10"/>
  <c r="BC180" i="10"/>
  <c r="CY180" i="10" s="1"/>
  <c r="BC147" i="10"/>
  <c r="CY147" i="10" s="1"/>
  <c r="BC139" i="10"/>
  <c r="BC131" i="10"/>
  <c r="CY131" i="10" s="1"/>
  <c r="BC123" i="10"/>
  <c r="BC126" i="10"/>
  <c r="CY126" i="10" s="1"/>
  <c r="BC116" i="10"/>
  <c r="CY116" i="10" s="1"/>
  <c r="BC112" i="10"/>
  <c r="BC108" i="10"/>
  <c r="BC104" i="10"/>
  <c r="CY104" i="10" s="1"/>
  <c r="BC97" i="10"/>
  <c r="BC89" i="10"/>
  <c r="BC81" i="10"/>
  <c r="CY81" i="10" s="1"/>
  <c r="BC124" i="10"/>
  <c r="CY124" i="10" s="1"/>
  <c r="BC98" i="10"/>
  <c r="CY98" i="10" s="1"/>
  <c r="BC90" i="10"/>
  <c r="CY90" i="10" s="1"/>
  <c r="BC82" i="10"/>
  <c r="CY82" i="10" s="1"/>
  <c r="BC74" i="10"/>
  <c r="CY74" i="10" s="1"/>
  <c r="BC66" i="10"/>
  <c r="BC8" i="10"/>
  <c r="BC10" i="10"/>
  <c r="BC12" i="10"/>
  <c r="CY12" i="10" s="1"/>
  <c r="BC14" i="10"/>
  <c r="CY14" i="10" s="1"/>
  <c r="BC16" i="10"/>
  <c r="CY16" i="10" s="1"/>
  <c r="BC18" i="10"/>
  <c r="CY18" i="10" s="1"/>
  <c r="BC20" i="10"/>
  <c r="BC22" i="10"/>
  <c r="CY22" i="10" s="1"/>
  <c r="BC24" i="10"/>
  <c r="BC26" i="10"/>
  <c r="BC28" i="10"/>
  <c r="CY28" i="10" s="1"/>
  <c r="BC30" i="10"/>
  <c r="CY30" i="10" s="1"/>
  <c r="BC32" i="10"/>
  <c r="CY32" i="10" s="1"/>
  <c r="BC34" i="10"/>
  <c r="CY34" i="10" s="1"/>
  <c r="BC36" i="10"/>
  <c r="CY36" i="10" s="1"/>
  <c r="BC6" i="10"/>
  <c r="BC7" i="10"/>
  <c r="BC38" i="10"/>
  <c r="CY38" i="10" s="1"/>
  <c r="BC75" i="10"/>
  <c r="AF4" i="10"/>
  <c r="CZ4" i="10"/>
  <c r="CB4" i="10"/>
  <c r="BD4" i="10"/>
  <c r="W13" i="4"/>
  <c r="U11" i="4"/>
  <c r="U109" i="4"/>
  <c r="U131" i="4"/>
  <c r="U135" i="4"/>
  <c r="U17" i="4"/>
  <c r="U134" i="4"/>
  <c r="U112" i="4"/>
  <c r="U113" i="4"/>
  <c r="U16" i="4"/>
  <c r="CY3" i="10"/>
  <c r="CA3" i="10"/>
  <c r="BC3" i="10"/>
  <c r="AE3" i="10"/>
  <c r="CX6" i="10"/>
  <c r="CX21" i="10"/>
  <c r="U23" i="4"/>
  <c r="U108" i="4"/>
  <c r="U130" i="4"/>
  <c r="U142" i="4"/>
  <c r="U120" i="4"/>
  <c r="U141" i="4"/>
  <c r="U24" i="4"/>
  <c r="U119" i="4"/>
  <c r="U10" i="4"/>
  <c r="U118" i="4"/>
  <c r="U140" i="4"/>
  <c r="U22" i="4"/>
  <c r="AE22" i="10"/>
  <c r="AE24" i="10"/>
  <c r="AE19" i="10"/>
  <c r="AE25" i="10"/>
  <c r="AE23" i="10"/>
  <c r="AE20" i="10"/>
  <c r="AE21" i="10"/>
  <c r="AE198" i="10"/>
  <c r="AE194" i="10"/>
  <c r="AE190" i="10"/>
  <c r="AE186" i="10"/>
  <c r="AE182" i="10"/>
  <c r="AE178" i="10"/>
  <c r="AE174" i="10"/>
  <c r="AE170" i="10"/>
  <c r="AE166" i="10"/>
  <c r="AE159" i="10"/>
  <c r="AE151" i="10"/>
  <c r="AE143" i="10"/>
  <c r="AE135" i="10"/>
  <c r="AE158" i="10"/>
  <c r="AE146" i="10"/>
  <c r="AE110" i="10"/>
  <c r="AE102" i="10"/>
  <c r="AE94" i="10"/>
  <c r="AE132" i="10"/>
  <c r="AE128" i="10"/>
  <c r="AE124" i="10"/>
  <c r="AE120" i="10"/>
  <c r="AE116" i="10"/>
  <c r="AE142" i="10"/>
  <c r="AE111" i="10"/>
  <c r="AE103" i="10"/>
  <c r="AE95" i="10"/>
  <c r="AE87" i="10"/>
  <c r="AE79" i="10"/>
  <c r="AE73" i="10"/>
  <c r="AE69" i="10"/>
  <c r="AE65" i="10"/>
  <c r="AE61" i="10"/>
  <c r="AE57" i="10"/>
  <c r="AE53" i="10"/>
  <c r="AE49" i="10"/>
  <c r="AE88" i="10"/>
  <c r="AE47" i="10"/>
  <c r="AE43" i="10"/>
  <c r="AE39" i="10"/>
  <c r="AE35" i="10"/>
  <c r="AE31" i="10"/>
  <c r="AE27" i="10"/>
  <c r="AE80" i="10"/>
  <c r="AE200" i="10"/>
  <c r="AE195" i="10"/>
  <c r="AE189" i="10"/>
  <c r="AE184" i="10"/>
  <c r="AE179" i="10"/>
  <c r="AE173" i="10"/>
  <c r="AE168" i="10"/>
  <c r="AE161" i="10"/>
  <c r="AE149" i="10"/>
  <c r="AE139" i="10"/>
  <c r="AE160" i="10"/>
  <c r="AE140" i="10"/>
  <c r="AE106" i="10"/>
  <c r="AE96" i="10"/>
  <c r="AE131" i="10"/>
  <c r="AE126" i="10"/>
  <c r="AE121" i="10"/>
  <c r="AE115" i="10"/>
  <c r="AE134" i="10"/>
  <c r="AE105" i="10"/>
  <c r="AE93" i="10"/>
  <c r="AE83" i="10"/>
  <c r="AE74" i="10"/>
  <c r="AE68" i="10"/>
  <c r="AE63" i="10"/>
  <c r="AE58" i="10"/>
  <c r="AE52" i="10"/>
  <c r="AE82" i="10"/>
  <c r="AE78" i="10"/>
  <c r="AE42" i="10"/>
  <c r="AE37" i="10"/>
  <c r="AE32" i="10"/>
  <c r="AE26" i="10"/>
  <c r="AE6" i="10"/>
  <c r="AE8" i="10"/>
  <c r="AE10" i="10"/>
  <c r="AE12" i="10"/>
  <c r="AE14" i="10"/>
  <c r="AE16" i="10"/>
  <c r="AE18" i="10"/>
  <c r="AE199" i="10"/>
  <c r="AE193" i="10"/>
  <c r="AE188" i="10"/>
  <c r="AE183" i="10"/>
  <c r="AE177" i="10"/>
  <c r="AE172" i="10"/>
  <c r="AE167" i="10"/>
  <c r="AE157" i="10"/>
  <c r="AE147" i="10"/>
  <c r="AE137" i="10"/>
  <c r="AE156" i="10"/>
  <c r="AE136" i="10"/>
  <c r="AE104" i="10"/>
  <c r="AE152" i="10"/>
  <c r="AE130" i="10"/>
  <c r="AE125" i="10"/>
  <c r="AE119" i="10"/>
  <c r="AE114" i="10"/>
  <c r="AE113" i="10"/>
  <c r="AE101" i="10"/>
  <c r="AE91" i="10"/>
  <c r="AE81" i="10"/>
  <c r="AE72" i="10"/>
  <c r="AE67" i="10"/>
  <c r="AE62" i="10"/>
  <c r="AE56" i="10"/>
  <c r="AE51" i="10"/>
  <c r="AE92" i="10"/>
  <c r="AE46" i="10"/>
  <c r="AE41" i="10"/>
  <c r="AE36" i="10"/>
  <c r="AE30" i="10"/>
  <c r="AE90" i="10"/>
  <c r="AE197" i="10"/>
  <c r="AE192" i="10"/>
  <c r="AE187" i="10"/>
  <c r="AE181" i="10"/>
  <c r="AE176" i="10"/>
  <c r="AE171" i="10"/>
  <c r="AE165" i="10"/>
  <c r="AE155" i="10"/>
  <c r="AE145" i="10"/>
  <c r="AE164" i="10"/>
  <c r="AE154" i="10"/>
  <c r="AE112" i="10"/>
  <c r="AE100" i="10"/>
  <c r="AE144" i="10"/>
  <c r="AE129" i="10"/>
  <c r="AE123" i="10"/>
  <c r="AE118" i="10"/>
  <c r="AE150" i="10"/>
  <c r="AE109" i="10"/>
  <c r="AE99" i="10"/>
  <c r="AE89" i="10"/>
  <c r="AE77" i="10"/>
  <c r="AE71" i="10"/>
  <c r="AE66" i="10"/>
  <c r="AE60" i="10"/>
  <c r="AE55" i="10"/>
  <c r="AE50" i="10"/>
  <c r="AE84" i="10"/>
  <c r="AE45" i="10"/>
  <c r="AE40" i="10"/>
  <c r="AE34" i="10"/>
  <c r="AE29" i="10"/>
  <c r="AE86" i="10"/>
  <c r="AE7" i="10"/>
  <c r="AE9" i="10"/>
  <c r="AE11" i="10"/>
  <c r="AE13" i="10"/>
  <c r="AE15" i="10"/>
  <c r="AE17" i="10"/>
  <c r="AE185" i="10"/>
  <c r="AE163" i="10"/>
  <c r="AE148" i="10"/>
  <c r="AE127" i="10"/>
  <c r="AE107" i="10"/>
  <c r="AE70" i="10"/>
  <c r="AE48" i="10"/>
  <c r="AE33" i="10"/>
  <c r="AE180" i="10"/>
  <c r="AE153" i="10"/>
  <c r="AE108" i="10"/>
  <c r="AE122" i="10"/>
  <c r="AE97" i="10"/>
  <c r="AE64" i="10"/>
  <c r="AE76" i="10"/>
  <c r="AE28" i="10"/>
  <c r="AE196" i="10"/>
  <c r="AE175" i="10"/>
  <c r="AE141" i="10"/>
  <c r="AE98" i="10"/>
  <c r="AE117" i="10"/>
  <c r="AE85" i="10"/>
  <c r="AE59" i="10"/>
  <c r="AE44" i="10"/>
  <c r="AE191" i="10"/>
  <c r="AE169" i="10"/>
  <c r="AE162" i="10"/>
  <c r="AE133" i="10"/>
  <c r="AE138" i="10"/>
  <c r="AE75" i="10"/>
  <c r="AE54" i="10"/>
  <c r="AE38" i="10"/>
  <c r="CX79" i="10"/>
  <c r="T121" i="4"/>
  <c r="U123" i="4"/>
  <c r="U26" i="4"/>
  <c r="S136" i="4"/>
  <c r="S114" i="4"/>
  <c r="T25" i="4"/>
  <c r="Y3" i="28"/>
  <c r="AA4" i="28"/>
  <c r="BA7" i="28" s="1"/>
  <c r="DN9" i="10" s="1"/>
  <c r="AB4" i="28"/>
  <c r="T123" i="4"/>
  <c r="T27" i="4"/>
  <c r="T144" i="4"/>
  <c r="T26" i="4"/>
  <c r="T122" i="4"/>
  <c r="T145" i="4"/>
  <c r="W5" i="4"/>
  <c r="W12" i="4"/>
  <c r="T143" i="4"/>
  <c r="T18" i="4"/>
  <c r="W3" i="4"/>
  <c r="W4" i="4"/>
  <c r="X7" i="4"/>
  <c r="X128" i="4"/>
  <c r="X127" i="4" s="1"/>
  <c r="X106" i="4"/>
  <c r="X105" i="4" s="1"/>
  <c r="K16" i="11"/>
  <c r="L15" i="11"/>
  <c r="CY132" i="10" l="1"/>
  <c r="CY108" i="10"/>
  <c r="CY123" i="10"/>
  <c r="CY83" i="10"/>
  <c r="CY109" i="10"/>
  <c r="CY182" i="10"/>
  <c r="CY188" i="10"/>
  <c r="CY155" i="10"/>
  <c r="CY172" i="10"/>
  <c r="CY171" i="10"/>
  <c r="CY23" i="10"/>
  <c r="CY134" i="10"/>
  <c r="CY92" i="10"/>
  <c r="CY91" i="10"/>
  <c r="CY156" i="10"/>
  <c r="CY40" i="10"/>
  <c r="CY6" i="10"/>
  <c r="CY66" i="10"/>
  <c r="CY139" i="10"/>
  <c r="CY141" i="10"/>
  <c r="CY197" i="10"/>
  <c r="CY198" i="10"/>
  <c r="CY187" i="10"/>
  <c r="CY181" i="10"/>
  <c r="CY11" i="10"/>
  <c r="CY114" i="10"/>
  <c r="CY87" i="10"/>
  <c r="CY63" i="10"/>
  <c r="U122" i="4"/>
  <c r="CY69" i="10"/>
  <c r="U145" i="4"/>
  <c r="CY26" i="10"/>
  <c r="CY46" i="10"/>
  <c r="CY103" i="10"/>
  <c r="CY145" i="10"/>
  <c r="CY165" i="10"/>
  <c r="CY8" i="10"/>
  <c r="CY86" i="10"/>
  <c r="CY107" i="10"/>
  <c r="CY121" i="10"/>
  <c r="CY153" i="10"/>
  <c r="CY173" i="10"/>
  <c r="CY58" i="10"/>
  <c r="CY61" i="10"/>
  <c r="CY157" i="10"/>
  <c r="U27" i="4"/>
  <c r="U144" i="4"/>
  <c r="CY7" i="10"/>
  <c r="CY24" i="10"/>
  <c r="CY89" i="10"/>
  <c r="CY112" i="10"/>
  <c r="CY51" i="10"/>
  <c r="CY191" i="10"/>
  <c r="CY159" i="10"/>
  <c r="CY185" i="10"/>
  <c r="CY110" i="10"/>
  <c r="CY127" i="10"/>
  <c r="CY80" i="10"/>
  <c r="CY79" i="10"/>
  <c r="CY176" i="10"/>
  <c r="CY97" i="10"/>
  <c r="CY142" i="10"/>
  <c r="CY192" i="10"/>
  <c r="CY117" i="10"/>
  <c r="CY144" i="10"/>
  <c r="CY31" i="10"/>
  <c r="CY93" i="10"/>
  <c r="CY160" i="10"/>
  <c r="CY111" i="10"/>
  <c r="CY75" i="10"/>
  <c r="CY20" i="10"/>
  <c r="CY71" i="10"/>
  <c r="CY128" i="10"/>
  <c r="CY29" i="10"/>
  <c r="CY101" i="10"/>
  <c r="CY143" i="10"/>
  <c r="CY57" i="10"/>
  <c r="CY96" i="10"/>
  <c r="CY53" i="10"/>
  <c r="CY129" i="10"/>
  <c r="CY161" i="10"/>
  <c r="CY43" i="10"/>
  <c r="V24" i="4"/>
  <c r="V141" i="4"/>
  <c r="V10" i="4"/>
  <c r="V119" i="4"/>
  <c r="V142" i="4"/>
  <c r="V23" i="4"/>
  <c r="V130" i="4"/>
  <c r="V120" i="4"/>
  <c r="V108" i="4"/>
  <c r="V22" i="4"/>
  <c r="V140" i="4"/>
  <c r="V118" i="4"/>
  <c r="V109" i="4"/>
  <c r="V131" i="4"/>
  <c r="V11" i="4"/>
  <c r="V112" i="4"/>
  <c r="V134" i="4"/>
  <c r="V17" i="4"/>
  <c r="V113" i="4"/>
  <c r="V135" i="4"/>
  <c r="V16" i="4"/>
  <c r="AF7" i="10"/>
  <c r="AF19" i="10"/>
  <c r="AF9" i="10"/>
  <c r="AF11" i="10"/>
  <c r="AF13" i="10"/>
  <c r="AF15" i="10"/>
  <c r="AF17" i="10"/>
  <c r="AF198" i="10"/>
  <c r="AF194" i="10"/>
  <c r="AF190" i="10"/>
  <c r="AF186" i="10"/>
  <c r="AF182" i="10"/>
  <c r="AF178" i="10"/>
  <c r="AF174" i="10"/>
  <c r="AF170" i="10"/>
  <c r="AF166" i="10"/>
  <c r="AF162" i="10"/>
  <c r="AF158" i="10"/>
  <c r="AF154" i="10"/>
  <c r="AF150" i="10"/>
  <c r="AF146" i="10"/>
  <c r="AF142" i="10"/>
  <c r="AF138" i="10"/>
  <c r="AF134" i="10"/>
  <c r="AF130" i="10"/>
  <c r="AF126" i="10"/>
  <c r="AF122" i="10"/>
  <c r="AF118" i="10"/>
  <c r="AF114" i="10"/>
  <c r="AF106" i="10"/>
  <c r="AF98" i="10"/>
  <c r="AF90" i="10"/>
  <c r="AF111" i="10"/>
  <c r="AF103" i="10"/>
  <c r="AF93" i="10"/>
  <c r="AF79" i="10"/>
  <c r="AF74" i="10"/>
  <c r="AF66" i="10"/>
  <c r="AF58" i="10"/>
  <c r="AF50" i="10"/>
  <c r="AF45" i="10"/>
  <c r="AF41" i="10"/>
  <c r="AF37" i="10"/>
  <c r="AF33" i="10"/>
  <c r="AF29" i="10"/>
  <c r="AF25" i="10"/>
  <c r="AF21" i="10"/>
  <c r="AF80" i="10"/>
  <c r="AF77" i="10"/>
  <c r="AF67" i="10"/>
  <c r="AF59" i="10"/>
  <c r="AF51" i="10"/>
  <c r="AF6" i="10"/>
  <c r="AF8" i="10"/>
  <c r="AF10" i="10"/>
  <c r="AF12" i="10"/>
  <c r="AF14" i="10"/>
  <c r="AF16" i="10"/>
  <c r="AF18" i="10"/>
  <c r="AF20" i="10"/>
  <c r="AF183" i="10"/>
  <c r="AF151" i="10"/>
  <c r="AF135" i="10"/>
  <c r="AF92" i="10"/>
  <c r="AF72" i="10"/>
  <c r="AF39" i="10"/>
  <c r="AF83" i="10"/>
  <c r="AF53" i="10"/>
  <c r="AF197" i="10"/>
  <c r="AF192" i="10"/>
  <c r="AF187" i="10"/>
  <c r="AF181" i="10"/>
  <c r="AF176" i="10"/>
  <c r="AF171" i="10"/>
  <c r="AF165" i="10"/>
  <c r="AF160" i="10"/>
  <c r="AF155" i="10"/>
  <c r="AF149" i="10"/>
  <c r="AF144" i="10"/>
  <c r="AF139" i="10"/>
  <c r="AF133" i="10"/>
  <c r="AF128" i="10"/>
  <c r="AF123" i="10"/>
  <c r="AF117" i="10"/>
  <c r="AF110" i="10"/>
  <c r="AF100" i="10"/>
  <c r="AF88" i="10"/>
  <c r="AF107" i="10"/>
  <c r="AF97" i="10"/>
  <c r="AF76" i="10"/>
  <c r="AF70" i="10"/>
  <c r="AF60" i="10"/>
  <c r="AF48" i="10"/>
  <c r="AF43" i="10"/>
  <c r="AF38" i="10"/>
  <c r="AF32" i="10"/>
  <c r="AF27" i="10"/>
  <c r="AF22" i="10"/>
  <c r="AF75" i="10"/>
  <c r="AF71" i="10"/>
  <c r="AF61" i="10"/>
  <c r="AF49" i="10"/>
  <c r="AF200" i="10"/>
  <c r="AF189" i="10"/>
  <c r="AF184" i="10"/>
  <c r="AF173" i="10"/>
  <c r="AF163" i="10"/>
  <c r="AF152" i="10"/>
  <c r="AF141" i="10"/>
  <c r="AF131" i="10"/>
  <c r="AF125" i="10"/>
  <c r="AF115" i="10"/>
  <c r="AF94" i="10"/>
  <c r="AF101" i="10"/>
  <c r="AF78" i="10"/>
  <c r="AF54" i="10"/>
  <c r="AF40" i="10"/>
  <c r="AF30" i="10"/>
  <c r="AF87" i="10"/>
  <c r="AF65" i="10"/>
  <c r="AF193" i="10"/>
  <c r="AF177" i="10"/>
  <c r="AF167" i="10"/>
  <c r="AF156" i="10"/>
  <c r="AF145" i="10"/>
  <c r="AF129" i="10"/>
  <c r="AF119" i="10"/>
  <c r="AF102" i="10"/>
  <c r="AF99" i="10"/>
  <c r="AF62" i="10"/>
  <c r="AF44" i="10"/>
  <c r="AF34" i="10"/>
  <c r="AF23" i="10"/>
  <c r="AF63" i="10"/>
  <c r="AF196" i="10"/>
  <c r="AF191" i="10"/>
  <c r="AF185" i="10"/>
  <c r="AF180" i="10"/>
  <c r="AF175" i="10"/>
  <c r="AF169" i="10"/>
  <c r="AF164" i="10"/>
  <c r="AF159" i="10"/>
  <c r="AF153" i="10"/>
  <c r="AF148" i="10"/>
  <c r="AF143" i="10"/>
  <c r="AF137" i="10"/>
  <c r="AF132" i="10"/>
  <c r="AF127" i="10"/>
  <c r="AF121" i="10"/>
  <c r="AF116" i="10"/>
  <c r="AF108" i="10"/>
  <c r="AF96" i="10"/>
  <c r="AF86" i="10"/>
  <c r="AF105" i="10"/>
  <c r="AF89" i="10"/>
  <c r="AF81" i="10"/>
  <c r="AF68" i="10"/>
  <c r="AF56" i="10"/>
  <c r="AF47" i="10"/>
  <c r="AF42" i="10"/>
  <c r="AF36" i="10"/>
  <c r="AF31" i="10"/>
  <c r="AF26" i="10"/>
  <c r="AF91" i="10"/>
  <c r="AF95" i="10"/>
  <c r="AF69" i="10"/>
  <c r="AF57" i="10"/>
  <c r="AF195" i="10"/>
  <c r="AF179" i="10"/>
  <c r="AF168" i="10"/>
  <c r="AF157" i="10"/>
  <c r="AF147" i="10"/>
  <c r="AF136" i="10"/>
  <c r="AF120" i="10"/>
  <c r="AF104" i="10"/>
  <c r="AF113" i="10"/>
  <c r="AF85" i="10"/>
  <c r="AF64" i="10"/>
  <c r="AF46" i="10"/>
  <c r="AF35" i="10"/>
  <c r="AF24" i="10"/>
  <c r="AF82" i="10"/>
  <c r="AF55" i="10"/>
  <c r="AF199" i="10"/>
  <c r="AF188" i="10"/>
  <c r="AF172" i="10"/>
  <c r="AF161" i="10"/>
  <c r="AF140" i="10"/>
  <c r="AF124" i="10"/>
  <c r="AF112" i="10"/>
  <c r="AF109" i="10"/>
  <c r="AF84" i="10"/>
  <c r="AF52" i="10"/>
  <c r="AF28" i="10"/>
  <c r="AF73" i="10"/>
  <c r="CY60" i="10"/>
  <c r="CY9" i="10"/>
  <c r="CY44" i="10"/>
  <c r="CY52" i="10"/>
  <c r="CY49" i="10"/>
  <c r="CY33" i="10"/>
  <c r="CB47" i="10"/>
  <c r="BD82" i="10"/>
  <c r="CB6" i="10"/>
  <c r="CB8" i="10"/>
  <c r="CB10" i="10"/>
  <c r="CB12" i="10"/>
  <c r="CB14" i="10"/>
  <c r="CB16" i="10"/>
  <c r="CB18" i="10"/>
  <c r="CB20" i="10"/>
  <c r="CB22" i="10"/>
  <c r="CB24" i="10"/>
  <c r="CB26" i="10"/>
  <c r="CB28" i="10"/>
  <c r="CB30" i="10"/>
  <c r="CB32" i="10"/>
  <c r="CB34" i="10"/>
  <c r="CB36" i="10"/>
  <c r="CB38" i="10"/>
  <c r="CB40" i="10"/>
  <c r="CB42" i="10"/>
  <c r="CB44" i="10"/>
  <c r="CB46" i="10"/>
  <c r="CB7" i="10"/>
  <c r="CB9" i="10"/>
  <c r="CB11" i="10"/>
  <c r="CB13" i="10"/>
  <c r="CB15" i="10"/>
  <c r="CB17" i="10"/>
  <c r="CB19" i="10"/>
  <c r="CB21" i="10"/>
  <c r="CB23" i="10"/>
  <c r="CB25" i="10"/>
  <c r="CB27" i="10"/>
  <c r="CB29" i="10"/>
  <c r="CB31" i="10"/>
  <c r="CB33" i="10"/>
  <c r="CB35" i="10"/>
  <c r="CB37" i="10"/>
  <c r="CB39" i="10"/>
  <c r="CB41" i="10"/>
  <c r="CB43" i="10"/>
  <c r="CB45" i="10"/>
  <c r="CB200" i="10"/>
  <c r="CB196" i="10"/>
  <c r="CB192" i="10"/>
  <c r="CB188" i="10"/>
  <c r="CB184" i="10"/>
  <c r="CB180" i="10"/>
  <c r="CB176" i="10"/>
  <c r="CB172" i="10"/>
  <c r="CB168" i="10"/>
  <c r="CB162" i="10"/>
  <c r="CB158" i="10"/>
  <c r="CB156" i="10"/>
  <c r="CB152" i="10"/>
  <c r="CB148" i="10"/>
  <c r="CB144" i="10"/>
  <c r="CB140" i="10"/>
  <c r="CB136" i="10"/>
  <c r="CB132" i="10"/>
  <c r="CB128" i="10"/>
  <c r="CB124" i="10"/>
  <c r="CB120" i="10"/>
  <c r="CB116" i="10"/>
  <c r="CB112" i="10"/>
  <c r="CB108" i="10"/>
  <c r="CB104" i="10"/>
  <c r="CB100" i="10"/>
  <c r="CB96" i="10"/>
  <c r="CB92" i="10"/>
  <c r="CB88" i="10"/>
  <c r="CB84" i="10"/>
  <c r="CB80" i="10"/>
  <c r="CB76" i="10"/>
  <c r="CB72" i="10"/>
  <c r="CB68" i="10"/>
  <c r="CB64" i="10"/>
  <c r="CB60" i="10"/>
  <c r="CB56" i="10"/>
  <c r="CB52" i="10"/>
  <c r="CB48" i="10"/>
  <c r="CB199" i="10"/>
  <c r="CB195" i="10"/>
  <c r="CB191" i="10"/>
  <c r="CB187" i="10"/>
  <c r="CB183" i="10"/>
  <c r="CB179" i="10"/>
  <c r="CB175" i="10"/>
  <c r="CB171" i="10"/>
  <c r="CB167" i="10"/>
  <c r="CB161" i="10"/>
  <c r="CB165" i="10"/>
  <c r="CB155" i="10"/>
  <c r="CB151" i="10"/>
  <c r="CB147" i="10"/>
  <c r="CB143" i="10"/>
  <c r="CB139" i="10"/>
  <c r="CB135" i="10"/>
  <c r="CB131" i="10"/>
  <c r="CB127" i="10"/>
  <c r="CB123" i="10"/>
  <c r="CB119" i="10"/>
  <c r="CB115" i="10"/>
  <c r="CB111" i="10"/>
  <c r="CB107" i="10"/>
  <c r="CB103" i="10"/>
  <c r="CB99" i="10"/>
  <c r="CB95" i="10"/>
  <c r="CB91" i="10"/>
  <c r="CB87" i="10"/>
  <c r="CB83" i="10"/>
  <c r="CB79" i="10"/>
  <c r="CB75" i="10"/>
  <c r="CB71" i="10"/>
  <c r="CB67" i="10"/>
  <c r="CB63" i="10"/>
  <c r="CB59" i="10"/>
  <c r="CB55" i="10"/>
  <c r="CB51" i="10"/>
  <c r="CB198" i="10"/>
  <c r="CB194" i="10"/>
  <c r="CB190" i="10"/>
  <c r="CB186" i="10"/>
  <c r="CB182" i="10"/>
  <c r="CB178" i="10"/>
  <c r="CB174" i="10"/>
  <c r="CB170" i="10"/>
  <c r="CB166" i="10"/>
  <c r="CB160" i="10"/>
  <c r="CB163" i="10"/>
  <c r="CB154" i="10"/>
  <c r="CB150" i="10"/>
  <c r="CB146" i="10"/>
  <c r="CB142" i="10"/>
  <c r="CB138" i="10"/>
  <c r="CB134" i="10"/>
  <c r="CB130" i="10"/>
  <c r="CB126" i="10"/>
  <c r="CB122" i="10"/>
  <c r="CB118" i="10"/>
  <c r="CB114" i="10"/>
  <c r="CB110" i="10"/>
  <c r="CB106" i="10"/>
  <c r="CB102" i="10"/>
  <c r="CB98" i="10"/>
  <c r="CB94" i="10"/>
  <c r="CB90" i="10"/>
  <c r="CB86" i="10"/>
  <c r="CB82" i="10"/>
  <c r="CB78" i="10"/>
  <c r="CB74" i="10"/>
  <c r="CB70" i="10"/>
  <c r="CB66" i="10"/>
  <c r="CB62" i="10"/>
  <c r="CB58" i="10"/>
  <c r="CB54" i="10"/>
  <c r="CB50" i="10"/>
  <c r="CB197" i="10"/>
  <c r="CB193" i="10"/>
  <c r="CB189" i="10"/>
  <c r="CB185" i="10"/>
  <c r="CB181" i="10"/>
  <c r="CB177" i="10"/>
  <c r="CB173" i="10"/>
  <c r="CB169" i="10"/>
  <c r="CB164" i="10"/>
  <c r="CB159" i="10"/>
  <c r="CB157" i="10"/>
  <c r="CB153" i="10"/>
  <c r="CB149" i="10"/>
  <c r="CB145" i="10"/>
  <c r="CB141" i="10"/>
  <c r="CB137" i="10"/>
  <c r="CB133" i="10"/>
  <c r="CB129" i="10"/>
  <c r="CB125" i="10"/>
  <c r="CB121" i="10"/>
  <c r="CB117" i="10"/>
  <c r="CB113" i="10"/>
  <c r="CB109" i="10"/>
  <c r="CB105" i="10"/>
  <c r="CB101" i="10"/>
  <c r="CB97" i="10"/>
  <c r="CB93" i="10"/>
  <c r="CB89" i="10"/>
  <c r="CB85" i="10"/>
  <c r="CB81" i="10"/>
  <c r="CB77" i="10"/>
  <c r="CB73" i="10"/>
  <c r="CB69" i="10"/>
  <c r="CB65" i="10"/>
  <c r="CB61" i="10"/>
  <c r="CB57" i="10"/>
  <c r="CB53" i="10"/>
  <c r="CB49" i="10"/>
  <c r="BD195" i="10"/>
  <c r="BD192" i="10"/>
  <c r="CZ192" i="10" s="1"/>
  <c r="BD186" i="10"/>
  <c r="BD198" i="10"/>
  <c r="BD183" i="10"/>
  <c r="BD175" i="10"/>
  <c r="BD167" i="10"/>
  <c r="CZ167" i="10" s="1"/>
  <c r="BD162" i="10"/>
  <c r="BD158" i="10"/>
  <c r="BD154" i="10"/>
  <c r="BD150" i="10"/>
  <c r="BD146" i="10"/>
  <c r="BD142" i="10"/>
  <c r="BD138" i="10"/>
  <c r="BD134" i="10"/>
  <c r="BD130" i="10"/>
  <c r="BD126" i="10"/>
  <c r="BD122" i="10"/>
  <c r="BD118" i="10"/>
  <c r="BD166" i="10"/>
  <c r="BD114" i="10"/>
  <c r="BD110" i="10"/>
  <c r="BD106" i="10"/>
  <c r="BD180" i="10"/>
  <c r="CZ180" i="10" s="1"/>
  <c r="BD101" i="10"/>
  <c r="BD93" i="10"/>
  <c r="BD85" i="10"/>
  <c r="CZ85" i="10" s="1"/>
  <c r="BD77" i="10"/>
  <c r="BD69" i="10"/>
  <c r="BD98" i="10"/>
  <c r="CZ98" i="10" s="1"/>
  <c r="BD90" i="10"/>
  <c r="BD6" i="10"/>
  <c r="BD8" i="10"/>
  <c r="CZ8" i="10" s="1"/>
  <c r="BD12" i="10"/>
  <c r="CZ12" i="10" s="1"/>
  <c r="BD20" i="10"/>
  <c r="BD26" i="10"/>
  <c r="CZ26" i="10" s="1"/>
  <c r="BD34" i="10"/>
  <c r="CZ34" i="10" s="1"/>
  <c r="BD193" i="10"/>
  <c r="BD194" i="10"/>
  <c r="BD184" i="10"/>
  <c r="CZ184" i="10" s="1"/>
  <c r="BD189" i="10"/>
  <c r="CZ189" i="10" s="1"/>
  <c r="BD181" i="10"/>
  <c r="BD173" i="10"/>
  <c r="BD165" i="10"/>
  <c r="BD161" i="10"/>
  <c r="CZ161" i="10" s="1"/>
  <c r="BD157" i="10"/>
  <c r="BD153" i="10"/>
  <c r="BD149" i="10"/>
  <c r="BD145" i="10"/>
  <c r="BD141" i="10"/>
  <c r="BD137" i="10"/>
  <c r="BD133" i="10"/>
  <c r="BD129" i="10"/>
  <c r="BD125" i="10"/>
  <c r="BD121" i="10"/>
  <c r="BD178" i="10"/>
  <c r="BD117" i="10"/>
  <c r="BD113" i="10"/>
  <c r="BD109" i="10"/>
  <c r="BD105" i="10"/>
  <c r="BD176" i="10"/>
  <c r="BD99" i="10"/>
  <c r="CZ99" i="10" s="1"/>
  <c r="BD91" i="10"/>
  <c r="BD83" i="10"/>
  <c r="CZ83" i="10" s="1"/>
  <c r="BD75" i="10"/>
  <c r="BD67" i="10"/>
  <c r="CZ67" i="10" s="1"/>
  <c r="BD96" i="10"/>
  <c r="BD88" i="10"/>
  <c r="CZ88" i="10" s="1"/>
  <c r="BD14" i="10"/>
  <c r="BD28" i="10"/>
  <c r="CZ28" i="10" s="1"/>
  <c r="BD36" i="10"/>
  <c r="BD68" i="10"/>
  <c r="CZ68" i="10" s="1"/>
  <c r="BD72" i="10"/>
  <c r="CZ72" i="10" s="1"/>
  <c r="BD199" i="10"/>
  <c r="BD191" i="10"/>
  <c r="CZ191" i="10" s="1"/>
  <c r="BD190" i="10"/>
  <c r="BD182" i="10"/>
  <c r="CZ182" i="10" s="1"/>
  <c r="BD187" i="10"/>
  <c r="CZ187" i="10" s="1"/>
  <c r="BD179" i="10"/>
  <c r="CZ179" i="10" s="1"/>
  <c r="BD171" i="10"/>
  <c r="BD164" i="10"/>
  <c r="BD160" i="10"/>
  <c r="CZ160" i="10" s="1"/>
  <c r="BD156" i="10"/>
  <c r="CZ156" i="10" s="1"/>
  <c r="BD152" i="10"/>
  <c r="CZ152" i="10" s="1"/>
  <c r="BD148" i="10"/>
  <c r="CZ148" i="10" s="1"/>
  <c r="BD144" i="10"/>
  <c r="CZ144" i="10" s="1"/>
  <c r="BD140" i="10"/>
  <c r="CZ140" i="10" s="1"/>
  <c r="BD136" i="10"/>
  <c r="CZ136" i="10" s="1"/>
  <c r="BD132" i="10"/>
  <c r="CZ132" i="10" s="1"/>
  <c r="BD128" i="10"/>
  <c r="CZ128" i="10" s="1"/>
  <c r="BD124" i="10"/>
  <c r="CZ124" i="10" s="1"/>
  <c r="BD120" i="10"/>
  <c r="CZ120" i="10" s="1"/>
  <c r="BD174" i="10"/>
  <c r="BD116" i="10"/>
  <c r="CZ116" i="10" s="1"/>
  <c r="BD112" i="10"/>
  <c r="BD108" i="10"/>
  <c r="BD104" i="10"/>
  <c r="CZ104" i="10" s="1"/>
  <c r="BD172" i="10"/>
  <c r="BD97" i="10"/>
  <c r="CZ97" i="10" s="1"/>
  <c r="BD89" i="10"/>
  <c r="BD81" i="10"/>
  <c r="BD73" i="10"/>
  <c r="CZ73" i="10" s="1"/>
  <c r="BD102" i="10"/>
  <c r="CZ102" i="10" s="1"/>
  <c r="BD94" i="10"/>
  <c r="BD86" i="10"/>
  <c r="CZ86" i="10" s="1"/>
  <c r="BD7" i="10"/>
  <c r="CZ7" i="10" s="1"/>
  <c r="BD16" i="10"/>
  <c r="CZ16" i="10" s="1"/>
  <c r="BD22" i="10"/>
  <c r="BD30" i="10"/>
  <c r="BD76" i="10"/>
  <c r="BD197" i="10"/>
  <c r="CZ197" i="10" s="1"/>
  <c r="BD200" i="10"/>
  <c r="CZ200" i="10" s="1"/>
  <c r="BD188" i="10"/>
  <c r="BD196" i="10"/>
  <c r="CZ196" i="10" s="1"/>
  <c r="BD185" i="10"/>
  <c r="BD177" i="10"/>
  <c r="CZ177" i="10" s="1"/>
  <c r="BD169" i="10"/>
  <c r="BD163" i="10"/>
  <c r="BD159" i="10"/>
  <c r="CZ159" i="10" s="1"/>
  <c r="BD155" i="10"/>
  <c r="BD151" i="10"/>
  <c r="BD147" i="10"/>
  <c r="CZ147" i="10" s="1"/>
  <c r="BD143" i="10"/>
  <c r="CZ143" i="10" s="1"/>
  <c r="BD139" i="10"/>
  <c r="BD135" i="10"/>
  <c r="BD131" i="10"/>
  <c r="CZ131" i="10" s="1"/>
  <c r="BD127" i="10"/>
  <c r="CZ127" i="10" s="1"/>
  <c r="BD123" i="10"/>
  <c r="BD119" i="10"/>
  <c r="BD170" i="10"/>
  <c r="CZ170" i="10" s="1"/>
  <c r="BD115" i="10"/>
  <c r="CZ115" i="10" s="1"/>
  <c r="BD111" i="10"/>
  <c r="CZ111" i="10" s="1"/>
  <c r="BD107" i="10"/>
  <c r="BD103" i="10"/>
  <c r="BD168" i="10"/>
  <c r="CZ168" i="10" s="1"/>
  <c r="BD95" i="10"/>
  <c r="CZ95" i="10" s="1"/>
  <c r="BD87" i="10"/>
  <c r="BD79" i="10"/>
  <c r="CZ79" i="10" s="1"/>
  <c r="BD71" i="10"/>
  <c r="CZ71" i="10" s="1"/>
  <c r="BD100" i="10"/>
  <c r="CZ100" i="10" s="1"/>
  <c r="BD92" i="10"/>
  <c r="BD84" i="10"/>
  <c r="CZ84" i="10" s="1"/>
  <c r="BD10" i="10"/>
  <c r="CZ10" i="10" s="1"/>
  <c r="BD18" i="10"/>
  <c r="CZ18" i="10" s="1"/>
  <c r="BD24" i="10"/>
  <c r="CZ24" i="10" s="1"/>
  <c r="BD32" i="10"/>
  <c r="CZ32" i="10" s="1"/>
  <c r="BD38" i="10"/>
  <c r="CZ38" i="10" s="1"/>
  <c r="BD74" i="10"/>
  <c r="CZ74" i="10" s="1"/>
  <c r="BD78" i="10"/>
  <c r="BD66" i="10"/>
  <c r="CZ66" i="10" s="1"/>
  <c r="BD70" i="10"/>
  <c r="CZ70" i="10" s="1"/>
  <c r="BD17" i="10"/>
  <c r="CZ17" i="10" s="1"/>
  <c r="BD23" i="10"/>
  <c r="CZ23" i="10" s="1"/>
  <c r="BD29" i="10"/>
  <c r="BD35" i="10"/>
  <c r="CZ35" i="10" s="1"/>
  <c r="BD42" i="10"/>
  <c r="CZ42" i="10" s="1"/>
  <c r="BD46" i="10"/>
  <c r="BD50" i="10"/>
  <c r="CZ50" i="10" s="1"/>
  <c r="BD54" i="10"/>
  <c r="CZ54" i="10" s="1"/>
  <c r="BD58" i="10"/>
  <c r="CZ58" i="10" s="1"/>
  <c r="BD62" i="10"/>
  <c r="BD19" i="10"/>
  <c r="CZ19" i="10" s="1"/>
  <c r="BD21" i="10"/>
  <c r="CZ21" i="10" s="1"/>
  <c r="BD25" i="10"/>
  <c r="CZ25" i="10" s="1"/>
  <c r="BD31" i="10"/>
  <c r="CZ31" i="10" s="1"/>
  <c r="BD33" i="10"/>
  <c r="CZ33" i="10" s="1"/>
  <c r="BD37" i="10"/>
  <c r="CZ37" i="10" s="1"/>
  <c r="BD44" i="10"/>
  <c r="BD51" i="10"/>
  <c r="CZ51" i="10" s="1"/>
  <c r="BD53" i="10"/>
  <c r="BD60" i="10"/>
  <c r="CZ60" i="10" s="1"/>
  <c r="BD9" i="10"/>
  <c r="CZ9" i="10" s="1"/>
  <c r="BD11" i="10"/>
  <c r="BD13" i="10"/>
  <c r="BD15" i="10"/>
  <c r="CZ15" i="10" s="1"/>
  <c r="BD27" i="10"/>
  <c r="BD39" i="10"/>
  <c r="CZ39" i="10" s="1"/>
  <c r="BD41" i="10"/>
  <c r="CZ41" i="10" s="1"/>
  <c r="BD48" i="10"/>
  <c r="CZ48" i="10" s="1"/>
  <c r="BD55" i="10"/>
  <c r="BD57" i="10"/>
  <c r="BD65" i="10"/>
  <c r="CZ65" i="10" s="1"/>
  <c r="BD43" i="10"/>
  <c r="CZ43" i="10" s="1"/>
  <c r="BD45" i="10"/>
  <c r="BD52" i="10"/>
  <c r="CZ52" i="10" s="1"/>
  <c r="BD59" i="10"/>
  <c r="CZ59" i="10" s="1"/>
  <c r="BD61" i="10"/>
  <c r="CZ61" i="10" s="1"/>
  <c r="BD64" i="10"/>
  <c r="BD40" i="10"/>
  <c r="CZ40" i="10" s="1"/>
  <c r="BD47" i="10"/>
  <c r="CZ47" i="10" s="1"/>
  <c r="BD49" i="10"/>
  <c r="CZ49" i="10" s="1"/>
  <c r="BD56" i="10"/>
  <c r="CZ56" i="10" s="1"/>
  <c r="BD63" i="10"/>
  <c r="CZ63" i="10" s="1"/>
  <c r="BD80" i="10"/>
  <c r="CZ80" i="10" s="1"/>
  <c r="CY137" i="10"/>
  <c r="CY37" i="10"/>
  <c r="CY19" i="10"/>
  <c r="CY54" i="10"/>
  <c r="CY39" i="10"/>
  <c r="X12" i="4"/>
  <c r="AG4" i="10"/>
  <c r="X13" i="4"/>
  <c r="DA4" i="10"/>
  <c r="CC4" i="10"/>
  <c r="BE4" i="10"/>
  <c r="AF3" i="10"/>
  <c r="CZ3" i="10"/>
  <c r="CB3" i="10"/>
  <c r="BD3" i="10"/>
  <c r="CY10" i="10"/>
  <c r="CY73" i="10"/>
  <c r="CY56" i="10"/>
  <c r="CY25" i="10"/>
  <c r="CY13" i="10"/>
  <c r="CY42" i="10"/>
  <c r="CY45" i="10"/>
  <c r="CY47" i="10"/>
  <c r="CY35" i="10"/>
  <c r="CY17" i="10"/>
  <c r="CY48" i="10"/>
  <c r="CY50" i="10"/>
  <c r="CY41" i="10"/>
  <c r="U18" i="4"/>
  <c r="U143" i="4"/>
  <c r="U121" i="4"/>
  <c r="U25" i="4"/>
  <c r="AA3" i="28"/>
  <c r="X5" i="4"/>
  <c r="T136" i="4"/>
  <c r="AD4" i="28"/>
  <c r="AC4" i="28"/>
  <c r="T114" i="4"/>
  <c r="X3" i="4"/>
  <c r="X4" i="4"/>
  <c r="Y7" i="4"/>
  <c r="Y128" i="4"/>
  <c r="Y127" i="4" s="1"/>
  <c r="Y106" i="4"/>
  <c r="Y105" i="4" s="1"/>
  <c r="AC3" i="28"/>
  <c r="K17" i="11"/>
  <c r="L16" i="11"/>
  <c r="CZ64" i="10" l="1"/>
  <c r="CZ27" i="10"/>
  <c r="CZ44" i="10"/>
  <c r="CZ123" i="10"/>
  <c r="CZ139" i="10"/>
  <c r="CZ155" i="10"/>
  <c r="CZ185" i="10"/>
  <c r="CZ112" i="10"/>
  <c r="CZ36" i="10"/>
  <c r="CZ96" i="10"/>
  <c r="CZ91" i="10"/>
  <c r="CZ194" i="10"/>
  <c r="CZ20" i="10"/>
  <c r="CZ109" i="10"/>
  <c r="CZ90" i="10"/>
  <c r="CZ106" i="10"/>
  <c r="CZ186" i="10"/>
  <c r="CZ121" i="10"/>
  <c r="CZ137" i="10"/>
  <c r="CZ153" i="10"/>
  <c r="CZ165" i="10"/>
  <c r="CZ166" i="10"/>
  <c r="CZ162" i="10"/>
  <c r="CZ198" i="10"/>
  <c r="CZ57" i="10"/>
  <c r="CZ11" i="10"/>
  <c r="CZ107" i="10"/>
  <c r="CZ169" i="10"/>
  <c r="CZ81" i="10"/>
  <c r="CZ75" i="10"/>
  <c r="CZ176" i="10"/>
  <c r="CZ129" i="10"/>
  <c r="CZ145" i="10"/>
  <c r="CZ114" i="10"/>
  <c r="CZ158" i="10"/>
  <c r="CZ195" i="10"/>
  <c r="CZ89" i="10"/>
  <c r="CZ171" i="10"/>
  <c r="CZ105" i="10"/>
  <c r="CZ178" i="10"/>
  <c r="CZ130" i="10"/>
  <c r="CZ146" i="10"/>
  <c r="CZ173" i="10"/>
  <c r="CZ118" i="10"/>
  <c r="CZ134" i="10"/>
  <c r="CZ150" i="10"/>
  <c r="CZ113" i="10"/>
  <c r="CZ125" i="10"/>
  <c r="CZ141" i="10"/>
  <c r="CZ157" i="10"/>
  <c r="CZ193" i="10"/>
  <c r="CZ93" i="10"/>
  <c r="CZ122" i="10"/>
  <c r="CZ138" i="10"/>
  <c r="CZ154" i="10"/>
  <c r="CZ175" i="10"/>
  <c r="CZ77" i="10"/>
  <c r="CZ13" i="10"/>
  <c r="CZ53" i="10"/>
  <c r="CZ29" i="10"/>
  <c r="CZ103" i="10"/>
  <c r="CZ163" i="10"/>
  <c r="CZ76" i="10"/>
  <c r="CZ172" i="10"/>
  <c r="CZ199" i="10"/>
  <c r="CZ181" i="10"/>
  <c r="CZ110" i="10"/>
  <c r="CZ62" i="10"/>
  <c r="CZ46" i="10"/>
  <c r="CZ78" i="10"/>
  <c r="CZ92" i="10"/>
  <c r="CZ87" i="10"/>
  <c r="CZ119" i="10"/>
  <c r="CZ135" i="10"/>
  <c r="CZ151" i="10"/>
  <c r="CZ188" i="10"/>
  <c r="CZ30" i="10"/>
  <c r="CZ174" i="10"/>
  <c r="CZ164" i="10"/>
  <c r="CZ14" i="10"/>
  <c r="CZ117" i="10"/>
  <c r="CZ126" i="10"/>
  <c r="CZ142" i="10"/>
  <c r="CZ183" i="10"/>
  <c r="CZ45" i="10"/>
  <c r="CZ55" i="10"/>
  <c r="CZ22" i="10"/>
  <c r="CZ94" i="10"/>
  <c r="CZ108" i="10"/>
  <c r="CZ190" i="10"/>
  <c r="CZ133" i="10"/>
  <c r="CZ149" i="10"/>
  <c r="CZ6" i="10"/>
  <c r="AH4" i="10"/>
  <c r="DB4" i="10"/>
  <c r="CD4" i="10"/>
  <c r="BF4" i="10"/>
  <c r="Y13" i="4"/>
  <c r="CZ82" i="10"/>
  <c r="CC53" i="10"/>
  <c r="CC6" i="10"/>
  <c r="CC8" i="10"/>
  <c r="CC10" i="10"/>
  <c r="CC12" i="10"/>
  <c r="CC14" i="10"/>
  <c r="CC16" i="10"/>
  <c r="CC18" i="10"/>
  <c r="CC20" i="10"/>
  <c r="CC22" i="10"/>
  <c r="CC24" i="10"/>
  <c r="CC26" i="10"/>
  <c r="CC28" i="10"/>
  <c r="CC30" i="10"/>
  <c r="CC32" i="10"/>
  <c r="CC34" i="10"/>
  <c r="CC36" i="10"/>
  <c r="CC38" i="10"/>
  <c r="CC40" i="10"/>
  <c r="CC42" i="10"/>
  <c r="CC44" i="10"/>
  <c r="CC46" i="10"/>
  <c r="CC47" i="10"/>
  <c r="CC51" i="10"/>
  <c r="CC50" i="10"/>
  <c r="CC7" i="10"/>
  <c r="CC9" i="10"/>
  <c r="CC11" i="10"/>
  <c r="CC13" i="10"/>
  <c r="CC15" i="10"/>
  <c r="CC17" i="10"/>
  <c r="CC19" i="10"/>
  <c r="CC21" i="10"/>
  <c r="CC23" i="10"/>
  <c r="CC25" i="10"/>
  <c r="CC27" i="10"/>
  <c r="CC29" i="10"/>
  <c r="CC31" i="10"/>
  <c r="CC33" i="10"/>
  <c r="CC35" i="10"/>
  <c r="CC37" i="10"/>
  <c r="CC39" i="10"/>
  <c r="CC41" i="10"/>
  <c r="CC43" i="10"/>
  <c r="CC45" i="10"/>
  <c r="CC49" i="10"/>
  <c r="CC48" i="10"/>
  <c r="CC198" i="10"/>
  <c r="CC189" i="10"/>
  <c r="CC185" i="10"/>
  <c r="CC181" i="10"/>
  <c r="CC177" i="10"/>
  <c r="CC173" i="10"/>
  <c r="CC169" i="10"/>
  <c r="CC165" i="10"/>
  <c r="CC195" i="10"/>
  <c r="CC162" i="10"/>
  <c r="CC158" i="10"/>
  <c r="CC154" i="10"/>
  <c r="CC150" i="10"/>
  <c r="CC146" i="10"/>
  <c r="CC142" i="10"/>
  <c r="CC138" i="10"/>
  <c r="CC134" i="10"/>
  <c r="CC130" i="10"/>
  <c r="CC126" i="10"/>
  <c r="CC122" i="10"/>
  <c r="CC118" i="10"/>
  <c r="CC114" i="10"/>
  <c r="CC110" i="10"/>
  <c r="CC106" i="10"/>
  <c r="CC102" i="10"/>
  <c r="CC98" i="10"/>
  <c r="CC94" i="10"/>
  <c r="CC90" i="10"/>
  <c r="CC86" i="10"/>
  <c r="CC82" i="10"/>
  <c r="CC78" i="10"/>
  <c r="CC74" i="10"/>
  <c r="CC70" i="10"/>
  <c r="CC66" i="10"/>
  <c r="CC62" i="10"/>
  <c r="CC58" i="10"/>
  <c r="CC54" i="10"/>
  <c r="BE38" i="10"/>
  <c r="CC192" i="10"/>
  <c r="CC188" i="10"/>
  <c r="CC184" i="10"/>
  <c r="CC180" i="10"/>
  <c r="CC176" i="10"/>
  <c r="CC172" i="10"/>
  <c r="CC168" i="10"/>
  <c r="CC164" i="10"/>
  <c r="CC194" i="10"/>
  <c r="CC161" i="10"/>
  <c r="CC157" i="10"/>
  <c r="CC153" i="10"/>
  <c r="CC149" i="10"/>
  <c r="CC145" i="10"/>
  <c r="CC141" i="10"/>
  <c r="CC137" i="10"/>
  <c r="CC133" i="10"/>
  <c r="CC129" i="10"/>
  <c r="CC125" i="10"/>
  <c r="CC121" i="10"/>
  <c r="CC117" i="10"/>
  <c r="CC113" i="10"/>
  <c r="CC109" i="10"/>
  <c r="CC105" i="10"/>
  <c r="CC101" i="10"/>
  <c r="CC97" i="10"/>
  <c r="CC93" i="10"/>
  <c r="CC89" i="10"/>
  <c r="CC85" i="10"/>
  <c r="CC81" i="10"/>
  <c r="CC77" i="10"/>
  <c r="CC73" i="10"/>
  <c r="CC69" i="10"/>
  <c r="CC65" i="10"/>
  <c r="CC61" i="10"/>
  <c r="CC57" i="10"/>
  <c r="CC200" i="10"/>
  <c r="CC191" i="10"/>
  <c r="CC187" i="10"/>
  <c r="CC183" i="10"/>
  <c r="CC179" i="10"/>
  <c r="CC175" i="10"/>
  <c r="CC171" i="10"/>
  <c r="CC167" i="10"/>
  <c r="CC163" i="10"/>
  <c r="CC193" i="10"/>
  <c r="CC160" i="10"/>
  <c r="CC156" i="10"/>
  <c r="CC152" i="10"/>
  <c r="CC148" i="10"/>
  <c r="CC144" i="10"/>
  <c r="CC140" i="10"/>
  <c r="CC136" i="10"/>
  <c r="CC132" i="10"/>
  <c r="CC128" i="10"/>
  <c r="CC124" i="10"/>
  <c r="CC120" i="10"/>
  <c r="CC116" i="10"/>
  <c r="CC112" i="10"/>
  <c r="CC108" i="10"/>
  <c r="CC104" i="10"/>
  <c r="CC100" i="10"/>
  <c r="CC96" i="10"/>
  <c r="CC92" i="10"/>
  <c r="CC88" i="10"/>
  <c r="CC84" i="10"/>
  <c r="CC80" i="10"/>
  <c r="CC76" i="10"/>
  <c r="CC72" i="10"/>
  <c r="CC68" i="10"/>
  <c r="CC64" i="10"/>
  <c r="CC60" i="10"/>
  <c r="CC56" i="10"/>
  <c r="CC199" i="10"/>
  <c r="CC190" i="10"/>
  <c r="CC186" i="10"/>
  <c r="CC182" i="10"/>
  <c r="CC178" i="10"/>
  <c r="CC174" i="10"/>
  <c r="CC170" i="10"/>
  <c r="CC166" i="10"/>
  <c r="CC196" i="10"/>
  <c r="CC197" i="10"/>
  <c r="CC159" i="10"/>
  <c r="CC155" i="10"/>
  <c r="CC151" i="10"/>
  <c r="CC147" i="10"/>
  <c r="CC143" i="10"/>
  <c r="CC139" i="10"/>
  <c r="CC135" i="10"/>
  <c r="CC131" i="10"/>
  <c r="CC127" i="10"/>
  <c r="CC123" i="10"/>
  <c r="CC119" i="10"/>
  <c r="CC115" i="10"/>
  <c r="CC111" i="10"/>
  <c r="CC107" i="10"/>
  <c r="CC103" i="10"/>
  <c r="CC99" i="10"/>
  <c r="CC95" i="10"/>
  <c r="CC91" i="10"/>
  <c r="CC87" i="10"/>
  <c r="CC83" i="10"/>
  <c r="CC79" i="10"/>
  <c r="CC75" i="10"/>
  <c r="CC71" i="10"/>
  <c r="CC67" i="10"/>
  <c r="CC63" i="10"/>
  <c r="CC59" i="10"/>
  <c r="CC55" i="10"/>
  <c r="BE16" i="10"/>
  <c r="DA16" i="10" s="1"/>
  <c r="CC52" i="10"/>
  <c r="BE7" i="10"/>
  <c r="DA7" i="10" s="1"/>
  <c r="BE8" i="10"/>
  <c r="DA8" i="10" s="1"/>
  <c r="BE18" i="10"/>
  <c r="DA18" i="10" s="1"/>
  <c r="BE20" i="10"/>
  <c r="DA20" i="10" s="1"/>
  <c r="BE14" i="10"/>
  <c r="DA14" i="10" s="1"/>
  <c r="BE37" i="10"/>
  <c r="BE9" i="10"/>
  <c r="DA9" i="10" s="1"/>
  <c r="BE11" i="10"/>
  <c r="BE13" i="10"/>
  <c r="BE15" i="10"/>
  <c r="BE17" i="10"/>
  <c r="DA17" i="10" s="1"/>
  <c r="BE19" i="10"/>
  <c r="BE21" i="10"/>
  <c r="BE23" i="10"/>
  <c r="BE25" i="10"/>
  <c r="DA25" i="10" s="1"/>
  <c r="BE27" i="10"/>
  <c r="BE29" i="10"/>
  <c r="BE31" i="10"/>
  <c r="BE33" i="10"/>
  <c r="DA33" i="10" s="1"/>
  <c r="BE35" i="10"/>
  <c r="BE22" i="10"/>
  <c r="DA22" i="10" s="1"/>
  <c r="BE28" i="10"/>
  <c r="BE36" i="10"/>
  <c r="BE32" i="10"/>
  <c r="DA32" i="10" s="1"/>
  <c r="BE187" i="10"/>
  <c r="BE183" i="10"/>
  <c r="BE179" i="10"/>
  <c r="BE175" i="10"/>
  <c r="BE171" i="10"/>
  <c r="BE167" i="10"/>
  <c r="BE194" i="10"/>
  <c r="BE198" i="10"/>
  <c r="BE192" i="10"/>
  <c r="DA192" i="10" s="1"/>
  <c r="BE142" i="10"/>
  <c r="BE134" i="10"/>
  <c r="DA134" i="10" s="1"/>
  <c r="BE126" i="10"/>
  <c r="BE118" i="10"/>
  <c r="BE141" i="10"/>
  <c r="BE161" i="10"/>
  <c r="DA161" i="10" s="1"/>
  <c r="BE157" i="10"/>
  <c r="BE153" i="10"/>
  <c r="BE149" i="10"/>
  <c r="BE114" i="10"/>
  <c r="BE110" i="10"/>
  <c r="BE106" i="10"/>
  <c r="BE102" i="10"/>
  <c r="BE98" i="10"/>
  <c r="BE94" i="10"/>
  <c r="BE90" i="10"/>
  <c r="BE86" i="10"/>
  <c r="BE82" i="10"/>
  <c r="BE78" i="10"/>
  <c r="BE74" i="10"/>
  <c r="BE70" i="10"/>
  <c r="BE66" i="10"/>
  <c r="BE123" i="10"/>
  <c r="BE63" i="10"/>
  <c r="BE59" i="10"/>
  <c r="BE55" i="10"/>
  <c r="BE51" i="10"/>
  <c r="DA51" i="10" s="1"/>
  <c r="BE47" i="10"/>
  <c r="DA47" i="10" s="1"/>
  <c r="BE43" i="10"/>
  <c r="DA43" i="10" s="1"/>
  <c r="BE39" i="10"/>
  <c r="BE125" i="10"/>
  <c r="BE6" i="10"/>
  <c r="DA6" i="10" s="1"/>
  <c r="BE12" i="10"/>
  <c r="BE26" i="10"/>
  <c r="DA26" i="10" s="1"/>
  <c r="BE190" i="10"/>
  <c r="BE186" i="10"/>
  <c r="BE182" i="10"/>
  <c r="BE178" i="10"/>
  <c r="BE174" i="10"/>
  <c r="BE170" i="10"/>
  <c r="BE166" i="10"/>
  <c r="BE199" i="10"/>
  <c r="DA199" i="10" s="1"/>
  <c r="BE193" i="10"/>
  <c r="BE148" i="10"/>
  <c r="BE140" i="10"/>
  <c r="BE132" i="10"/>
  <c r="DA132" i="10" s="1"/>
  <c r="BE124" i="10"/>
  <c r="DA124" i="10" s="1"/>
  <c r="BE147" i="10"/>
  <c r="BE164" i="10"/>
  <c r="BE160" i="10"/>
  <c r="DA160" i="10" s="1"/>
  <c r="BE156" i="10"/>
  <c r="DA156" i="10" s="1"/>
  <c r="BE152" i="10"/>
  <c r="DA152" i="10" s="1"/>
  <c r="BE117" i="10"/>
  <c r="BE113" i="10"/>
  <c r="DA113" i="10" s="1"/>
  <c r="BE109" i="10"/>
  <c r="BE105" i="10"/>
  <c r="BE101" i="10"/>
  <c r="BE97" i="10"/>
  <c r="DA97" i="10" s="1"/>
  <c r="BE93" i="10"/>
  <c r="BE89" i="10"/>
  <c r="BE85" i="10"/>
  <c r="BE81" i="10"/>
  <c r="DA81" i="10" s="1"/>
  <c r="BE77" i="10"/>
  <c r="BE73" i="10"/>
  <c r="BE69" i="10"/>
  <c r="BE133" i="10"/>
  <c r="BE119" i="10"/>
  <c r="BE62" i="10"/>
  <c r="DA62" i="10" s="1"/>
  <c r="BE58" i="10"/>
  <c r="DA58" i="10" s="1"/>
  <c r="BE54" i="10"/>
  <c r="DA54" i="10" s="1"/>
  <c r="BE50" i="10"/>
  <c r="DA50" i="10" s="1"/>
  <c r="BE46" i="10"/>
  <c r="DA46" i="10" s="1"/>
  <c r="BE42" i="10"/>
  <c r="DA42" i="10" s="1"/>
  <c r="BE139" i="10"/>
  <c r="BE121" i="10"/>
  <c r="DA121" i="10" s="1"/>
  <c r="BE24" i="10"/>
  <c r="DA24" i="10" s="1"/>
  <c r="BE30" i="10"/>
  <c r="BE34" i="10"/>
  <c r="DA34" i="10" s="1"/>
  <c r="BE189" i="10"/>
  <c r="DA189" i="10" s="1"/>
  <c r="BE185" i="10"/>
  <c r="DA185" i="10" s="1"/>
  <c r="BE181" i="10"/>
  <c r="DA181" i="10" s="1"/>
  <c r="BE177" i="10"/>
  <c r="DA177" i="10" s="1"/>
  <c r="BE173" i="10"/>
  <c r="DA173" i="10" s="1"/>
  <c r="BE169" i="10"/>
  <c r="DA169" i="10" s="1"/>
  <c r="BE165" i="10"/>
  <c r="DA165" i="10" s="1"/>
  <c r="BE196" i="10"/>
  <c r="DA196" i="10" s="1"/>
  <c r="BE200" i="10"/>
  <c r="BE146" i="10"/>
  <c r="BE138" i="10"/>
  <c r="DA138" i="10" s="1"/>
  <c r="BE130" i="10"/>
  <c r="BE122" i="10"/>
  <c r="DA122" i="10" s="1"/>
  <c r="BE145" i="10"/>
  <c r="DA145" i="10" s="1"/>
  <c r="BE163" i="10"/>
  <c r="BE159" i="10"/>
  <c r="BE155" i="10"/>
  <c r="BE151" i="10"/>
  <c r="DA151" i="10" s="1"/>
  <c r="BE116" i="10"/>
  <c r="DA116" i="10" s="1"/>
  <c r="BE112" i="10"/>
  <c r="DA112" i="10" s="1"/>
  <c r="BE108" i="10"/>
  <c r="DA108" i="10" s="1"/>
  <c r="BE104" i="10"/>
  <c r="DA104" i="10" s="1"/>
  <c r="BE100" i="10"/>
  <c r="DA100" i="10" s="1"/>
  <c r="BE96" i="10"/>
  <c r="DA96" i="10" s="1"/>
  <c r="BE92" i="10"/>
  <c r="DA92" i="10" s="1"/>
  <c r="BE88" i="10"/>
  <c r="DA88" i="10" s="1"/>
  <c r="BE84" i="10"/>
  <c r="DA84" i="10" s="1"/>
  <c r="BE80" i="10"/>
  <c r="DA80" i="10" s="1"/>
  <c r="BE76" i="10"/>
  <c r="DA76" i="10" s="1"/>
  <c r="BE72" i="10"/>
  <c r="DA72" i="10" s="1"/>
  <c r="BE68" i="10"/>
  <c r="DA68" i="10" s="1"/>
  <c r="BE131" i="10"/>
  <c r="DA131" i="10" s="1"/>
  <c r="BE65" i="10"/>
  <c r="DA65" i="10" s="1"/>
  <c r="BE61" i="10"/>
  <c r="DA61" i="10" s="1"/>
  <c r="BE57" i="10"/>
  <c r="BE53" i="10"/>
  <c r="BE49" i="10"/>
  <c r="BE45" i="10"/>
  <c r="BE41" i="10"/>
  <c r="DA41" i="10" s="1"/>
  <c r="BE137" i="10"/>
  <c r="BE135" i="10"/>
  <c r="DA135" i="10" s="1"/>
  <c r="BE188" i="10"/>
  <c r="DA188" i="10" s="1"/>
  <c r="BE184" i="10"/>
  <c r="DA184" i="10" s="1"/>
  <c r="BE180" i="10"/>
  <c r="BE176" i="10"/>
  <c r="BE172" i="10"/>
  <c r="DA172" i="10" s="1"/>
  <c r="BE168" i="10"/>
  <c r="DA168" i="10" s="1"/>
  <c r="BE197" i="10"/>
  <c r="DA197" i="10" s="1"/>
  <c r="BE191" i="10"/>
  <c r="DA191" i="10" s="1"/>
  <c r="BE195" i="10"/>
  <c r="DA195" i="10" s="1"/>
  <c r="BE144" i="10"/>
  <c r="DA144" i="10" s="1"/>
  <c r="BE136" i="10"/>
  <c r="BE128" i="10"/>
  <c r="DA128" i="10" s="1"/>
  <c r="BE120" i="10"/>
  <c r="DA120" i="10" s="1"/>
  <c r="BE143" i="10"/>
  <c r="BE162" i="10"/>
  <c r="BE158" i="10"/>
  <c r="BE154" i="10"/>
  <c r="DA154" i="10" s="1"/>
  <c r="BE150" i="10"/>
  <c r="DA150" i="10" s="1"/>
  <c r="BE115" i="10"/>
  <c r="DA115" i="10" s="1"/>
  <c r="BE111" i="10"/>
  <c r="DA111" i="10" s="1"/>
  <c r="BE107" i="10"/>
  <c r="DA107" i="10" s="1"/>
  <c r="BE103" i="10"/>
  <c r="DA103" i="10" s="1"/>
  <c r="BE99" i="10"/>
  <c r="DA99" i="10" s="1"/>
  <c r="BE95" i="10"/>
  <c r="DA95" i="10" s="1"/>
  <c r="BE91" i="10"/>
  <c r="DA91" i="10" s="1"/>
  <c r="BE87" i="10"/>
  <c r="DA87" i="10" s="1"/>
  <c r="BE83" i="10"/>
  <c r="DA83" i="10" s="1"/>
  <c r="BE79" i="10"/>
  <c r="DA79" i="10" s="1"/>
  <c r="BE75" i="10"/>
  <c r="DA75" i="10" s="1"/>
  <c r="BE71" i="10"/>
  <c r="DA71" i="10" s="1"/>
  <c r="BE67" i="10"/>
  <c r="DA67" i="10" s="1"/>
  <c r="BE127" i="10"/>
  <c r="DA127" i="10" s="1"/>
  <c r="BE64" i="10"/>
  <c r="DA64" i="10" s="1"/>
  <c r="BE60" i="10"/>
  <c r="BE56" i="10"/>
  <c r="BE52" i="10"/>
  <c r="DA52" i="10" s="1"/>
  <c r="BE48" i="10"/>
  <c r="DA48" i="10" s="1"/>
  <c r="BE44" i="10"/>
  <c r="BE40" i="10"/>
  <c r="DA40" i="10" s="1"/>
  <c r="BE129" i="10"/>
  <c r="DA129" i="10" s="1"/>
  <c r="BE10" i="10"/>
  <c r="DA10" i="10" s="1"/>
  <c r="AG13" i="10"/>
  <c r="AG9" i="10"/>
  <c r="AG8" i="10"/>
  <c r="AG10" i="10"/>
  <c r="AG200" i="10"/>
  <c r="AG187" i="10"/>
  <c r="AG183" i="10"/>
  <c r="AG179" i="10"/>
  <c r="AG175" i="10"/>
  <c r="AG171" i="10"/>
  <c r="AG167" i="10"/>
  <c r="AG193" i="10"/>
  <c r="AG162" i="10"/>
  <c r="AG154" i="10"/>
  <c r="AG146" i="10"/>
  <c r="AG192" i="10"/>
  <c r="AG161" i="10"/>
  <c r="AG153" i="10"/>
  <c r="AG145" i="10"/>
  <c r="AG137" i="10"/>
  <c r="AG131" i="10"/>
  <c r="AG127" i="10"/>
  <c r="AG123" i="10"/>
  <c r="AG119" i="10"/>
  <c r="AG115" i="10"/>
  <c r="AG111" i="10"/>
  <c r="AG107" i="10"/>
  <c r="AG103" i="10"/>
  <c r="AG99" i="10"/>
  <c r="AG95" i="10"/>
  <c r="AG91" i="10"/>
  <c r="AG87" i="10"/>
  <c r="AG83" i="10"/>
  <c r="AG79" i="10"/>
  <c r="AG75" i="10"/>
  <c r="AG138" i="10"/>
  <c r="AG70" i="10"/>
  <c r="AG62" i="10"/>
  <c r="AG54" i="10"/>
  <c r="AG47" i="10"/>
  <c r="AG43" i="10"/>
  <c r="AG39" i="10"/>
  <c r="AG35" i="10"/>
  <c r="AG31" i="10"/>
  <c r="AG27" i="10"/>
  <c r="AG23" i="10"/>
  <c r="AG19" i="10"/>
  <c r="AG67" i="10"/>
  <c r="AG59" i="10"/>
  <c r="AG51" i="10"/>
  <c r="AG17" i="10"/>
  <c r="AG18" i="10"/>
  <c r="AG199" i="10"/>
  <c r="AG186" i="10"/>
  <c r="AG182" i="10"/>
  <c r="AG178" i="10"/>
  <c r="AG174" i="10"/>
  <c r="AG170" i="10"/>
  <c r="AG166" i="10"/>
  <c r="AG191" i="10"/>
  <c r="AG160" i="10"/>
  <c r="AG152" i="10"/>
  <c r="AG144" i="10"/>
  <c r="AG190" i="10"/>
  <c r="AG159" i="10"/>
  <c r="AG151" i="10"/>
  <c r="AG143" i="10"/>
  <c r="AG135" i="10"/>
  <c r="AG130" i="10"/>
  <c r="AG126" i="10"/>
  <c r="AG122" i="10"/>
  <c r="AG118" i="10"/>
  <c r="AG114" i="10"/>
  <c r="AG110" i="10"/>
  <c r="AG106" i="10"/>
  <c r="AG102" i="10"/>
  <c r="AG98" i="10"/>
  <c r="AG94" i="10"/>
  <c r="AG90" i="10"/>
  <c r="AG86" i="10"/>
  <c r="AG82" i="10"/>
  <c r="AG78" i="10"/>
  <c r="AG198" i="10"/>
  <c r="AG185" i="10"/>
  <c r="AG181" i="10"/>
  <c r="AG177" i="10"/>
  <c r="AG173" i="10"/>
  <c r="AG169" i="10"/>
  <c r="AG165" i="10"/>
  <c r="AG189" i="10"/>
  <c r="AG158" i="10"/>
  <c r="AG150" i="10"/>
  <c r="AG196" i="10"/>
  <c r="AG188" i="10"/>
  <c r="AG157" i="10"/>
  <c r="AG149" i="10"/>
  <c r="AG141" i="10"/>
  <c r="AG133" i="10"/>
  <c r="AG129" i="10"/>
  <c r="AG125" i="10"/>
  <c r="AG121" i="10"/>
  <c r="AG117" i="10"/>
  <c r="AG113" i="10"/>
  <c r="AG109" i="10"/>
  <c r="AG105" i="10"/>
  <c r="AG101" i="10"/>
  <c r="AG97" i="10"/>
  <c r="AG93" i="10"/>
  <c r="AG184" i="10"/>
  <c r="AG168" i="10"/>
  <c r="AG148" i="10"/>
  <c r="AG147" i="10"/>
  <c r="AG124" i="10"/>
  <c r="AG108" i="10"/>
  <c r="AG92" i="10"/>
  <c r="AG84" i="10"/>
  <c r="AG76" i="10"/>
  <c r="AG134" i="10"/>
  <c r="AG66" i="10"/>
  <c r="AG56" i="10"/>
  <c r="AG46" i="10"/>
  <c r="AG41" i="10"/>
  <c r="AG36" i="10"/>
  <c r="AG30" i="10"/>
  <c r="AG25" i="10"/>
  <c r="AG20" i="10"/>
  <c r="AG65" i="10"/>
  <c r="AG55" i="10"/>
  <c r="AG180" i="10"/>
  <c r="AG195" i="10"/>
  <c r="AG194" i="10"/>
  <c r="AG139" i="10"/>
  <c r="AG120" i="10"/>
  <c r="AG104" i="10"/>
  <c r="AG89" i="10"/>
  <c r="AG81" i="10"/>
  <c r="AG140" i="10"/>
  <c r="AG74" i="10"/>
  <c r="AG64" i="10"/>
  <c r="AG52" i="10"/>
  <c r="AG45" i="10"/>
  <c r="AG40" i="10"/>
  <c r="AG34" i="10"/>
  <c r="AG29" i="10"/>
  <c r="AG24" i="10"/>
  <c r="AG73" i="10"/>
  <c r="AG63" i="10"/>
  <c r="AG53" i="10"/>
  <c r="AG14" i="10"/>
  <c r="AG15" i="10"/>
  <c r="AG16" i="10"/>
  <c r="AG7" i="10"/>
  <c r="AG197" i="10"/>
  <c r="AG172" i="10"/>
  <c r="AG155" i="10"/>
  <c r="AG112" i="10"/>
  <c r="AG85" i="10"/>
  <c r="AG68" i="10"/>
  <c r="AG48" i="10"/>
  <c r="AG37" i="10"/>
  <c r="AG26" i="10"/>
  <c r="AG69" i="10"/>
  <c r="AG176" i="10"/>
  <c r="AG164" i="10"/>
  <c r="AG163" i="10"/>
  <c r="AG132" i="10"/>
  <c r="AG116" i="10"/>
  <c r="AG100" i="10"/>
  <c r="AG88" i="10"/>
  <c r="AG80" i="10"/>
  <c r="AG136" i="10"/>
  <c r="AG72" i="10"/>
  <c r="AG60" i="10"/>
  <c r="AG50" i="10"/>
  <c r="AG44" i="10"/>
  <c r="AG38" i="10"/>
  <c r="AG33" i="10"/>
  <c r="AG28" i="10"/>
  <c r="AG22" i="10"/>
  <c r="AG71" i="10"/>
  <c r="AG61" i="10"/>
  <c r="AG49" i="10"/>
  <c r="AG11" i="10"/>
  <c r="AG156" i="10"/>
  <c r="AG128" i="10"/>
  <c r="AG96" i="10"/>
  <c r="AG77" i="10"/>
  <c r="AG142" i="10"/>
  <c r="AG58" i="10"/>
  <c r="AG42" i="10"/>
  <c r="AG32" i="10"/>
  <c r="AG21" i="10"/>
  <c r="AG57" i="10"/>
  <c r="AG6" i="10"/>
  <c r="AG12" i="10"/>
  <c r="CZ69" i="10"/>
  <c r="CZ101" i="10"/>
  <c r="AG3" i="10"/>
  <c r="DA3" i="10"/>
  <c r="CC3" i="10"/>
  <c r="BE3" i="10"/>
  <c r="W131" i="4"/>
  <c r="W11" i="4"/>
  <c r="W109" i="4"/>
  <c r="W134" i="4"/>
  <c r="W17" i="4"/>
  <c r="W135" i="4"/>
  <c r="W113" i="4"/>
  <c r="W112" i="4"/>
  <c r="W16" i="4"/>
  <c r="W120" i="4"/>
  <c r="W130" i="4"/>
  <c r="W119" i="4"/>
  <c r="W24" i="4"/>
  <c r="W141" i="4"/>
  <c r="W142" i="4"/>
  <c r="W23" i="4"/>
  <c r="W108" i="4"/>
  <c r="W10" i="4"/>
  <c r="W118" i="4"/>
  <c r="W140" i="4"/>
  <c r="W22" i="4"/>
  <c r="V18" i="4"/>
  <c r="V143" i="4"/>
  <c r="V121" i="4"/>
  <c r="V25" i="4"/>
  <c r="U114" i="4"/>
  <c r="U136" i="4"/>
  <c r="Y5" i="4"/>
  <c r="V26" i="4"/>
  <c r="V145" i="4"/>
  <c r="V144" i="4"/>
  <c r="V27" i="4"/>
  <c r="V123" i="4"/>
  <c r="V122" i="4"/>
  <c r="Y12" i="4"/>
  <c r="AE4" i="28"/>
  <c r="AF4" i="28"/>
  <c r="Z7" i="4"/>
  <c r="Z128" i="4"/>
  <c r="Z127" i="4" s="1"/>
  <c r="Z106" i="4"/>
  <c r="Z105" i="4" s="1"/>
  <c r="Y3" i="4"/>
  <c r="Y4" i="4"/>
  <c r="K18" i="11"/>
  <c r="L17" i="11"/>
  <c r="DA77" i="10" l="1"/>
  <c r="DA93" i="10"/>
  <c r="DA109" i="10"/>
  <c r="DA125" i="10"/>
  <c r="DA157" i="10"/>
  <c r="DA198" i="10"/>
  <c r="DA35" i="10"/>
  <c r="DA27" i="10"/>
  <c r="DA19" i="10"/>
  <c r="DA11" i="10"/>
  <c r="DA70" i="10"/>
  <c r="DA86" i="10"/>
  <c r="DA102" i="10"/>
  <c r="DA118" i="10"/>
  <c r="DA178" i="10"/>
  <c r="DA193" i="10"/>
  <c r="DA162" i="10"/>
  <c r="DA180" i="10"/>
  <c r="DA137" i="10"/>
  <c r="DA53" i="10"/>
  <c r="DA159" i="10"/>
  <c r="DA130" i="10"/>
  <c r="DA66" i="10"/>
  <c r="DA82" i="10"/>
  <c r="DA98" i="10"/>
  <c r="DA114" i="10"/>
  <c r="DA36" i="10"/>
  <c r="DA44" i="10"/>
  <c r="DA60" i="10"/>
  <c r="DA143" i="10"/>
  <c r="DA57" i="10"/>
  <c r="DA164" i="10"/>
  <c r="DA140" i="10"/>
  <c r="DA12" i="10"/>
  <c r="DA28" i="10"/>
  <c r="DA37" i="10"/>
  <c r="DA45" i="10"/>
  <c r="DA146" i="10"/>
  <c r="DA73" i="10"/>
  <c r="DA89" i="10"/>
  <c r="DA105" i="10"/>
  <c r="DA153" i="10"/>
  <c r="DA29" i="10"/>
  <c r="DA21" i="10"/>
  <c r="DA13" i="10"/>
  <c r="DA141" i="10"/>
  <c r="DA167" i="10"/>
  <c r="DA183" i="10"/>
  <c r="DA170" i="10"/>
  <c r="DA186" i="10"/>
  <c r="DA63" i="10"/>
  <c r="DA55" i="10"/>
  <c r="DA158" i="10"/>
  <c r="DA176" i="10"/>
  <c r="DA49" i="10"/>
  <c r="DA155" i="10"/>
  <c r="DA200" i="10"/>
  <c r="DA123" i="10"/>
  <c r="DA78" i="10"/>
  <c r="DA94" i="10"/>
  <c r="DA110" i="10"/>
  <c r="DA126" i="10"/>
  <c r="DA38" i="10"/>
  <c r="DA56" i="10"/>
  <c r="DA136" i="10"/>
  <c r="DA139" i="10"/>
  <c r="DA133" i="10"/>
  <c r="DA39" i="10"/>
  <c r="DA194" i="10"/>
  <c r="DA179" i="10"/>
  <c r="DA163" i="10"/>
  <c r="DA30" i="10"/>
  <c r="DA69" i="10"/>
  <c r="DA85" i="10"/>
  <c r="DA101" i="10"/>
  <c r="DA117" i="10"/>
  <c r="DA166" i="10"/>
  <c r="DA182" i="10"/>
  <c r="DA59" i="10"/>
  <c r="DA149" i="10"/>
  <c r="DA142" i="10"/>
  <c r="DA31" i="10"/>
  <c r="DA23" i="10"/>
  <c r="DA15" i="10"/>
  <c r="DA147" i="10"/>
  <c r="DA174" i="10"/>
  <c r="DA190" i="10"/>
  <c r="DB3" i="10"/>
  <c r="CD3" i="10"/>
  <c r="BF3" i="10"/>
  <c r="AH3" i="10"/>
  <c r="AE3" i="28"/>
  <c r="X10" i="4"/>
  <c r="X142" i="4"/>
  <c r="X141" i="4"/>
  <c r="X108" i="4"/>
  <c r="X120" i="4"/>
  <c r="X119" i="4"/>
  <c r="X130" i="4"/>
  <c r="X24" i="4"/>
  <c r="X23" i="4"/>
  <c r="X118" i="4"/>
  <c r="X140" i="4"/>
  <c r="X22" i="4"/>
  <c r="DA148" i="10"/>
  <c r="DA74" i="10"/>
  <c r="DA90" i="10"/>
  <c r="DA106" i="10"/>
  <c r="DA171" i="10"/>
  <c r="DA187" i="10"/>
  <c r="CD199" i="10"/>
  <c r="CD191" i="10"/>
  <c r="CD187" i="10"/>
  <c r="CD183" i="10"/>
  <c r="CD179" i="10"/>
  <c r="CD175" i="10"/>
  <c r="CD171" i="10"/>
  <c r="CD167" i="10"/>
  <c r="CD163" i="10"/>
  <c r="CD159" i="10"/>
  <c r="CD194" i="10"/>
  <c r="CD155" i="10"/>
  <c r="CD151" i="10"/>
  <c r="CD147" i="10"/>
  <c r="CD143" i="10"/>
  <c r="CD139" i="10"/>
  <c r="CD135" i="10"/>
  <c r="CD131" i="10"/>
  <c r="CD127" i="10"/>
  <c r="CD123" i="10"/>
  <c r="CD119" i="10"/>
  <c r="CD115" i="10"/>
  <c r="CD111" i="10"/>
  <c r="CD107" i="10"/>
  <c r="CD103" i="10"/>
  <c r="CD99" i="10"/>
  <c r="CD95" i="10"/>
  <c r="CD91" i="10"/>
  <c r="CD87" i="10"/>
  <c r="CD83" i="10"/>
  <c r="CD79" i="10"/>
  <c r="CD75" i="10"/>
  <c r="CD71" i="10"/>
  <c r="CD67" i="10"/>
  <c r="CD63" i="10"/>
  <c r="CD59" i="10"/>
  <c r="CD55" i="10"/>
  <c r="CD51" i="10"/>
  <c r="CD198" i="10"/>
  <c r="CD190" i="10"/>
  <c r="CD186" i="10"/>
  <c r="CD182" i="10"/>
  <c r="CD178" i="10"/>
  <c r="CD174" i="10"/>
  <c r="CD170" i="10"/>
  <c r="CD166" i="10"/>
  <c r="CD162" i="10"/>
  <c r="CD158" i="10"/>
  <c r="CD193" i="10"/>
  <c r="CD154" i="10"/>
  <c r="CD150" i="10"/>
  <c r="CD146" i="10"/>
  <c r="CD142" i="10"/>
  <c r="CD138" i="10"/>
  <c r="CD134" i="10"/>
  <c r="CD130" i="10"/>
  <c r="CD126" i="10"/>
  <c r="CD122" i="10"/>
  <c r="CD118" i="10"/>
  <c r="CD114" i="10"/>
  <c r="CD110" i="10"/>
  <c r="CD106" i="10"/>
  <c r="CD102" i="10"/>
  <c r="CD98" i="10"/>
  <c r="CD94" i="10"/>
  <c r="CD90" i="10"/>
  <c r="CD86" i="10"/>
  <c r="CD82" i="10"/>
  <c r="CD78" i="10"/>
  <c r="CD74" i="10"/>
  <c r="CD70" i="10"/>
  <c r="CD66" i="10"/>
  <c r="CD62" i="10"/>
  <c r="CD58" i="10"/>
  <c r="CD54" i="10"/>
  <c r="BF72" i="10"/>
  <c r="CD197" i="10"/>
  <c r="CD189" i="10"/>
  <c r="CD185" i="10"/>
  <c r="CD181" i="10"/>
  <c r="CD177" i="10"/>
  <c r="CD173" i="10"/>
  <c r="CD169" i="10"/>
  <c r="CD165" i="10"/>
  <c r="CD161" i="10"/>
  <c r="CD196" i="10"/>
  <c r="CD157" i="10"/>
  <c r="CD153" i="10"/>
  <c r="CD149" i="10"/>
  <c r="CD145" i="10"/>
  <c r="CD141" i="10"/>
  <c r="CD137" i="10"/>
  <c r="CD133" i="10"/>
  <c r="CD129" i="10"/>
  <c r="CD125" i="10"/>
  <c r="CD121" i="10"/>
  <c r="CD117" i="10"/>
  <c r="CD113" i="10"/>
  <c r="CD109" i="10"/>
  <c r="CD105" i="10"/>
  <c r="CD101" i="10"/>
  <c r="CD97" i="10"/>
  <c r="CD93" i="10"/>
  <c r="CD89" i="10"/>
  <c r="CD85" i="10"/>
  <c r="CD81" i="10"/>
  <c r="CD77" i="10"/>
  <c r="CD73" i="10"/>
  <c r="CD69" i="10"/>
  <c r="CD200" i="10"/>
  <c r="CD192" i="10"/>
  <c r="CD188" i="10"/>
  <c r="CD184" i="10"/>
  <c r="CD180" i="10"/>
  <c r="CD176" i="10"/>
  <c r="CD172" i="10"/>
  <c r="CD168" i="10"/>
  <c r="CD164" i="10"/>
  <c r="CD160" i="10"/>
  <c r="CD195" i="10"/>
  <c r="CD156" i="10"/>
  <c r="CD152" i="10"/>
  <c r="CD148" i="10"/>
  <c r="CD144" i="10"/>
  <c r="CD140" i="10"/>
  <c r="CD136" i="10"/>
  <c r="CD132" i="10"/>
  <c r="CD128" i="10"/>
  <c r="CD124" i="10"/>
  <c r="CD120" i="10"/>
  <c r="CD116" i="10"/>
  <c r="CD112" i="10"/>
  <c r="CD108" i="10"/>
  <c r="CD104" i="10"/>
  <c r="CD100" i="10"/>
  <c r="CD96" i="10"/>
  <c r="CD92" i="10"/>
  <c r="CD88" i="10"/>
  <c r="CD84" i="10"/>
  <c r="CD80" i="10"/>
  <c r="CD76" i="10"/>
  <c r="CD72" i="10"/>
  <c r="CD68" i="10"/>
  <c r="CD64" i="10"/>
  <c r="CD60" i="10"/>
  <c r="CD56" i="10"/>
  <c r="CD52" i="10"/>
  <c r="CD65" i="10"/>
  <c r="CD61" i="10"/>
  <c r="CD57" i="10"/>
  <c r="CD53" i="10"/>
  <c r="CD6" i="10"/>
  <c r="CD8" i="10"/>
  <c r="CD10" i="10"/>
  <c r="CD12" i="10"/>
  <c r="CD14" i="10"/>
  <c r="CD16" i="10"/>
  <c r="CD18" i="10"/>
  <c r="CD20" i="10"/>
  <c r="CD22" i="10"/>
  <c r="CD24" i="10"/>
  <c r="CD26" i="10"/>
  <c r="CD7" i="10"/>
  <c r="CD15" i="10"/>
  <c r="CD23" i="10"/>
  <c r="CD9" i="10"/>
  <c r="CD17" i="10"/>
  <c r="CD25" i="10"/>
  <c r="CD28" i="10"/>
  <c r="CD30" i="10"/>
  <c r="CD32" i="10"/>
  <c r="CD34" i="10"/>
  <c r="CD36" i="10"/>
  <c r="CD38" i="10"/>
  <c r="CD40" i="10"/>
  <c r="CD42" i="10"/>
  <c r="CD44" i="10"/>
  <c r="CD46" i="10"/>
  <c r="CD50" i="10"/>
  <c r="CD11" i="10"/>
  <c r="CD19" i="10"/>
  <c r="CD49" i="10"/>
  <c r="CD13" i="10"/>
  <c r="CD21" i="10"/>
  <c r="CD27" i="10"/>
  <c r="CD29" i="10"/>
  <c r="CD31" i="10"/>
  <c r="CD33" i="10"/>
  <c r="CD35" i="10"/>
  <c r="CD37" i="10"/>
  <c r="CD39" i="10"/>
  <c r="CD41" i="10"/>
  <c r="CD43" i="10"/>
  <c r="CD45" i="10"/>
  <c r="CD47" i="10"/>
  <c r="CD48" i="10"/>
  <c r="BF68" i="10"/>
  <c r="BF197" i="10"/>
  <c r="DB197" i="10" s="1"/>
  <c r="BF193" i="10"/>
  <c r="DB193" i="10" s="1"/>
  <c r="BF188" i="10"/>
  <c r="DB188" i="10" s="1"/>
  <c r="BF180" i="10"/>
  <c r="BF172" i="10"/>
  <c r="BF189" i="10"/>
  <c r="BF177" i="10"/>
  <c r="BF147" i="10"/>
  <c r="BF139" i="10"/>
  <c r="DB139" i="10" s="1"/>
  <c r="BF183" i="10"/>
  <c r="DB183" i="10" s="1"/>
  <c r="BF161" i="10"/>
  <c r="BF157" i="10"/>
  <c r="BF153" i="10"/>
  <c r="DB153" i="10" s="1"/>
  <c r="BF149" i="10"/>
  <c r="DB149" i="10" s="1"/>
  <c r="BF167" i="10"/>
  <c r="DB167" i="10" s="1"/>
  <c r="BF142" i="10"/>
  <c r="DB142" i="10" s="1"/>
  <c r="BF134" i="10"/>
  <c r="DB134" i="10" s="1"/>
  <c r="BF126" i="10"/>
  <c r="DB126" i="10" s="1"/>
  <c r="BF118" i="10"/>
  <c r="DB118" i="10" s="1"/>
  <c r="BF114" i="10"/>
  <c r="DB114" i="10" s="1"/>
  <c r="BF110" i="10"/>
  <c r="DB110" i="10" s="1"/>
  <c r="BF106" i="10"/>
  <c r="BF129" i="10"/>
  <c r="BF100" i="10"/>
  <c r="BF92" i="10"/>
  <c r="BF84" i="10"/>
  <c r="DB84" i="10" s="1"/>
  <c r="BF76" i="10"/>
  <c r="BF119" i="10"/>
  <c r="DB119" i="10" s="1"/>
  <c r="BF95" i="10"/>
  <c r="DB95" i="10" s="1"/>
  <c r="BF87" i="10"/>
  <c r="DB87" i="10" s="1"/>
  <c r="BF79" i="10"/>
  <c r="DB79" i="10" s="1"/>
  <c r="BF71" i="10"/>
  <c r="DB71" i="10" s="1"/>
  <c r="BF64" i="10"/>
  <c r="BF60" i="10"/>
  <c r="BF56" i="10"/>
  <c r="BF52" i="10"/>
  <c r="BF48" i="10"/>
  <c r="BF44" i="10"/>
  <c r="BF40" i="10"/>
  <c r="BF36" i="10"/>
  <c r="DB36" i="10" s="1"/>
  <c r="BF32" i="10"/>
  <c r="BF28" i="10"/>
  <c r="BF24" i="10"/>
  <c r="BF20" i="10"/>
  <c r="BF16" i="10"/>
  <c r="BF12" i="10"/>
  <c r="DB12" i="10" s="1"/>
  <c r="BF200" i="10"/>
  <c r="BF196" i="10"/>
  <c r="BF192" i="10"/>
  <c r="DB192" i="10" s="1"/>
  <c r="BF186" i="10"/>
  <c r="DB186" i="10" s="1"/>
  <c r="BF178" i="10"/>
  <c r="DB178" i="10" s="1"/>
  <c r="BF170" i="10"/>
  <c r="DB170" i="10" s="1"/>
  <c r="BF187" i="10"/>
  <c r="DB187" i="10" s="1"/>
  <c r="BF173" i="10"/>
  <c r="BF145" i="10"/>
  <c r="BF137" i="10"/>
  <c r="DB137" i="10" s="1"/>
  <c r="BF164" i="10"/>
  <c r="DB164" i="10" s="1"/>
  <c r="BF160" i="10"/>
  <c r="DB160" i="10" s="1"/>
  <c r="BF156" i="10"/>
  <c r="DB156" i="10" s="1"/>
  <c r="BF152" i="10"/>
  <c r="BF179" i="10"/>
  <c r="DB179" i="10" s="1"/>
  <c r="BF148" i="10"/>
  <c r="DB148" i="10" s="1"/>
  <c r="BF140" i="10"/>
  <c r="DB140" i="10" s="1"/>
  <c r="BF132" i="10"/>
  <c r="DB132" i="10" s="1"/>
  <c r="BF124" i="10"/>
  <c r="DB124" i="10" s="1"/>
  <c r="BF117" i="10"/>
  <c r="DB117" i="10" s="1"/>
  <c r="BF113" i="10"/>
  <c r="BF109" i="10"/>
  <c r="DB109" i="10" s="1"/>
  <c r="BF105" i="10"/>
  <c r="DB105" i="10" s="1"/>
  <c r="BF125" i="10"/>
  <c r="DB125" i="10" s="1"/>
  <c r="BF98" i="10"/>
  <c r="DB98" i="10" s="1"/>
  <c r="BF90" i="10"/>
  <c r="BF82" i="10"/>
  <c r="DB82" i="10" s="1"/>
  <c r="BF131" i="10"/>
  <c r="BF101" i="10"/>
  <c r="DB101" i="10" s="1"/>
  <c r="BF93" i="10"/>
  <c r="DB93" i="10" s="1"/>
  <c r="BF85" i="10"/>
  <c r="DB85" i="10" s="1"/>
  <c r="BF77" i="10"/>
  <c r="DB77" i="10" s="1"/>
  <c r="BF69" i="10"/>
  <c r="DB69" i="10" s="1"/>
  <c r="BF63" i="10"/>
  <c r="DB63" i="10" s="1"/>
  <c r="BF59" i="10"/>
  <c r="DB59" i="10" s="1"/>
  <c r="BF55" i="10"/>
  <c r="DB55" i="10" s="1"/>
  <c r="BF51" i="10"/>
  <c r="BF47" i="10"/>
  <c r="BF43" i="10"/>
  <c r="BF39" i="10"/>
  <c r="DB39" i="10" s="1"/>
  <c r="BF35" i="10"/>
  <c r="BF31" i="10"/>
  <c r="BF27" i="10"/>
  <c r="DB27" i="10" s="1"/>
  <c r="BF23" i="10"/>
  <c r="DB23" i="10" s="1"/>
  <c r="BF19" i="10"/>
  <c r="BF15" i="10"/>
  <c r="DB15" i="10" s="1"/>
  <c r="BF11" i="10"/>
  <c r="DB11" i="10" s="1"/>
  <c r="BF199" i="10"/>
  <c r="DB199" i="10" s="1"/>
  <c r="BF195" i="10"/>
  <c r="DB195" i="10" s="1"/>
  <c r="BF191" i="10"/>
  <c r="BF184" i="10"/>
  <c r="DB184" i="10" s="1"/>
  <c r="BF176" i="10"/>
  <c r="DB176" i="10" s="1"/>
  <c r="BF168" i="10"/>
  <c r="DB168" i="10" s="1"/>
  <c r="BF185" i="10"/>
  <c r="DB185" i="10" s="1"/>
  <c r="BF169" i="10"/>
  <c r="DB169" i="10" s="1"/>
  <c r="BF143" i="10"/>
  <c r="DB143" i="10" s="1"/>
  <c r="BF135" i="10"/>
  <c r="DB135" i="10" s="1"/>
  <c r="BF163" i="10"/>
  <c r="DB163" i="10" s="1"/>
  <c r="BF159" i="10"/>
  <c r="DB159" i="10" s="1"/>
  <c r="BF155" i="10"/>
  <c r="DB155" i="10" s="1"/>
  <c r="BF151" i="10"/>
  <c r="DB151" i="10" s="1"/>
  <c r="BF175" i="10"/>
  <c r="BF146" i="10"/>
  <c r="DB146" i="10" s="1"/>
  <c r="BF138" i="10"/>
  <c r="BF130" i="10"/>
  <c r="DB130" i="10" s="1"/>
  <c r="BF122" i="10"/>
  <c r="BF116" i="10"/>
  <c r="DB116" i="10" s="1"/>
  <c r="BF112" i="10"/>
  <c r="DB112" i="10" s="1"/>
  <c r="BF108" i="10"/>
  <c r="DB108" i="10" s="1"/>
  <c r="BF104" i="10"/>
  <c r="BF121" i="10"/>
  <c r="DB121" i="10" s="1"/>
  <c r="BF96" i="10"/>
  <c r="DB96" i="10" s="1"/>
  <c r="BF88" i="10"/>
  <c r="BF80" i="10"/>
  <c r="DB80" i="10" s="1"/>
  <c r="BF127" i="10"/>
  <c r="DB127" i="10" s="1"/>
  <c r="BF99" i="10"/>
  <c r="BF91" i="10"/>
  <c r="DB91" i="10" s="1"/>
  <c r="BF83" i="10"/>
  <c r="BF75" i="10"/>
  <c r="DB75" i="10" s="1"/>
  <c r="BF67" i="10"/>
  <c r="BF62" i="10"/>
  <c r="DB62" i="10" s="1"/>
  <c r="BF58" i="10"/>
  <c r="BF54" i="10"/>
  <c r="DB54" i="10" s="1"/>
  <c r="BF50" i="10"/>
  <c r="DB50" i="10" s="1"/>
  <c r="BF46" i="10"/>
  <c r="BF42" i="10"/>
  <c r="DB42" i="10" s="1"/>
  <c r="BF38" i="10"/>
  <c r="DB38" i="10" s="1"/>
  <c r="BF34" i="10"/>
  <c r="DB34" i="10" s="1"/>
  <c r="BF30" i="10"/>
  <c r="BF26" i="10"/>
  <c r="BF22" i="10"/>
  <c r="DB22" i="10" s="1"/>
  <c r="BF18" i="10"/>
  <c r="BF14" i="10"/>
  <c r="DB14" i="10" s="1"/>
  <c r="BF10" i="10"/>
  <c r="BF198" i="10"/>
  <c r="DB198" i="10" s="1"/>
  <c r="BF194" i="10"/>
  <c r="DB194" i="10" s="1"/>
  <c r="BF190" i="10"/>
  <c r="DB190" i="10" s="1"/>
  <c r="BF182" i="10"/>
  <c r="BF174" i="10"/>
  <c r="DB174" i="10" s="1"/>
  <c r="BF166" i="10"/>
  <c r="BF181" i="10"/>
  <c r="DB181" i="10" s="1"/>
  <c r="BF165" i="10"/>
  <c r="DB165" i="10" s="1"/>
  <c r="BF141" i="10"/>
  <c r="DB141" i="10" s="1"/>
  <c r="BF133" i="10"/>
  <c r="DB133" i="10" s="1"/>
  <c r="BF162" i="10"/>
  <c r="DB162" i="10" s="1"/>
  <c r="BF158" i="10"/>
  <c r="DB158" i="10" s="1"/>
  <c r="BF154" i="10"/>
  <c r="DB154" i="10" s="1"/>
  <c r="BF150" i="10"/>
  <c r="DB150" i="10" s="1"/>
  <c r="BF171" i="10"/>
  <c r="DB171" i="10" s="1"/>
  <c r="BF144" i="10"/>
  <c r="DB144" i="10" s="1"/>
  <c r="BF136" i="10"/>
  <c r="DB136" i="10" s="1"/>
  <c r="BF128" i="10"/>
  <c r="DB128" i="10" s="1"/>
  <c r="BF120" i="10"/>
  <c r="BF115" i="10"/>
  <c r="BF111" i="10"/>
  <c r="DB111" i="10" s="1"/>
  <c r="BF107" i="10"/>
  <c r="DB107" i="10" s="1"/>
  <c r="BF103" i="10"/>
  <c r="DB103" i="10" s="1"/>
  <c r="BF102" i="10"/>
  <c r="DB102" i="10" s="1"/>
  <c r="BF94" i="10"/>
  <c r="DB94" i="10" s="1"/>
  <c r="BF86" i="10"/>
  <c r="DB86" i="10" s="1"/>
  <c r="BF78" i="10"/>
  <c r="DB78" i="10" s="1"/>
  <c r="BF123" i="10"/>
  <c r="DB123" i="10" s="1"/>
  <c r="BF97" i="10"/>
  <c r="DB97" i="10" s="1"/>
  <c r="BF89" i="10"/>
  <c r="DB89" i="10" s="1"/>
  <c r="BF81" i="10"/>
  <c r="BF73" i="10"/>
  <c r="DB73" i="10" s="1"/>
  <c r="BF65" i="10"/>
  <c r="DB65" i="10" s="1"/>
  <c r="BF61" i="10"/>
  <c r="DB61" i="10" s="1"/>
  <c r="BF57" i="10"/>
  <c r="BF53" i="10"/>
  <c r="DB53" i="10" s="1"/>
  <c r="BF49" i="10"/>
  <c r="DB49" i="10" s="1"/>
  <c r="BF45" i="10"/>
  <c r="BF41" i="10"/>
  <c r="DB41" i="10" s="1"/>
  <c r="BF37" i="10"/>
  <c r="BF33" i="10"/>
  <c r="DB33" i="10" s="1"/>
  <c r="BF29" i="10"/>
  <c r="BF25" i="10"/>
  <c r="DB25" i="10" s="1"/>
  <c r="BF21" i="10"/>
  <c r="DB21" i="10" s="1"/>
  <c r="BF17" i="10"/>
  <c r="DB17" i="10" s="1"/>
  <c r="BF13" i="10"/>
  <c r="DB13" i="10" s="1"/>
  <c r="BF9" i="10"/>
  <c r="BF8" i="10"/>
  <c r="DB8" i="10" s="1"/>
  <c r="BF66" i="10"/>
  <c r="DB66" i="10" s="1"/>
  <c r="BF74" i="10"/>
  <c r="BF70" i="10"/>
  <c r="DB70" i="10" s="1"/>
  <c r="BF6" i="10"/>
  <c r="DB6" i="10" s="1"/>
  <c r="BF7" i="10"/>
  <c r="DB7" i="10" s="1"/>
  <c r="DC4" i="10"/>
  <c r="CE4" i="10"/>
  <c r="BG4" i="10"/>
  <c r="Z13" i="4"/>
  <c r="AI4" i="10"/>
  <c r="DA119" i="10"/>
  <c r="DA175" i="10"/>
  <c r="X109" i="4"/>
  <c r="X131" i="4"/>
  <c r="X11" i="4"/>
  <c r="X134" i="4"/>
  <c r="X17" i="4"/>
  <c r="X112" i="4"/>
  <c r="X113" i="4"/>
  <c r="X135" i="4"/>
  <c r="X16" i="4"/>
  <c r="AH200" i="10"/>
  <c r="AH196" i="10"/>
  <c r="AH192" i="10"/>
  <c r="AH188" i="10"/>
  <c r="AH197" i="10"/>
  <c r="AH193" i="10"/>
  <c r="AH189" i="10"/>
  <c r="AH160" i="10"/>
  <c r="AH152" i="10"/>
  <c r="AH144" i="10"/>
  <c r="AH136" i="10"/>
  <c r="AH159" i="10"/>
  <c r="AH186" i="10"/>
  <c r="AH182" i="10"/>
  <c r="AH178" i="10"/>
  <c r="AH174" i="10"/>
  <c r="AH170" i="10"/>
  <c r="AH166" i="10"/>
  <c r="AH145" i="10"/>
  <c r="AH133" i="10"/>
  <c r="AH129" i="10"/>
  <c r="AH125" i="10"/>
  <c r="AH121" i="10"/>
  <c r="AH117" i="10"/>
  <c r="AH113" i="10"/>
  <c r="AH105" i="10"/>
  <c r="AH97" i="10"/>
  <c r="AH149" i="10"/>
  <c r="AH110" i="10"/>
  <c r="AH102" i="10"/>
  <c r="AH94" i="10"/>
  <c r="AH86" i="10"/>
  <c r="AH78" i="10"/>
  <c r="AH87" i="10"/>
  <c r="AH71" i="10"/>
  <c r="AH63" i="10"/>
  <c r="AH55" i="10"/>
  <c r="AH77" i="10"/>
  <c r="AH74" i="10"/>
  <c r="AH66" i="10"/>
  <c r="AH58" i="10"/>
  <c r="AH50" i="10"/>
  <c r="AH45" i="10"/>
  <c r="AH41" i="10"/>
  <c r="AH37" i="10"/>
  <c r="AH33" i="10"/>
  <c r="AH29" i="10"/>
  <c r="AH25" i="10"/>
  <c r="AH21" i="10"/>
  <c r="AH12" i="10"/>
  <c r="AH199" i="10"/>
  <c r="AH191" i="10"/>
  <c r="AH158" i="10"/>
  <c r="AH148" i="10"/>
  <c r="AH138" i="10"/>
  <c r="AH157" i="10"/>
  <c r="AH184" i="10"/>
  <c r="AH179" i="10"/>
  <c r="AH173" i="10"/>
  <c r="AH168" i="10"/>
  <c r="AH153" i="10"/>
  <c r="AH132" i="10"/>
  <c r="AH127" i="10"/>
  <c r="AH122" i="10"/>
  <c r="AH116" i="10"/>
  <c r="AH109" i="10"/>
  <c r="AH99" i="10"/>
  <c r="AH141" i="10"/>
  <c r="AH106" i="10"/>
  <c r="AH96" i="10"/>
  <c r="AH84" i="10"/>
  <c r="AH81" i="10"/>
  <c r="AH73" i="10"/>
  <c r="AH61" i="10"/>
  <c r="AH51" i="10"/>
  <c r="AH79" i="10"/>
  <c r="AH64" i="10"/>
  <c r="AH54" i="10"/>
  <c r="AH46" i="10"/>
  <c r="AH40" i="10"/>
  <c r="AH35" i="10"/>
  <c r="AH30" i="10"/>
  <c r="AH24" i="10"/>
  <c r="AH19" i="10"/>
  <c r="AH8" i="10"/>
  <c r="AH14" i="10"/>
  <c r="AH198" i="10"/>
  <c r="AH190" i="10"/>
  <c r="AH156" i="10"/>
  <c r="AH146" i="10"/>
  <c r="AH134" i="10"/>
  <c r="AH155" i="10"/>
  <c r="AH183" i="10"/>
  <c r="AH177" i="10"/>
  <c r="AH172" i="10"/>
  <c r="AH167" i="10"/>
  <c r="AH143" i="10"/>
  <c r="AH131" i="10"/>
  <c r="AH126" i="10"/>
  <c r="AH120" i="10"/>
  <c r="AH115" i="10"/>
  <c r="AH107" i="10"/>
  <c r="AH95" i="10"/>
  <c r="AH137" i="10"/>
  <c r="AH104" i="10"/>
  <c r="AH92" i="10"/>
  <c r="AH82" i="10"/>
  <c r="AH91" i="10"/>
  <c r="AH69" i="10"/>
  <c r="AH59" i="10"/>
  <c r="AH49" i="10"/>
  <c r="AH72" i="10"/>
  <c r="AH62" i="10"/>
  <c r="AH52" i="10"/>
  <c r="AH44" i="10"/>
  <c r="AH39" i="10"/>
  <c r="AH34" i="10"/>
  <c r="AH28" i="10"/>
  <c r="AH23" i="10"/>
  <c r="AH10" i="10"/>
  <c r="AH195" i="10"/>
  <c r="AH164" i="10"/>
  <c r="AH154" i="10"/>
  <c r="AH142" i="10"/>
  <c r="AH163" i="10"/>
  <c r="AH187" i="10"/>
  <c r="AH181" i="10"/>
  <c r="AH176" i="10"/>
  <c r="AH171" i="10"/>
  <c r="AH165" i="10"/>
  <c r="AH139" i="10"/>
  <c r="AH130" i="10"/>
  <c r="AH124" i="10"/>
  <c r="AH119" i="10"/>
  <c r="AH114" i="10"/>
  <c r="AH103" i="10"/>
  <c r="AH93" i="10"/>
  <c r="AH112" i="10"/>
  <c r="AH100" i="10"/>
  <c r="AH90" i="10"/>
  <c r="AH80" i="10"/>
  <c r="AH83" i="10"/>
  <c r="AH67" i="10"/>
  <c r="AH57" i="10"/>
  <c r="AH89" i="10"/>
  <c r="AH70" i="10"/>
  <c r="AH60" i="10"/>
  <c r="AH48" i="10"/>
  <c r="AH43" i="10"/>
  <c r="AH38" i="10"/>
  <c r="AH32" i="10"/>
  <c r="AH27" i="10"/>
  <c r="AH22" i="10"/>
  <c r="AH15" i="10"/>
  <c r="AH140" i="10"/>
  <c r="AH175" i="10"/>
  <c r="AH128" i="10"/>
  <c r="AH101" i="10"/>
  <c r="AH88" i="10"/>
  <c r="AH53" i="10"/>
  <c r="AH47" i="10"/>
  <c r="AH26" i="10"/>
  <c r="AH6" i="10"/>
  <c r="AH194" i="10"/>
  <c r="AH161" i="10"/>
  <c r="AH169" i="10"/>
  <c r="AH123" i="10"/>
  <c r="AH151" i="10"/>
  <c r="AH76" i="10"/>
  <c r="AH85" i="10"/>
  <c r="AH42" i="10"/>
  <c r="AH20" i="10"/>
  <c r="AH9" i="10"/>
  <c r="AH17" i="10"/>
  <c r="AH13" i="10"/>
  <c r="AH16" i="10"/>
  <c r="AH162" i="10"/>
  <c r="AH185" i="10"/>
  <c r="AH147" i="10"/>
  <c r="AH118" i="10"/>
  <c r="AH108" i="10"/>
  <c r="AH75" i="10"/>
  <c r="AH68" i="10"/>
  <c r="AH36" i="10"/>
  <c r="AH11" i="10"/>
  <c r="AH150" i="10"/>
  <c r="AH180" i="10"/>
  <c r="AH135" i="10"/>
  <c r="AH111" i="10"/>
  <c r="AH98" i="10"/>
  <c r="AH65" i="10"/>
  <c r="AH56" i="10"/>
  <c r="AH31" i="10"/>
  <c r="AH18" i="10"/>
  <c r="AH7" i="10"/>
  <c r="V114" i="4"/>
  <c r="W26" i="4"/>
  <c r="V136" i="4"/>
  <c r="W122" i="4"/>
  <c r="W123" i="4"/>
  <c r="W121" i="4"/>
  <c r="W27" i="4"/>
  <c r="W145" i="4"/>
  <c r="W144" i="4"/>
  <c r="W143" i="4"/>
  <c r="Z12" i="4"/>
  <c r="AG4" i="28"/>
  <c r="AH4" i="28"/>
  <c r="Z5" i="4"/>
  <c r="AA7" i="4"/>
  <c r="AA128" i="4"/>
  <c r="AA127" i="4" s="1"/>
  <c r="AA106" i="4"/>
  <c r="AA105" i="4" s="1"/>
  <c r="Z3" i="4"/>
  <c r="Z4" i="4"/>
  <c r="W114" i="4"/>
  <c r="W136" i="4"/>
  <c r="W18" i="4"/>
  <c r="W25" i="4"/>
  <c r="K19" i="11"/>
  <c r="L18" i="11"/>
  <c r="DB19" i="10" l="1"/>
  <c r="DB35" i="10"/>
  <c r="DB24" i="10"/>
  <c r="DB161" i="10"/>
  <c r="DB177" i="10"/>
  <c r="DB43" i="10"/>
  <c r="DB16" i="10"/>
  <c r="DB92" i="10"/>
  <c r="DB76" i="10"/>
  <c r="DB28" i="10"/>
  <c r="DB44" i="10"/>
  <c r="DB60" i="10"/>
  <c r="DB37" i="10"/>
  <c r="DB115" i="10"/>
  <c r="DB182" i="10"/>
  <c r="DB10" i="10"/>
  <c r="DB26" i="10"/>
  <c r="DB58" i="10"/>
  <c r="DB83" i="10"/>
  <c r="DB104" i="10"/>
  <c r="DB122" i="10"/>
  <c r="DB175" i="10"/>
  <c r="DB191" i="10"/>
  <c r="DB90" i="10"/>
  <c r="DB152" i="10"/>
  <c r="DB196" i="10"/>
  <c r="DB147" i="10"/>
  <c r="DB9" i="10"/>
  <c r="DB57" i="10"/>
  <c r="DB81" i="10"/>
  <c r="DB120" i="10"/>
  <c r="DB30" i="10"/>
  <c r="DB46" i="10"/>
  <c r="DB88" i="10"/>
  <c r="DB51" i="10"/>
  <c r="DB113" i="10"/>
  <c r="DB145" i="10"/>
  <c r="DB200" i="10"/>
  <c r="DB56" i="10"/>
  <c r="DB129" i="10"/>
  <c r="DB74" i="10"/>
  <c r="DB29" i="10"/>
  <c r="DB45" i="10"/>
  <c r="DB166" i="10"/>
  <c r="DB18" i="10"/>
  <c r="DB67" i="10"/>
  <c r="DB99" i="10"/>
  <c r="DB138" i="10"/>
  <c r="DB131" i="10"/>
  <c r="DB173" i="10"/>
  <c r="DB106" i="10"/>
  <c r="DB189" i="10"/>
  <c r="DB32" i="10"/>
  <c r="DB48" i="10"/>
  <c r="DB64" i="10"/>
  <c r="DB172" i="10"/>
  <c r="Y120" i="4"/>
  <c r="Y141" i="4"/>
  <c r="Y130" i="4"/>
  <c r="Y24" i="4"/>
  <c r="Y119" i="4"/>
  <c r="Y23" i="4"/>
  <c r="Y10" i="4"/>
  <c r="Y142" i="4"/>
  <c r="Y108" i="4"/>
  <c r="Y22" i="4"/>
  <c r="Y140" i="4"/>
  <c r="Y118" i="4"/>
  <c r="Y131" i="4"/>
  <c r="Y11" i="4"/>
  <c r="Y109" i="4"/>
  <c r="Y16" i="4"/>
  <c r="Y134" i="4"/>
  <c r="Y112" i="4"/>
  <c r="Y135" i="4"/>
  <c r="Y17" i="4"/>
  <c r="Y113" i="4"/>
  <c r="BG36" i="10"/>
  <c r="BG83" i="10"/>
  <c r="BG17" i="10"/>
  <c r="BG10" i="10"/>
  <c r="BG29" i="10"/>
  <c r="BG22" i="10"/>
  <c r="BG32" i="10"/>
  <c r="BG11" i="10"/>
  <c r="BG37" i="10"/>
  <c r="BG9" i="10"/>
  <c r="BG21" i="10"/>
  <c r="BG27" i="10"/>
  <c r="BG15" i="10"/>
  <c r="BG23" i="10"/>
  <c r="BG38" i="10"/>
  <c r="BG12" i="10"/>
  <c r="BG18" i="10"/>
  <c r="BG16" i="10"/>
  <c r="BG24" i="10"/>
  <c r="BG34" i="10"/>
  <c r="BG13" i="10"/>
  <c r="BG19" i="10"/>
  <c r="BG25" i="10"/>
  <c r="BG30" i="10"/>
  <c r="BG33" i="10"/>
  <c r="BG35" i="10"/>
  <c r="BG28" i="10"/>
  <c r="BG14" i="10"/>
  <c r="BG20" i="10"/>
  <c r="BG26" i="10"/>
  <c r="BG31" i="10"/>
  <c r="BG77" i="10"/>
  <c r="CE197" i="10"/>
  <c r="CE193" i="10"/>
  <c r="CE189" i="10"/>
  <c r="CE185" i="10"/>
  <c r="CE181" i="10"/>
  <c r="CE177" i="10"/>
  <c r="CE173" i="10"/>
  <c r="CE169" i="10"/>
  <c r="CE165" i="10"/>
  <c r="CE161" i="10"/>
  <c r="CE157" i="10"/>
  <c r="CE153" i="10"/>
  <c r="CE149" i="10"/>
  <c r="CE145" i="10"/>
  <c r="CE141" i="10"/>
  <c r="CE137" i="10"/>
  <c r="CE133" i="10"/>
  <c r="CE129" i="10"/>
  <c r="CE125" i="10"/>
  <c r="CE121" i="10"/>
  <c r="CE117" i="10"/>
  <c r="CE113" i="10"/>
  <c r="CE109" i="10"/>
  <c r="CE105" i="10"/>
  <c r="CE101" i="10"/>
  <c r="CE97" i="10"/>
  <c r="CE93" i="10"/>
  <c r="CE89" i="10"/>
  <c r="CE85" i="10"/>
  <c r="CE81" i="10"/>
  <c r="CE77" i="10"/>
  <c r="CE73" i="10"/>
  <c r="CE69" i="10"/>
  <c r="CE65" i="10"/>
  <c r="CE61" i="10"/>
  <c r="CE57" i="10"/>
  <c r="CE53" i="10"/>
  <c r="CE49" i="10"/>
  <c r="CE200" i="10"/>
  <c r="CE196" i="10"/>
  <c r="CE192" i="10"/>
  <c r="CE188" i="10"/>
  <c r="CE184" i="10"/>
  <c r="CE180" i="10"/>
  <c r="CE176" i="10"/>
  <c r="CE172" i="10"/>
  <c r="CE168" i="10"/>
  <c r="CE164" i="10"/>
  <c r="CE160" i="10"/>
  <c r="CE156" i="10"/>
  <c r="CE152" i="10"/>
  <c r="CE148" i="10"/>
  <c r="CE144" i="10"/>
  <c r="CE140" i="10"/>
  <c r="CE136" i="10"/>
  <c r="CE132" i="10"/>
  <c r="CE128" i="10"/>
  <c r="CE124" i="10"/>
  <c r="CE120" i="10"/>
  <c r="CE116" i="10"/>
  <c r="CE112" i="10"/>
  <c r="CE108" i="10"/>
  <c r="CE104" i="10"/>
  <c r="CE100" i="10"/>
  <c r="CE96" i="10"/>
  <c r="CE92" i="10"/>
  <c r="CE88" i="10"/>
  <c r="CE84" i="10"/>
  <c r="CE80" i="10"/>
  <c r="CE76" i="10"/>
  <c r="CE72" i="10"/>
  <c r="CE68" i="10"/>
  <c r="CE64" i="10"/>
  <c r="CE60" i="10"/>
  <c r="CE56" i="10"/>
  <c r="CE52" i="10"/>
  <c r="CE48" i="10"/>
  <c r="CE199" i="10"/>
  <c r="CE195" i="10"/>
  <c r="CE191" i="10"/>
  <c r="CE187" i="10"/>
  <c r="CE183" i="10"/>
  <c r="CE179" i="10"/>
  <c r="CE175" i="10"/>
  <c r="CE171" i="10"/>
  <c r="CE167" i="10"/>
  <c r="CE163" i="10"/>
  <c r="CE159" i="10"/>
  <c r="CE155" i="10"/>
  <c r="CE151" i="10"/>
  <c r="CE147" i="10"/>
  <c r="CE143" i="10"/>
  <c r="CE139" i="10"/>
  <c r="CE135" i="10"/>
  <c r="CE131" i="10"/>
  <c r="CE127" i="10"/>
  <c r="CE123" i="10"/>
  <c r="CE119" i="10"/>
  <c r="CE115" i="10"/>
  <c r="CE111" i="10"/>
  <c r="CE107" i="10"/>
  <c r="CE103" i="10"/>
  <c r="CE99" i="10"/>
  <c r="CE95" i="10"/>
  <c r="CE91" i="10"/>
  <c r="CE87" i="10"/>
  <c r="CE83" i="10"/>
  <c r="DC83" i="10" s="1"/>
  <c r="CE79" i="10"/>
  <c r="CE75" i="10"/>
  <c r="CE71" i="10"/>
  <c r="CE67" i="10"/>
  <c r="CE63" i="10"/>
  <c r="CE59" i="10"/>
  <c r="CE55" i="10"/>
  <c r="CE51" i="10"/>
  <c r="CE198" i="10"/>
  <c r="CE194" i="10"/>
  <c r="CE190" i="10"/>
  <c r="CE186" i="10"/>
  <c r="CE182" i="10"/>
  <c r="CE178" i="10"/>
  <c r="CE174" i="10"/>
  <c r="CE170" i="10"/>
  <c r="CE166" i="10"/>
  <c r="CE162" i="10"/>
  <c r="CE158" i="10"/>
  <c r="CE154" i="10"/>
  <c r="CE150" i="10"/>
  <c r="CE146" i="10"/>
  <c r="CE142" i="10"/>
  <c r="CE138" i="10"/>
  <c r="CE134" i="10"/>
  <c r="CE130" i="10"/>
  <c r="CE126" i="10"/>
  <c r="CE122" i="10"/>
  <c r="CE118" i="10"/>
  <c r="CE114" i="10"/>
  <c r="CE110" i="10"/>
  <c r="CE106" i="10"/>
  <c r="CE102" i="10"/>
  <c r="CE98" i="10"/>
  <c r="CE94" i="10"/>
  <c r="CE90" i="10"/>
  <c r="CE86" i="10"/>
  <c r="CE82" i="10"/>
  <c r="CE78" i="10"/>
  <c r="CE74" i="10"/>
  <c r="CE70" i="10"/>
  <c r="CE66" i="10"/>
  <c r="CE62" i="10"/>
  <c r="CE58" i="10"/>
  <c r="CE54" i="10"/>
  <c r="CE50" i="10"/>
  <c r="CE10" i="10"/>
  <c r="DC10" i="10" s="1"/>
  <c r="CE11" i="10"/>
  <c r="DC11" i="10" s="1"/>
  <c r="CE18" i="10"/>
  <c r="DC18" i="10" s="1"/>
  <c r="CE19" i="10"/>
  <c r="DC19" i="10" s="1"/>
  <c r="CE26" i="10"/>
  <c r="CE27" i="10"/>
  <c r="BG200" i="10"/>
  <c r="BG192" i="10"/>
  <c r="DC192" i="10" s="1"/>
  <c r="BG163" i="10"/>
  <c r="BG159" i="10"/>
  <c r="BG155" i="10"/>
  <c r="BG151" i="10"/>
  <c r="BG189" i="10"/>
  <c r="BG195" i="10"/>
  <c r="DC195" i="10" s="1"/>
  <c r="BG186" i="10"/>
  <c r="BG178" i="10"/>
  <c r="DC178" i="10" s="1"/>
  <c r="BG170" i="10"/>
  <c r="BG177" i="10"/>
  <c r="DC177" i="10" s="1"/>
  <c r="BG147" i="10"/>
  <c r="BG139" i="10"/>
  <c r="DC139" i="10" s="1"/>
  <c r="BG131" i="10"/>
  <c r="BG123" i="10"/>
  <c r="BG175" i="10"/>
  <c r="DC175" i="10" s="1"/>
  <c r="BG146" i="10"/>
  <c r="DC146" i="10" s="1"/>
  <c r="BG132" i="10"/>
  <c r="BG118" i="10"/>
  <c r="BG96" i="10"/>
  <c r="BG88" i="10"/>
  <c r="BG80" i="10"/>
  <c r="BG72" i="10"/>
  <c r="DC72" i="10" s="1"/>
  <c r="BG138" i="10"/>
  <c r="BG120" i="10"/>
  <c r="BG95" i="10"/>
  <c r="BG87" i="10"/>
  <c r="BG116" i="10"/>
  <c r="DC116" i="10" s="1"/>
  <c r="BG112" i="10"/>
  <c r="DC112" i="10" s="1"/>
  <c r="BG108" i="10"/>
  <c r="DC108" i="10" s="1"/>
  <c r="BG104" i="10"/>
  <c r="DC104" i="10" s="1"/>
  <c r="CE12" i="10"/>
  <c r="DC12" i="10" s="1"/>
  <c r="CE13" i="10"/>
  <c r="DC13" i="10" s="1"/>
  <c r="CE20" i="10"/>
  <c r="CE21" i="10"/>
  <c r="DC21" i="10" s="1"/>
  <c r="CE28" i="10"/>
  <c r="CE30" i="10"/>
  <c r="CE32" i="10"/>
  <c r="CE34" i="10"/>
  <c r="CE36" i="10"/>
  <c r="DC36" i="10" s="1"/>
  <c r="CE38" i="10"/>
  <c r="CE40" i="10"/>
  <c r="CE42" i="10"/>
  <c r="CE44" i="10"/>
  <c r="CE46" i="10"/>
  <c r="BG198" i="10"/>
  <c r="BG199" i="10"/>
  <c r="DC199" i="10" s="1"/>
  <c r="BG162" i="10"/>
  <c r="BG158" i="10"/>
  <c r="BG154" i="10"/>
  <c r="BG150" i="10"/>
  <c r="BG187" i="10"/>
  <c r="BG197" i="10"/>
  <c r="DC197" i="10" s="1"/>
  <c r="BG184" i="10"/>
  <c r="BG176" i="10"/>
  <c r="DC176" i="10" s="1"/>
  <c r="BG168" i="10"/>
  <c r="BG173" i="10"/>
  <c r="BG145" i="10"/>
  <c r="DC145" i="10" s="1"/>
  <c r="BG137" i="10"/>
  <c r="DC137" i="10" s="1"/>
  <c r="BG129" i="10"/>
  <c r="DC129" i="10" s="1"/>
  <c r="BG121" i="10"/>
  <c r="DC121" i="10" s="1"/>
  <c r="BG171" i="10"/>
  <c r="BG144" i="10"/>
  <c r="DC144" i="10" s="1"/>
  <c r="BG130" i="10"/>
  <c r="BG102" i="10"/>
  <c r="BG94" i="10"/>
  <c r="DC94" i="10" s="1"/>
  <c r="BG86" i="10"/>
  <c r="BG78" i="10"/>
  <c r="BG70" i="10"/>
  <c r="BG136" i="10"/>
  <c r="BG101" i="10"/>
  <c r="DC101" i="10" s="1"/>
  <c r="BG93" i="10"/>
  <c r="BG85" i="10"/>
  <c r="DC85" i="10" s="1"/>
  <c r="BG115" i="10"/>
  <c r="BG111" i="10"/>
  <c r="BG107" i="10"/>
  <c r="DC107" i="10" s="1"/>
  <c r="BG103" i="10"/>
  <c r="DC103" i="10" s="1"/>
  <c r="CE6" i="10"/>
  <c r="CE7" i="10"/>
  <c r="CE14" i="10"/>
  <c r="CE15" i="10"/>
  <c r="DC15" i="10" s="1"/>
  <c r="CE22" i="10"/>
  <c r="DC22" i="10" s="1"/>
  <c r="CE23" i="10"/>
  <c r="BG69" i="10"/>
  <c r="DC69" i="10" s="1"/>
  <c r="BG196" i="10"/>
  <c r="DC196" i="10" s="1"/>
  <c r="BG191" i="10"/>
  <c r="DC191" i="10" s="1"/>
  <c r="BG161" i="10"/>
  <c r="DC161" i="10" s="1"/>
  <c r="BG157" i="10"/>
  <c r="BG153" i="10"/>
  <c r="DC153" i="10" s="1"/>
  <c r="BG149" i="10"/>
  <c r="DC149" i="10" s="1"/>
  <c r="BG185" i="10"/>
  <c r="DC185" i="10" s="1"/>
  <c r="BG190" i="10"/>
  <c r="DC190" i="10" s="1"/>
  <c r="BG182" i="10"/>
  <c r="DC182" i="10" s="1"/>
  <c r="BG174" i="10"/>
  <c r="DC174" i="10" s="1"/>
  <c r="BG166" i="10"/>
  <c r="BG169" i="10"/>
  <c r="DC169" i="10" s="1"/>
  <c r="BG143" i="10"/>
  <c r="DC143" i="10" s="1"/>
  <c r="BG135" i="10"/>
  <c r="DC135" i="10" s="1"/>
  <c r="BG127" i="10"/>
  <c r="DC127" i="10" s="1"/>
  <c r="BG119" i="10"/>
  <c r="DC119" i="10" s="1"/>
  <c r="BG167" i="10"/>
  <c r="DC167" i="10" s="1"/>
  <c r="BG142" i="10"/>
  <c r="DC142" i="10" s="1"/>
  <c r="BG126" i="10"/>
  <c r="DC126" i="10" s="1"/>
  <c r="BG100" i="10"/>
  <c r="DC100" i="10" s="1"/>
  <c r="BG92" i="10"/>
  <c r="DC92" i="10" s="1"/>
  <c r="BG84" i="10"/>
  <c r="DC84" i="10" s="1"/>
  <c r="BG76" i="10"/>
  <c r="DC76" i="10" s="1"/>
  <c r="BG68" i="10"/>
  <c r="DC68" i="10" s="1"/>
  <c r="BG128" i="10"/>
  <c r="DC128" i="10" s="1"/>
  <c r="BG99" i="10"/>
  <c r="BG91" i="10"/>
  <c r="DC91" i="10" s="1"/>
  <c r="BG134" i="10"/>
  <c r="DC134" i="10" s="1"/>
  <c r="BG114" i="10"/>
  <c r="DC114" i="10" s="1"/>
  <c r="BG110" i="10"/>
  <c r="DC110" i="10" s="1"/>
  <c r="BG106" i="10"/>
  <c r="DC106" i="10" s="1"/>
  <c r="CE8" i="10"/>
  <c r="CE9" i="10"/>
  <c r="DC9" i="10" s="1"/>
  <c r="CE16" i="10"/>
  <c r="DC16" i="10" s="1"/>
  <c r="CE17" i="10"/>
  <c r="DC17" i="10" s="1"/>
  <c r="CE24" i="10"/>
  <c r="CE25" i="10"/>
  <c r="CE29" i="10"/>
  <c r="DC29" i="10" s="1"/>
  <c r="CE31" i="10"/>
  <c r="CE33" i="10"/>
  <c r="CE35" i="10"/>
  <c r="CE37" i="10"/>
  <c r="DC37" i="10" s="1"/>
  <c r="CE39" i="10"/>
  <c r="CE41" i="10"/>
  <c r="CE43" i="10"/>
  <c r="CE45" i="10"/>
  <c r="CE47" i="10"/>
  <c r="BG73" i="10"/>
  <c r="DC73" i="10" s="1"/>
  <c r="BG194" i="10"/>
  <c r="DC194" i="10" s="1"/>
  <c r="BG164" i="10"/>
  <c r="DC164" i="10" s="1"/>
  <c r="BG160" i="10"/>
  <c r="DC160" i="10" s="1"/>
  <c r="BG156" i="10"/>
  <c r="DC156" i="10" s="1"/>
  <c r="BG152" i="10"/>
  <c r="BG193" i="10"/>
  <c r="DC193" i="10" s="1"/>
  <c r="BG183" i="10"/>
  <c r="DC183" i="10" s="1"/>
  <c r="BG188" i="10"/>
  <c r="DC188" i="10" s="1"/>
  <c r="BG180" i="10"/>
  <c r="DC180" i="10" s="1"/>
  <c r="BG172" i="10"/>
  <c r="DC172" i="10" s="1"/>
  <c r="BG181" i="10"/>
  <c r="DC181" i="10" s="1"/>
  <c r="BG165" i="10"/>
  <c r="DC165" i="10" s="1"/>
  <c r="BG141" i="10"/>
  <c r="BG133" i="10"/>
  <c r="DC133" i="10" s="1"/>
  <c r="BG125" i="10"/>
  <c r="DC125" i="10" s="1"/>
  <c r="BG179" i="10"/>
  <c r="BG148" i="10"/>
  <c r="DC148" i="10" s="1"/>
  <c r="BG140" i="10"/>
  <c r="DC140" i="10" s="1"/>
  <c r="BG122" i="10"/>
  <c r="DC122" i="10" s="1"/>
  <c r="BG98" i="10"/>
  <c r="DC98" i="10" s="1"/>
  <c r="BG90" i="10"/>
  <c r="BG82" i="10"/>
  <c r="DC82" i="10" s="1"/>
  <c r="BG74" i="10"/>
  <c r="DC74" i="10" s="1"/>
  <c r="BG66" i="10"/>
  <c r="DC66" i="10" s="1"/>
  <c r="BG124" i="10"/>
  <c r="DC124" i="10" s="1"/>
  <c r="BG97" i="10"/>
  <c r="DC97" i="10" s="1"/>
  <c r="BG89" i="10"/>
  <c r="DC89" i="10" s="1"/>
  <c r="BG117" i="10"/>
  <c r="DC117" i="10" s="1"/>
  <c r="BG113" i="10"/>
  <c r="DC113" i="10" s="1"/>
  <c r="BG109" i="10"/>
  <c r="BG105" i="10"/>
  <c r="DC105" i="10" s="1"/>
  <c r="BG7" i="10"/>
  <c r="BG41" i="10"/>
  <c r="BG45" i="10"/>
  <c r="DC45" i="10" s="1"/>
  <c r="BG49" i="10"/>
  <c r="DC49" i="10" s="1"/>
  <c r="BG53" i="10"/>
  <c r="DC53" i="10" s="1"/>
  <c r="BG57" i="10"/>
  <c r="DC57" i="10" s="1"/>
  <c r="BG61" i="10"/>
  <c r="BG65" i="10"/>
  <c r="DC65" i="10" s="1"/>
  <c r="BG8" i="10"/>
  <c r="DC8" i="10" s="1"/>
  <c r="BG40" i="10"/>
  <c r="DC40" i="10" s="1"/>
  <c r="BG44" i="10"/>
  <c r="DC44" i="10" s="1"/>
  <c r="BG48" i="10"/>
  <c r="DC48" i="10" s="1"/>
  <c r="BG52" i="10"/>
  <c r="DC52" i="10" s="1"/>
  <c r="BG56" i="10"/>
  <c r="BG60" i="10"/>
  <c r="DC60" i="10" s="1"/>
  <c r="BG64" i="10"/>
  <c r="DC64" i="10" s="1"/>
  <c r="AA13" i="4" s="1"/>
  <c r="BG67" i="10"/>
  <c r="BG71" i="10"/>
  <c r="DC71" i="10" s="1"/>
  <c r="BG75" i="10"/>
  <c r="DC75" i="10" s="1"/>
  <c r="BG81" i="10"/>
  <c r="DC81" i="10" s="1"/>
  <c r="BG39" i="10"/>
  <c r="BG43" i="10"/>
  <c r="DC43" i="10" s="1"/>
  <c r="BG47" i="10"/>
  <c r="BG51" i="10"/>
  <c r="DC51" i="10" s="1"/>
  <c r="BG55" i="10"/>
  <c r="DC55" i="10" s="1"/>
  <c r="BG59" i="10"/>
  <c r="DC59" i="10" s="1"/>
  <c r="BG63" i="10"/>
  <c r="DC63" i="10" s="1"/>
  <c r="BG6" i="10"/>
  <c r="DC6" i="10" s="1"/>
  <c r="BG42" i="10"/>
  <c r="BG46" i="10"/>
  <c r="DC46" i="10" s="1"/>
  <c r="BG50" i="10"/>
  <c r="DC50" i="10" s="1"/>
  <c r="BG54" i="10"/>
  <c r="DC54" i="10" s="1"/>
  <c r="BG58" i="10"/>
  <c r="BG62" i="10"/>
  <c r="DC62" i="10" s="1"/>
  <c r="BG79" i="10"/>
  <c r="DC79" i="10" s="1"/>
  <c r="DB31" i="10"/>
  <c r="DB47" i="10"/>
  <c r="DB20" i="10"/>
  <c r="DB52" i="10"/>
  <c r="DB100" i="10"/>
  <c r="DB157" i="10"/>
  <c r="DB180" i="10"/>
  <c r="DB68" i="10"/>
  <c r="DC3" i="10"/>
  <c r="CE3" i="10"/>
  <c r="BG3" i="10"/>
  <c r="AI3" i="10"/>
  <c r="AA12" i="4"/>
  <c r="AJ4" i="10"/>
  <c r="DD4" i="10"/>
  <c r="CF4" i="10"/>
  <c r="BH4" i="10"/>
  <c r="DB40" i="10"/>
  <c r="DB72" i="10"/>
  <c r="AI20" i="10"/>
  <c r="AI24" i="10"/>
  <c r="AI22" i="10"/>
  <c r="AI19" i="10"/>
  <c r="AI197" i="10"/>
  <c r="AI193" i="10"/>
  <c r="AI189" i="10"/>
  <c r="AI185" i="10"/>
  <c r="AI181" i="10"/>
  <c r="AI177" i="10"/>
  <c r="AI173" i="10"/>
  <c r="AI169" i="10"/>
  <c r="AI165" i="10"/>
  <c r="AI157" i="10"/>
  <c r="AI149" i="10"/>
  <c r="AI162" i="10"/>
  <c r="AI154" i="10"/>
  <c r="AI146" i="10"/>
  <c r="AI138" i="10"/>
  <c r="AI139" i="10"/>
  <c r="AI131" i="10"/>
  <c r="AI127" i="10"/>
  <c r="AI123" i="10"/>
  <c r="AI119" i="10"/>
  <c r="AI115" i="10"/>
  <c r="AI109" i="10"/>
  <c r="AI101" i="10"/>
  <c r="AI93" i="10"/>
  <c r="AI85" i="10"/>
  <c r="AI110" i="10"/>
  <c r="AI102" i="10"/>
  <c r="AI73" i="10"/>
  <c r="AI69" i="10"/>
  <c r="AI65" i="10"/>
  <c r="AI61" i="10"/>
  <c r="AI57" i="10"/>
  <c r="AI53" i="10"/>
  <c r="AI49" i="10"/>
  <c r="AI83" i="10"/>
  <c r="AI77" i="10"/>
  <c r="AI82" i="10"/>
  <c r="AI45" i="10"/>
  <c r="AI41" i="10"/>
  <c r="AI37" i="10"/>
  <c r="AI33" i="10"/>
  <c r="AI29" i="10"/>
  <c r="AI25" i="10"/>
  <c r="AI76" i="10"/>
  <c r="AI199" i="10"/>
  <c r="AI194" i="10"/>
  <c r="AI188" i="10"/>
  <c r="AI183" i="10"/>
  <c r="AI178" i="10"/>
  <c r="AI172" i="10"/>
  <c r="AI167" i="10"/>
  <c r="AI159" i="10"/>
  <c r="AI147" i="10"/>
  <c r="AI158" i="10"/>
  <c r="AI148" i="10"/>
  <c r="AI136" i="10"/>
  <c r="AI133" i="10"/>
  <c r="AI128" i="10"/>
  <c r="AI122" i="10"/>
  <c r="AI117" i="10"/>
  <c r="AI111" i="10"/>
  <c r="AI99" i="10"/>
  <c r="AI89" i="10"/>
  <c r="AI112" i="10"/>
  <c r="AI100" i="10"/>
  <c r="AI71" i="10"/>
  <c r="AI66" i="10"/>
  <c r="AI60" i="10"/>
  <c r="AI55" i="10"/>
  <c r="AI50" i="10"/>
  <c r="AI78" i="10"/>
  <c r="AI90" i="10"/>
  <c r="AI46" i="10"/>
  <c r="AI40" i="10"/>
  <c r="AI35" i="10"/>
  <c r="AI30" i="10"/>
  <c r="AI94" i="10"/>
  <c r="AI23" i="10"/>
  <c r="AI198" i="10"/>
  <c r="AI192" i="10"/>
  <c r="AI187" i="10"/>
  <c r="AI182" i="10"/>
  <c r="AI176" i="10"/>
  <c r="AI171" i="10"/>
  <c r="AI166" i="10"/>
  <c r="AI155" i="10"/>
  <c r="AI145" i="10"/>
  <c r="AI156" i="10"/>
  <c r="AI144" i="10"/>
  <c r="AI134" i="10"/>
  <c r="AI132" i="10"/>
  <c r="AI126" i="10"/>
  <c r="AI121" i="10"/>
  <c r="AI116" i="10"/>
  <c r="AI107" i="10"/>
  <c r="AI97" i="10"/>
  <c r="AI87" i="10"/>
  <c r="AI108" i="10"/>
  <c r="AI98" i="10"/>
  <c r="AI70" i="10"/>
  <c r="AI64" i="10"/>
  <c r="AI59" i="10"/>
  <c r="AI54" i="10"/>
  <c r="AI48" i="10"/>
  <c r="AI75" i="10"/>
  <c r="AI86" i="10"/>
  <c r="AI44" i="10"/>
  <c r="AI39" i="10"/>
  <c r="AI34" i="10"/>
  <c r="AI28" i="10"/>
  <c r="AI84" i="10"/>
  <c r="AI6" i="10"/>
  <c r="AI8" i="10"/>
  <c r="AI10" i="10"/>
  <c r="AI12" i="10"/>
  <c r="AI14" i="10"/>
  <c r="AI16" i="10"/>
  <c r="AI18" i="10"/>
  <c r="AI21" i="10"/>
  <c r="AI196" i="10"/>
  <c r="AI191" i="10"/>
  <c r="AI186" i="10"/>
  <c r="AI180" i="10"/>
  <c r="AI175" i="10"/>
  <c r="AI170" i="10"/>
  <c r="AI163" i="10"/>
  <c r="AI153" i="10"/>
  <c r="AI164" i="10"/>
  <c r="AI152" i="10"/>
  <c r="AI142" i="10"/>
  <c r="AI143" i="10"/>
  <c r="AI130" i="10"/>
  <c r="AI125" i="10"/>
  <c r="AI120" i="10"/>
  <c r="AI114" i="10"/>
  <c r="AI105" i="10"/>
  <c r="AI95" i="10"/>
  <c r="AI141" i="10"/>
  <c r="AI106" i="10"/>
  <c r="AI74" i="10"/>
  <c r="AI68" i="10"/>
  <c r="AI63" i="10"/>
  <c r="AI58" i="10"/>
  <c r="AI52" i="10"/>
  <c r="AI92" i="10"/>
  <c r="AI80" i="10"/>
  <c r="AI79" i="10"/>
  <c r="AI43" i="10"/>
  <c r="AI38" i="10"/>
  <c r="AI32" i="10"/>
  <c r="AI27" i="10"/>
  <c r="AI81" i="10"/>
  <c r="AI190" i="10"/>
  <c r="AI168" i="10"/>
  <c r="AI150" i="10"/>
  <c r="AI124" i="10"/>
  <c r="AI91" i="10"/>
  <c r="AI67" i="10"/>
  <c r="AI88" i="10"/>
  <c r="AI36" i="10"/>
  <c r="AI11" i="10"/>
  <c r="AI184" i="10"/>
  <c r="AI161" i="10"/>
  <c r="AI140" i="10"/>
  <c r="AI118" i="10"/>
  <c r="AI137" i="10"/>
  <c r="AI62" i="10"/>
  <c r="AI96" i="10"/>
  <c r="AI31" i="10"/>
  <c r="AI9" i="10"/>
  <c r="AI17" i="10"/>
  <c r="AI200" i="10"/>
  <c r="AI179" i="10"/>
  <c r="AI151" i="10"/>
  <c r="AI135" i="10"/>
  <c r="AI113" i="10"/>
  <c r="AI104" i="10"/>
  <c r="AI56" i="10"/>
  <c r="AI47" i="10"/>
  <c r="AI26" i="10"/>
  <c r="AI7" i="10"/>
  <c r="AI15" i="10"/>
  <c r="AI195" i="10"/>
  <c r="AI174" i="10"/>
  <c r="AI160" i="10"/>
  <c r="AI129" i="10"/>
  <c r="AI103" i="10"/>
  <c r="AI72" i="10"/>
  <c r="AI51" i="10"/>
  <c r="AI42" i="10"/>
  <c r="AI13" i="10"/>
  <c r="X143" i="4"/>
  <c r="X121" i="4"/>
  <c r="X25" i="4"/>
  <c r="X123" i="4"/>
  <c r="X122" i="4"/>
  <c r="AG3" i="28"/>
  <c r="X145" i="4"/>
  <c r="X144" i="4"/>
  <c r="X27" i="4"/>
  <c r="X26" i="4"/>
  <c r="AA5" i="4"/>
  <c r="X18" i="4"/>
  <c r="AI4" i="28"/>
  <c r="AJ4" i="28"/>
  <c r="AB7" i="4"/>
  <c r="AB106" i="4"/>
  <c r="AB105" i="4" s="1"/>
  <c r="AB128" i="4"/>
  <c r="AB127" i="4" s="1"/>
  <c r="AA3" i="4"/>
  <c r="AA4" i="4"/>
  <c r="AI3" i="28"/>
  <c r="K20" i="11"/>
  <c r="L19" i="11"/>
  <c r="DC171" i="10" l="1"/>
  <c r="DC132" i="10"/>
  <c r="DC130" i="10"/>
  <c r="DC187" i="10"/>
  <c r="DC96" i="10"/>
  <c r="DC162" i="10"/>
  <c r="DC155" i="10"/>
  <c r="DC41" i="10"/>
  <c r="DC70" i="10"/>
  <c r="DC102" i="10"/>
  <c r="DC47" i="10"/>
  <c r="DC61" i="10"/>
  <c r="DC109" i="10"/>
  <c r="DC99" i="10"/>
  <c r="DC115" i="10"/>
  <c r="DC136" i="10"/>
  <c r="DC184" i="10"/>
  <c r="DC154" i="10"/>
  <c r="DC32" i="10"/>
  <c r="DC131" i="10"/>
  <c r="DC170" i="10"/>
  <c r="DC189" i="10"/>
  <c r="DC163" i="10"/>
  <c r="DC56" i="10"/>
  <c r="DC90" i="10"/>
  <c r="DC141" i="10"/>
  <c r="DC152" i="10"/>
  <c r="DC25" i="10"/>
  <c r="DC173" i="10"/>
  <c r="DC38" i="10"/>
  <c r="DC120" i="10"/>
  <c r="DC88" i="10"/>
  <c r="DC58" i="10"/>
  <c r="DC42" i="10"/>
  <c r="DC39" i="10"/>
  <c r="DC67" i="10"/>
  <c r="DC7" i="10"/>
  <c r="DC179" i="10"/>
  <c r="DC24" i="10"/>
  <c r="DC157" i="10"/>
  <c r="DC93" i="10"/>
  <c r="DC168" i="10"/>
  <c r="DC138" i="10"/>
  <c r="DC147" i="10"/>
  <c r="DC186" i="10"/>
  <c r="DC200" i="10"/>
  <c r="DC87" i="10"/>
  <c r="DC158" i="10"/>
  <c r="DC151" i="10"/>
  <c r="DC78" i="10"/>
  <c r="DC77" i="10"/>
  <c r="AJ18" i="10"/>
  <c r="AJ200" i="10"/>
  <c r="AJ196" i="10"/>
  <c r="AJ192" i="10"/>
  <c r="AJ188" i="10"/>
  <c r="AJ184" i="10"/>
  <c r="AJ180" i="10"/>
  <c r="AJ176" i="10"/>
  <c r="AJ172" i="10"/>
  <c r="AJ168" i="10"/>
  <c r="AJ164" i="10"/>
  <c r="AJ160" i="10"/>
  <c r="AJ156" i="10"/>
  <c r="AJ152" i="10"/>
  <c r="AJ148" i="10"/>
  <c r="AJ144" i="10"/>
  <c r="AJ140" i="10"/>
  <c r="AJ136" i="10"/>
  <c r="AJ132" i="10"/>
  <c r="AJ128" i="10"/>
  <c r="AJ124" i="10"/>
  <c r="AJ120" i="10"/>
  <c r="AJ116" i="10"/>
  <c r="AJ110" i="10"/>
  <c r="AJ102" i="10"/>
  <c r="AJ94" i="10"/>
  <c r="AJ109" i="10"/>
  <c r="AJ101" i="10"/>
  <c r="AJ93" i="10"/>
  <c r="AJ85" i="10"/>
  <c r="AJ77" i="10"/>
  <c r="AJ71" i="10"/>
  <c r="AJ63" i="10"/>
  <c r="AJ55" i="10"/>
  <c r="AJ90" i="10"/>
  <c r="AJ46" i="10"/>
  <c r="AJ42" i="10"/>
  <c r="AJ38" i="10"/>
  <c r="AJ34" i="10"/>
  <c r="AJ30" i="10"/>
  <c r="AJ26" i="10"/>
  <c r="AJ22" i="10"/>
  <c r="AJ74" i="10"/>
  <c r="AJ66" i="10"/>
  <c r="AJ58" i="10"/>
  <c r="AJ50" i="10"/>
  <c r="AJ9" i="10"/>
  <c r="AJ11" i="10"/>
  <c r="AJ13" i="10"/>
  <c r="AJ15" i="10"/>
  <c r="AJ17" i="10"/>
  <c r="AJ199" i="10"/>
  <c r="AJ195" i="10"/>
  <c r="AJ191" i="10"/>
  <c r="AJ187" i="10"/>
  <c r="AJ183" i="10"/>
  <c r="AJ179" i="10"/>
  <c r="AJ175" i="10"/>
  <c r="AJ171" i="10"/>
  <c r="AJ167" i="10"/>
  <c r="AJ163" i="10"/>
  <c r="AJ159" i="10"/>
  <c r="AJ155" i="10"/>
  <c r="AJ151" i="10"/>
  <c r="AJ147" i="10"/>
  <c r="AJ143" i="10"/>
  <c r="AJ139" i="10"/>
  <c r="AJ135" i="10"/>
  <c r="AJ131" i="10"/>
  <c r="AJ127" i="10"/>
  <c r="AJ123" i="10"/>
  <c r="AJ119" i="10"/>
  <c r="AJ115" i="10"/>
  <c r="AJ108" i="10"/>
  <c r="AJ100" i="10"/>
  <c r="AJ92" i="10"/>
  <c r="AJ107" i="10"/>
  <c r="AJ99" i="10"/>
  <c r="AJ91" i="10"/>
  <c r="AJ83" i="10"/>
  <c r="AJ75" i="10"/>
  <c r="AJ69" i="10"/>
  <c r="AJ61" i="10"/>
  <c r="AJ53" i="10"/>
  <c r="AJ86" i="10"/>
  <c r="AJ45" i="10"/>
  <c r="AJ41" i="10"/>
  <c r="AJ37" i="10"/>
  <c r="AJ33" i="10"/>
  <c r="AJ29" i="10"/>
  <c r="AJ25" i="10"/>
  <c r="AJ21" i="10"/>
  <c r="AJ72" i="10"/>
  <c r="AJ64" i="10"/>
  <c r="AJ56" i="10"/>
  <c r="AJ48" i="10"/>
  <c r="AJ6" i="10"/>
  <c r="AJ198" i="10"/>
  <c r="AJ194" i="10"/>
  <c r="AJ190" i="10"/>
  <c r="AJ186" i="10"/>
  <c r="AJ182" i="10"/>
  <c r="AJ178" i="10"/>
  <c r="AJ174" i="10"/>
  <c r="AJ170" i="10"/>
  <c r="AJ166" i="10"/>
  <c r="AJ162" i="10"/>
  <c r="AJ158" i="10"/>
  <c r="AJ154" i="10"/>
  <c r="AJ150" i="10"/>
  <c r="AJ146" i="10"/>
  <c r="AJ142" i="10"/>
  <c r="AJ138" i="10"/>
  <c r="AJ134" i="10"/>
  <c r="AJ130" i="10"/>
  <c r="AJ126" i="10"/>
  <c r="AJ122" i="10"/>
  <c r="AJ118" i="10"/>
  <c r="AJ114" i="10"/>
  <c r="AJ106" i="10"/>
  <c r="AJ98" i="10"/>
  <c r="AJ113" i="10"/>
  <c r="AJ105" i="10"/>
  <c r="AJ97" i="10"/>
  <c r="AJ89" i="10"/>
  <c r="AJ81" i="10"/>
  <c r="AJ80" i="10"/>
  <c r="AJ67" i="10"/>
  <c r="AJ59" i="10"/>
  <c r="AJ51" i="10"/>
  <c r="AJ82" i="10"/>
  <c r="AJ44" i="10"/>
  <c r="AJ40" i="10"/>
  <c r="AJ36" i="10"/>
  <c r="AJ32" i="10"/>
  <c r="AJ28" i="10"/>
  <c r="AJ24" i="10"/>
  <c r="AJ84" i="10"/>
  <c r="AJ70" i="10"/>
  <c r="AJ62" i="10"/>
  <c r="AJ54" i="10"/>
  <c r="AJ88" i="10"/>
  <c r="AJ12" i="10"/>
  <c r="AJ189" i="10"/>
  <c r="AJ173" i="10"/>
  <c r="AJ157" i="10"/>
  <c r="AJ104" i="10"/>
  <c r="AJ95" i="10"/>
  <c r="AJ65" i="10"/>
  <c r="AJ43" i="10"/>
  <c r="AJ27" i="10"/>
  <c r="AJ60" i="10"/>
  <c r="AJ7" i="10"/>
  <c r="AJ10" i="10"/>
  <c r="AJ185" i="10"/>
  <c r="AJ169" i="10"/>
  <c r="AJ153" i="10"/>
  <c r="AJ137" i="10"/>
  <c r="AJ121" i="10"/>
  <c r="AJ96" i="10"/>
  <c r="AJ87" i="10"/>
  <c r="AJ57" i="10"/>
  <c r="AJ39" i="10"/>
  <c r="AJ23" i="10"/>
  <c r="AJ52" i="10"/>
  <c r="AJ161" i="10"/>
  <c r="AJ112" i="10"/>
  <c r="AJ73" i="10"/>
  <c r="AJ31" i="10"/>
  <c r="AJ141" i="10"/>
  <c r="AJ8" i="10"/>
  <c r="AJ16" i="10"/>
  <c r="AJ197" i="10"/>
  <c r="AJ181" i="10"/>
  <c r="AJ165" i="10"/>
  <c r="AJ149" i="10"/>
  <c r="AJ133" i="10"/>
  <c r="AJ117" i="10"/>
  <c r="AJ111" i="10"/>
  <c r="AJ79" i="10"/>
  <c r="AJ49" i="10"/>
  <c r="AJ35" i="10"/>
  <c r="AJ76" i="10"/>
  <c r="AJ78" i="10"/>
  <c r="AJ19" i="10"/>
  <c r="AJ14" i="10"/>
  <c r="AJ193" i="10"/>
  <c r="AJ177" i="10"/>
  <c r="AJ145" i="10"/>
  <c r="AJ129" i="10"/>
  <c r="AJ103" i="10"/>
  <c r="AJ47" i="10"/>
  <c r="AJ68" i="10"/>
  <c r="AJ20" i="10"/>
  <c r="AJ125" i="10"/>
  <c r="AB5" i="4"/>
  <c r="AB13" i="4"/>
  <c r="AK4" i="10"/>
  <c r="DE4" i="10"/>
  <c r="CG4" i="10"/>
  <c r="BI4" i="10"/>
  <c r="AJ3" i="10"/>
  <c r="DD3" i="10"/>
  <c r="CF3" i="10"/>
  <c r="BH3" i="10"/>
  <c r="CF47" i="10"/>
  <c r="BH13" i="10"/>
  <c r="BH21" i="10"/>
  <c r="BH37" i="10"/>
  <c r="BH38" i="10"/>
  <c r="BH11" i="10"/>
  <c r="BH19" i="10"/>
  <c r="BH27" i="10"/>
  <c r="BH35" i="10"/>
  <c r="BH9" i="10"/>
  <c r="BH17" i="10"/>
  <c r="BH25" i="10"/>
  <c r="BH15" i="10"/>
  <c r="BH23" i="10"/>
  <c r="BH29" i="10"/>
  <c r="BH31" i="10"/>
  <c r="BH33" i="10"/>
  <c r="CF7" i="10"/>
  <c r="CF9" i="10"/>
  <c r="CF11" i="10"/>
  <c r="CF13" i="10"/>
  <c r="CF15" i="10"/>
  <c r="CF17" i="10"/>
  <c r="CF19" i="10"/>
  <c r="CF21" i="10"/>
  <c r="CF23" i="10"/>
  <c r="CF25" i="10"/>
  <c r="CF27" i="10"/>
  <c r="CF29" i="10"/>
  <c r="CF31" i="10"/>
  <c r="CF33" i="10"/>
  <c r="CF35" i="10"/>
  <c r="CF37" i="10"/>
  <c r="CF39" i="10"/>
  <c r="CF41" i="10"/>
  <c r="CF43" i="10"/>
  <c r="CF45" i="10"/>
  <c r="CF6" i="10"/>
  <c r="CF8" i="10"/>
  <c r="CF10" i="10"/>
  <c r="CF12" i="10"/>
  <c r="CF14" i="10"/>
  <c r="CF16" i="10"/>
  <c r="CF18" i="10"/>
  <c r="CF20" i="10"/>
  <c r="CF22" i="10"/>
  <c r="CF24" i="10"/>
  <c r="CF26" i="10"/>
  <c r="CF28" i="10"/>
  <c r="CF30" i="10"/>
  <c r="CF32" i="10"/>
  <c r="CF34" i="10"/>
  <c r="CF36" i="10"/>
  <c r="CF38" i="10"/>
  <c r="CF40" i="10"/>
  <c r="CF42" i="10"/>
  <c r="CF44" i="10"/>
  <c r="CF46" i="10"/>
  <c r="CF199" i="10"/>
  <c r="CF195" i="10"/>
  <c r="CF191" i="10"/>
  <c r="CF187" i="10"/>
  <c r="CF183" i="10"/>
  <c r="CF179" i="10"/>
  <c r="CF175" i="10"/>
  <c r="CF171" i="10"/>
  <c r="CF167" i="10"/>
  <c r="CF163" i="10"/>
  <c r="CF159" i="10"/>
  <c r="CF155" i="10"/>
  <c r="CF151" i="10"/>
  <c r="CF147" i="10"/>
  <c r="CF143" i="10"/>
  <c r="CF139" i="10"/>
  <c r="CF135" i="10"/>
  <c r="CF131" i="10"/>
  <c r="CF127" i="10"/>
  <c r="CF123" i="10"/>
  <c r="CF119" i="10"/>
  <c r="CF115" i="10"/>
  <c r="CF111" i="10"/>
  <c r="CF107" i="10"/>
  <c r="CF103" i="10"/>
  <c r="CF99" i="10"/>
  <c r="CF95" i="10"/>
  <c r="CF91" i="10"/>
  <c r="CF87" i="10"/>
  <c r="CF83" i="10"/>
  <c r="CF79" i="10"/>
  <c r="CF75" i="10"/>
  <c r="CF71" i="10"/>
  <c r="CF67" i="10"/>
  <c r="CF63" i="10"/>
  <c r="CF59" i="10"/>
  <c r="CF55" i="10"/>
  <c r="CF51" i="10"/>
  <c r="CF198" i="10"/>
  <c r="CF194" i="10"/>
  <c r="CF190" i="10"/>
  <c r="CF186" i="10"/>
  <c r="CF182" i="10"/>
  <c r="CF178" i="10"/>
  <c r="CF174" i="10"/>
  <c r="CF170" i="10"/>
  <c r="CF166" i="10"/>
  <c r="CF162" i="10"/>
  <c r="CF158" i="10"/>
  <c r="CF154" i="10"/>
  <c r="CF150" i="10"/>
  <c r="CF146" i="10"/>
  <c r="CF142" i="10"/>
  <c r="CF138" i="10"/>
  <c r="CF134" i="10"/>
  <c r="CF130" i="10"/>
  <c r="CF126" i="10"/>
  <c r="CF122" i="10"/>
  <c r="CF118" i="10"/>
  <c r="CF114" i="10"/>
  <c r="CF110" i="10"/>
  <c r="CF106" i="10"/>
  <c r="CF102" i="10"/>
  <c r="CF98" i="10"/>
  <c r="CF94" i="10"/>
  <c r="CF90" i="10"/>
  <c r="CF86" i="10"/>
  <c r="CF82" i="10"/>
  <c r="CF78" i="10"/>
  <c r="CF74" i="10"/>
  <c r="CF70" i="10"/>
  <c r="CF66" i="10"/>
  <c r="CF62" i="10"/>
  <c r="CF58" i="10"/>
  <c r="CF54" i="10"/>
  <c r="CF50" i="10"/>
  <c r="CF197" i="10"/>
  <c r="CF193" i="10"/>
  <c r="CF189" i="10"/>
  <c r="CF185" i="10"/>
  <c r="CF181" i="10"/>
  <c r="CF177" i="10"/>
  <c r="CF173" i="10"/>
  <c r="CF169" i="10"/>
  <c r="CF164" i="10"/>
  <c r="CF161" i="10"/>
  <c r="CF157" i="10"/>
  <c r="CF153" i="10"/>
  <c r="CF149" i="10"/>
  <c r="CF145" i="10"/>
  <c r="CF141" i="10"/>
  <c r="CF137" i="10"/>
  <c r="CF133" i="10"/>
  <c r="CF129" i="10"/>
  <c r="CF125" i="10"/>
  <c r="CF121" i="10"/>
  <c r="CF117" i="10"/>
  <c r="CF113" i="10"/>
  <c r="CF109" i="10"/>
  <c r="CF105" i="10"/>
  <c r="CF101" i="10"/>
  <c r="CF97" i="10"/>
  <c r="CF93" i="10"/>
  <c r="CF89" i="10"/>
  <c r="CF85" i="10"/>
  <c r="CF81" i="10"/>
  <c r="CF77" i="10"/>
  <c r="CF73" i="10"/>
  <c r="CF69" i="10"/>
  <c r="CF65" i="10"/>
  <c r="CF61" i="10"/>
  <c r="CF57" i="10"/>
  <c r="CF53" i="10"/>
  <c r="CF49" i="10"/>
  <c r="CF200" i="10"/>
  <c r="CF196" i="10"/>
  <c r="CF192" i="10"/>
  <c r="CF188" i="10"/>
  <c r="CF184" i="10"/>
  <c r="CF180" i="10"/>
  <c r="CF176" i="10"/>
  <c r="CF172" i="10"/>
  <c r="CF168" i="10"/>
  <c r="CF165" i="10"/>
  <c r="CF160" i="10"/>
  <c r="CF156" i="10"/>
  <c r="CF152" i="10"/>
  <c r="CF148" i="10"/>
  <c r="CF144" i="10"/>
  <c r="CF140" i="10"/>
  <c r="CF136" i="10"/>
  <c r="CF132" i="10"/>
  <c r="CF128" i="10"/>
  <c r="CF124" i="10"/>
  <c r="CF120" i="10"/>
  <c r="CF116" i="10"/>
  <c r="CF112" i="10"/>
  <c r="CF108" i="10"/>
  <c r="CF104" i="10"/>
  <c r="CF100" i="10"/>
  <c r="CF96" i="10"/>
  <c r="CF92" i="10"/>
  <c r="CF88" i="10"/>
  <c r="CF84" i="10"/>
  <c r="CF80" i="10"/>
  <c r="CF76" i="10"/>
  <c r="CF72" i="10"/>
  <c r="CF68" i="10"/>
  <c r="CF64" i="10"/>
  <c r="CF60" i="10"/>
  <c r="CF56" i="10"/>
  <c r="CF52" i="10"/>
  <c r="CF48" i="10"/>
  <c r="BH196" i="10"/>
  <c r="BH185" i="10"/>
  <c r="BH177" i="10"/>
  <c r="BH169" i="10"/>
  <c r="BH195" i="10"/>
  <c r="DD195" i="10" s="1"/>
  <c r="BH190" i="10"/>
  <c r="BH164" i="10"/>
  <c r="BH160" i="10"/>
  <c r="DD160" i="10" s="1"/>
  <c r="BH156" i="10"/>
  <c r="DD156" i="10" s="1"/>
  <c r="BH152" i="10"/>
  <c r="DD152" i="10" s="1"/>
  <c r="BH148" i="10"/>
  <c r="DD148" i="10" s="1"/>
  <c r="BH144" i="10"/>
  <c r="DD144" i="10" s="1"/>
  <c r="BH140" i="10"/>
  <c r="DD140" i="10" s="1"/>
  <c r="BH136" i="10"/>
  <c r="DD136" i="10" s="1"/>
  <c r="BH132" i="10"/>
  <c r="DD132" i="10" s="1"/>
  <c r="BH128" i="10"/>
  <c r="DD128" i="10" s="1"/>
  <c r="BH124" i="10"/>
  <c r="DD124" i="10" s="1"/>
  <c r="BH120" i="10"/>
  <c r="DD120" i="10" s="1"/>
  <c r="BH117" i="10"/>
  <c r="BH113" i="10"/>
  <c r="BH109" i="10"/>
  <c r="BH105" i="10"/>
  <c r="BH180" i="10"/>
  <c r="DD180" i="10" s="1"/>
  <c r="BH182" i="10"/>
  <c r="BH170" i="10"/>
  <c r="DD170" i="10" s="1"/>
  <c r="BH97" i="10"/>
  <c r="BH89" i="10"/>
  <c r="DD89" i="10" s="1"/>
  <c r="BH81" i="10"/>
  <c r="BH100" i="10"/>
  <c r="BH92" i="10"/>
  <c r="BH84" i="10"/>
  <c r="DD84" i="10" s="1"/>
  <c r="BH76" i="10"/>
  <c r="BH68" i="10"/>
  <c r="BH41" i="10"/>
  <c r="DD41" i="10" s="1"/>
  <c r="BH45" i="10"/>
  <c r="DD45" i="10" s="1"/>
  <c r="BH49" i="10"/>
  <c r="BH53" i="10"/>
  <c r="BH57" i="10"/>
  <c r="BH61" i="10"/>
  <c r="BH65" i="10"/>
  <c r="BH67" i="10"/>
  <c r="DD67" i="10" s="1"/>
  <c r="BH193" i="10"/>
  <c r="BH183" i="10"/>
  <c r="DD183" i="10" s="1"/>
  <c r="BH175" i="10"/>
  <c r="DD175" i="10" s="1"/>
  <c r="BH167" i="10"/>
  <c r="DD167" i="10" s="1"/>
  <c r="BH200" i="10"/>
  <c r="DD200" i="10" s="1"/>
  <c r="BH199" i="10"/>
  <c r="DD199" i="10" s="1"/>
  <c r="BH163" i="10"/>
  <c r="DD163" i="10" s="1"/>
  <c r="BH159" i="10"/>
  <c r="DD159" i="10" s="1"/>
  <c r="BH155" i="10"/>
  <c r="BH151" i="10"/>
  <c r="DD151" i="10" s="1"/>
  <c r="BH147" i="10"/>
  <c r="DD147" i="10" s="1"/>
  <c r="BH143" i="10"/>
  <c r="DD143" i="10" s="1"/>
  <c r="BH139" i="10"/>
  <c r="BH135" i="10"/>
  <c r="DD135" i="10" s="1"/>
  <c r="BH131" i="10"/>
  <c r="DD131" i="10" s="1"/>
  <c r="BH127" i="10"/>
  <c r="DD127" i="10" s="1"/>
  <c r="BH123" i="10"/>
  <c r="BH119" i="10"/>
  <c r="DD119" i="10" s="1"/>
  <c r="BH116" i="10"/>
  <c r="BH112" i="10"/>
  <c r="BH108" i="10"/>
  <c r="BH104" i="10"/>
  <c r="BH176" i="10"/>
  <c r="DD176" i="10" s="1"/>
  <c r="BH188" i="10"/>
  <c r="DD188" i="10" s="1"/>
  <c r="BH166" i="10"/>
  <c r="DD166" i="10" s="1"/>
  <c r="BH95" i="10"/>
  <c r="DD95" i="10" s="1"/>
  <c r="BH87" i="10"/>
  <c r="DD87" i="10" s="1"/>
  <c r="BH79" i="10"/>
  <c r="DD79" i="10" s="1"/>
  <c r="BH98" i="10"/>
  <c r="BH90" i="10"/>
  <c r="BH82" i="10"/>
  <c r="BH74" i="10"/>
  <c r="DD74" i="10" s="1"/>
  <c r="BH66" i="10"/>
  <c r="BH6" i="10"/>
  <c r="DD6" i="10" s="1"/>
  <c r="BH8" i="10"/>
  <c r="DD8" i="10" s="1"/>
  <c r="BH40" i="10"/>
  <c r="DD40" i="10" s="1"/>
  <c r="BH44" i="10"/>
  <c r="DD44" i="10" s="1"/>
  <c r="BH48" i="10"/>
  <c r="BH52" i="10"/>
  <c r="BH56" i="10"/>
  <c r="BH60" i="10"/>
  <c r="BH64" i="10"/>
  <c r="BH75" i="10"/>
  <c r="BH10" i="10"/>
  <c r="DD10" i="10" s="1"/>
  <c r="BH12" i="10"/>
  <c r="DD12" i="10" s="1"/>
  <c r="BH14" i="10"/>
  <c r="DD14" i="10" s="1"/>
  <c r="BH16" i="10"/>
  <c r="DD16" i="10" s="1"/>
  <c r="BH18" i="10"/>
  <c r="DD18" i="10" s="1"/>
  <c r="BH20" i="10"/>
  <c r="DD20" i="10" s="1"/>
  <c r="BH22" i="10"/>
  <c r="DD22" i="10" s="1"/>
  <c r="BH24" i="10"/>
  <c r="DD24" i="10" s="1"/>
  <c r="BH26" i="10"/>
  <c r="DD26" i="10" s="1"/>
  <c r="BH28" i="10"/>
  <c r="DD28" i="10" s="1"/>
  <c r="BH30" i="10"/>
  <c r="DD30" i="10" s="1"/>
  <c r="BH32" i="10"/>
  <c r="DD32" i="10" s="1"/>
  <c r="BH34" i="10"/>
  <c r="DD34" i="10" s="1"/>
  <c r="BH36" i="10"/>
  <c r="DD36" i="10" s="1"/>
  <c r="BH189" i="10"/>
  <c r="DD189" i="10" s="1"/>
  <c r="BH181" i="10"/>
  <c r="DD181" i="10" s="1"/>
  <c r="BH173" i="10"/>
  <c r="DD173" i="10" s="1"/>
  <c r="BH165" i="10"/>
  <c r="BH197" i="10"/>
  <c r="DD197" i="10" s="1"/>
  <c r="BH194" i="10"/>
  <c r="BH162" i="10"/>
  <c r="BH158" i="10"/>
  <c r="DD158" i="10" s="1"/>
  <c r="BH154" i="10"/>
  <c r="DD154" i="10" s="1"/>
  <c r="BH150" i="10"/>
  <c r="DD150" i="10" s="1"/>
  <c r="BH146" i="10"/>
  <c r="BH142" i="10"/>
  <c r="DD142" i="10" s="1"/>
  <c r="BH138" i="10"/>
  <c r="DD138" i="10" s="1"/>
  <c r="BH134" i="10"/>
  <c r="DD134" i="10" s="1"/>
  <c r="BH130" i="10"/>
  <c r="BH126" i="10"/>
  <c r="DD126" i="10" s="1"/>
  <c r="BH122" i="10"/>
  <c r="DD122" i="10" s="1"/>
  <c r="BH118" i="10"/>
  <c r="DD118" i="10" s="1"/>
  <c r="BH115" i="10"/>
  <c r="DD115" i="10" s="1"/>
  <c r="BH111" i="10"/>
  <c r="DD111" i="10" s="1"/>
  <c r="BH107" i="10"/>
  <c r="DD107" i="10" s="1"/>
  <c r="BH103" i="10"/>
  <c r="DD103" i="10" s="1"/>
  <c r="BH172" i="10"/>
  <c r="DD172" i="10" s="1"/>
  <c r="BH178" i="10"/>
  <c r="BH101" i="10"/>
  <c r="DD101" i="10" s="1"/>
  <c r="BH93" i="10"/>
  <c r="DD93" i="10" s="1"/>
  <c r="BH85" i="10"/>
  <c r="DD85" i="10" s="1"/>
  <c r="BH77" i="10"/>
  <c r="DD77" i="10" s="1"/>
  <c r="BH96" i="10"/>
  <c r="DD96" i="10" s="1"/>
  <c r="BH88" i="10"/>
  <c r="BH80" i="10"/>
  <c r="DD80" i="10" s="1"/>
  <c r="BH72" i="10"/>
  <c r="DD72" i="10" s="1"/>
  <c r="BH39" i="10"/>
  <c r="DD39" i="10" s="1"/>
  <c r="BH43" i="10"/>
  <c r="DD43" i="10" s="1"/>
  <c r="BH47" i="10"/>
  <c r="DD47" i="10" s="1"/>
  <c r="BH51" i="10"/>
  <c r="DD51" i="10" s="1"/>
  <c r="BH55" i="10"/>
  <c r="DD55" i="10" s="1"/>
  <c r="BH59" i="10"/>
  <c r="BH63" i="10"/>
  <c r="DD63" i="10" s="1"/>
  <c r="BH71" i="10"/>
  <c r="DD71" i="10" s="1"/>
  <c r="BH187" i="10"/>
  <c r="DD187" i="10" s="1"/>
  <c r="BH179" i="10"/>
  <c r="DD179" i="10" s="1"/>
  <c r="BH171" i="10"/>
  <c r="BH198" i="10"/>
  <c r="DD198" i="10" s="1"/>
  <c r="BH192" i="10"/>
  <c r="DD192" i="10" s="1"/>
  <c r="BH191" i="10"/>
  <c r="DD191" i="10" s="1"/>
  <c r="BH161" i="10"/>
  <c r="DD161" i="10" s="1"/>
  <c r="BH157" i="10"/>
  <c r="DD157" i="10" s="1"/>
  <c r="BH153" i="10"/>
  <c r="DD153" i="10" s="1"/>
  <c r="BH149" i="10"/>
  <c r="DD149" i="10" s="1"/>
  <c r="BH145" i="10"/>
  <c r="DD145" i="10" s="1"/>
  <c r="BH141" i="10"/>
  <c r="DD141" i="10" s="1"/>
  <c r="BH137" i="10"/>
  <c r="DD137" i="10" s="1"/>
  <c r="BH133" i="10"/>
  <c r="DD133" i="10" s="1"/>
  <c r="BH129" i="10"/>
  <c r="DD129" i="10" s="1"/>
  <c r="BH125" i="10"/>
  <c r="DD125" i="10" s="1"/>
  <c r="BH121" i="10"/>
  <c r="DD121" i="10" s="1"/>
  <c r="BH186" i="10"/>
  <c r="DD186" i="10" s="1"/>
  <c r="BH114" i="10"/>
  <c r="BH110" i="10"/>
  <c r="DD110" i="10" s="1"/>
  <c r="BH106" i="10"/>
  <c r="DD106" i="10" s="1"/>
  <c r="BH184" i="10"/>
  <c r="DD184" i="10" s="1"/>
  <c r="BH168" i="10"/>
  <c r="DD168" i="10" s="1"/>
  <c r="BH174" i="10"/>
  <c r="DD174" i="10" s="1"/>
  <c r="BH99" i="10"/>
  <c r="DD99" i="10" s="1"/>
  <c r="BH91" i="10"/>
  <c r="BH83" i="10"/>
  <c r="DD83" i="10" s="1"/>
  <c r="BH102" i="10"/>
  <c r="DD102" i="10" s="1"/>
  <c r="BH94" i="10"/>
  <c r="DD94" i="10" s="1"/>
  <c r="BH86" i="10"/>
  <c r="DD86" i="10" s="1"/>
  <c r="BH78" i="10"/>
  <c r="DD78" i="10" s="1"/>
  <c r="BH70" i="10"/>
  <c r="DD70" i="10" s="1"/>
  <c r="BH7" i="10"/>
  <c r="DD7" i="10" s="1"/>
  <c r="BH42" i="10"/>
  <c r="DD42" i="10" s="1"/>
  <c r="BH46" i="10"/>
  <c r="BH50" i="10"/>
  <c r="BH54" i="10"/>
  <c r="DD54" i="10" s="1"/>
  <c r="BH58" i="10"/>
  <c r="DD58" i="10" s="1"/>
  <c r="BH62" i="10"/>
  <c r="DD62" i="10" s="1"/>
  <c r="BH69" i="10"/>
  <c r="DD69" i="10" s="1"/>
  <c r="BH73" i="10"/>
  <c r="DD73" i="10" s="1"/>
  <c r="DC166" i="10"/>
  <c r="DC111" i="10"/>
  <c r="DC86" i="10"/>
  <c r="DC150" i="10"/>
  <c r="DC118" i="10"/>
  <c r="DC123" i="10"/>
  <c r="DC159" i="10"/>
  <c r="DC31" i="10"/>
  <c r="DC28" i="10"/>
  <c r="Z109" i="4"/>
  <c r="Z131" i="4"/>
  <c r="Z11" i="4"/>
  <c r="Z17" i="4"/>
  <c r="Z135" i="4"/>
  <c r="Z16" i="4"/>
  <c r="Z113" i="4"/>
  <c r="Z134" i="4"/>
  <c r="Z112" i="4"/>
  <c r="Z24" i="4"/>
  <c r="Z119" i="4"/>
  <c r="Z23" i="4"/>
  <c r="Z10" i="4"/>
  <c r="Z26" i="4" s="1"/>
  <c r="Z142" i="4"/>
  <c r="Z108" i="4"/>
  <c r="Z120" i="4"/>
  <c r="Z141" i="4"/>
  <c r="Z130" i="4"/>
  <c r="Z118" i="4"/>
  <c r="Z140" i="4"/>
  <c r="Z22" i="4"/>
  <c r="DC198" i="10"/>
  <c r="DC95" i="10"/>
  <c r="DC80" i="10"/>
  <c r="DC26" i="10"/>
  <c r="DC35" i="10"/>
  <c r="DC23" i="10"/>
  <c r="DC20" i="10"/>
  <c r="DC33" i="10"/>
  <c r="DC14" i="10"/>
  <c r="DC30" i="10"/>
  <c r="DC34" i="10"/>
  <c r="DC27" i="10"/>
  <c r="Y143" i="4"/>
  <c r="Y121" i="4"/>
  <c r="Y25" i="4"/>
  <c r="Y26" i="4"/>
  <c r="Y122" i="4"/>
  <c r="Y145" i="4"/>
  <c r="Y144" i="4"/>
  <c r="AB12" i="4"/>
  <c r="Y27" i="4"/>
  <c r="Y123" i="4"/>
  <c r="X114" i="4"/>
  <c r="X136" i="4"/>
  <c r="Y18" i="4"/>
  <c r="AK4" i="28"/>
  <c r="AL4" i="28"/>
  <c r="AC7" i="4"/>
  <c r="AC128" i="4"/>
  <c r="AC127" i="4" s="1"/>
  <c r="AC106" i="4"/>
  <c r="AC105" i="4" s="1"/>
  <c r="AB3" i="4"/>
  <c r="AB4" i="4"/>
  <c r="AK3" i="28"/>
  <c r="K21" i="11"/>
  <c r="L20" i="11"/>
  <c r="DD90" i="10" l="1"/>
  <c r="DD56" i="10"/>
  <c r="DD112" i="10"/>
  <c r="DD53" i="10"/>
  <c r="DD109" i="10"/>
  <c r="Z123" i="4"/>
  <c r="DD64" i="10"/>
  <c r="DD48" i="10"/>
  <c r="DD117" i="10"/>
  <c r="DD164" i="10"/>
  <c r="DD60" i="10"/>
  <c r="DD108" i="10"/>
  <c r="DD193" i="10"/>
  <c r="DD92" i="10"/>
  <c r="DD97" i="10"/>
  <c r="DD190" i="10"/>
  <c r="Z27" i="4"/>
  <c r="Z122" i="4"/>
  <c r="DD50" i="10"/>
  <c r="DD178" i="10"/>
  <c r="DD165" i="10"/>
  <c r="DD66" i="10"/>
  <c r="DD98" i="10"/>
  <c r="DD123" i="10"/>
  <c r="DD139" i="10"/>
  <c r="DD155" i="10"/>
  <c r="DD57" i="10"/>
  <c r="DD105" i="10"/>
  <c r="DD185" i="10"/>
  <c r="DD46" i="10"/>
  <c r="DD114" i="10"/>
  <c r="DD171" i="10"/>
  <c r="DD130" i="10"/>
  <c r="DD146" i="10"/>
  <c r="DD162" i="10"/>
  <c r="DD68" i="10"/>
  <c r="DD100" i="10"/>
  <c r="DD196" i="10"/>
  <c r="DD91" i="10"/>
  <c r="DD59" i="10"/>
  <c r="DD194" i="10"/>
  <c r="DD75" i="10"/>
  <c r="DD52" i="10"/>
  <c r="DD82" i="10"/>
  <c r="DD116" i="10"/>
  <c r="DD169" i="10"/>
  <c r="DD15" i="10"/>
  <c r="DD9" i="10"/>
  <c r="Z144" i="4"/>
  <c r="DD33" i="10"/>
  <c r="Z145" i="4"/>
  <c r="DD38" i="10"/>
  <c r="DD31" i="10"/>
  <c r="DD25" i="10"/>
  <c r="DD88" i="10"/>
  <c r="DD65" i="10"/>
  <c r="DD49" i="10"/>
  <c r="DD76" i="10"/>
  <c r="DD81" i="10"/>
  <c r="DD182" i="10"/>
  <c r="DD113" i="10"/>
  <c r="DD29" i="10"/>
  <c r="DD17" i="10"/>
  <c r="DD19" i="10"/>
  <c r="DD21" i="10"/>
  <c r="AK3" i="10"/>
  <c r="DE3" i="10"/>
  <c r="CG3" i="10"/>
  <c r="BI3" i="10"/>
  <c r="AL4" i="10"/>
  <c r="DF4" i="10"/>
  <c r="CH4" i="10"/>
  <c r="BJ4" i="10"/>
  <c r="DD104" i="10"/>
  <c r="DD61" i="10"/>
  <c r="DD177" i="10"/>
  <c r="DD23" i="10"/>
  <c r="DD11" i="10"/>
  <c r="DD13" i="10"/>
  <c r="DD35" i="10"/>
  <c r="AK18" i="10"/>
  <c r="AK16" i="10"/>
  <c r="AK197" i="10"/>
  <c r="AK189" i="10"/>
  <c r="AK11" i="10"/>
  <c r="AK12" i="10"/>
  <c r="AK157" i="10"/>
  <c r="AK180" i="10"/>
  <c r="AK156" i="10"/>
  <c r="AK17" i="10"/>
  <c r="AK198" i="10"/>
  <c r="AK163" i="10"/>
  <c r="AK155" i="10"/>
  <c r="AK147" i="10"/>
  <c r="AK139" i="10"/>
  <c r="AK194" i="10"/>
  <c r="AK187" i="10"/>
  <c r="AK183" i="10"/>
  <c r="AK179" i="10"/>
  <c r="AK175" i="10"/>
  <c r="AK171" i="10"/>
  <c r="AK167" i="10"/>
  <c r="AK162" i="10"/>
  <c r="AK154" i="10"/>
  <c r="AK130" i="10"/>
  <c r="AK126" i="10"/>
  <c r="AK122" i="10"/>
  <c r="AK118" i="10"/>
  <c r="AK114" i="10"/>
  <c r="AK110" i="10"/>
  <c r="AK106" i="10"/>
  <c r="AK102" i="10"/>
  <c r="AK98" i="10"/>
  <c r="AK94" i="10"/>
  <c r="AK90" i="10"/>
  <c r="AK86" i="10"/>
  <c r="AK82" i="10"/>
  <c r="AK78" i="10"/>
  <c r="AK146" i="10"/>
  <c r="AK138" i="10"/>
  <c r="AK140" i="10"/>
  <c r="AK45" i="10"/>
  <c r="AK41" i="10"/>
  <c r="AK37" i="10"/>
  <c r="AK33" i="10"/>
  <c r="AK29" i="10"/>
  <c r="AK25" i="10"/>
  <c r="AK21" i="10"/>
  <c r="AK72" i="10"/>
  <c r="AK64" i="10"/>
  <c r="AK56" i="10"/>
  <c r="AK48" i="10"/>
  <c r="AK67" i="10"/>
  <c r="AK59" i="10"/>
  <c r="AK51" i="10"/>
  <c r="AK193" i="10"/>
  <c r="AK143" i="10"/>
  <c r="AK190" i="10"/>
  <c r="AK181" i="10"/>
  <c r="AK173" i="10"/>
  <c r="AK165" i="10"/>
  <c r="AK132" i="10"/>
  <c r="AK124" i="10"/>
  <c r="AK116" i="10"/>
  <c r="AK108" i="10"/>
  <c r="AK100" i="10"/>
  <c r="AK92" i="10"/>
  <c r="AK80" i="10"/>
  <c r="AK144" i="10"/>
  <c r="AK47" i="10"/>
  <c r="AK39" i="10"/>
  <c r="AK35" i="10"/>
  <c r="AK27" i="10"/>
  <c r="AK19" i="10"/>
  <c r="AK60" i="10"/>
  <c r="AK71" i="10"/>
  <c r="AK55" i="10"/>
  <c r="AK191" i="10"/>
  <c r="AK141" i="10"/>
  <c r="AK188" i="10"/>
  <c r="AK176" i="10"/>
  <c r="AK168" i="10"/>
  <c r="AK131" i="10"/>
  <c r="AK123" i="10"/>
  <c r="AK7" i="10"/>
  <c r="AK13" i="10"/>
  <c r="AK14" i="10"/>
  <c r="AK15" i="10"/>
  <c r="AK195" i="10"/>
  <c r="AK161" i="10"/>
  <c r="AK153" i="10"/>
  <c r="AK145" i="10"/>
  <c r="AK137" i="10"/>
  <c r="AK192" i="10"/>
  <c r="AK186" i="10"/>
  <c r="AK182" i="10"/>
  <c r="AK178" i="10"/>
  <c r="AK174" i="10"/>
  <c r="AK170" i="10"/>
  <c r="AK166" i="10"/>
  <c r="AK160" i="10"/>
  <c r="AK133" i="10"/>
  <c r="AK129" i="10"/>
  <c r="AK125" i="10"/>
  <c r="AK121" i="10"/>
  <c r="AK117" i="10"/>
  <c r="AK113" i="10"/>
  <c r="AK109" i="10"/>
  <c r="AK105" i="10"/>
  <c r="AK101" i="10"/>
  <c r="AK97" i="10"/>
  <c r="AK93" i="10"/>
  <c r="AK89" i="10"/>
  <c r="AK85" i="10"/>
  <c r="AK81" i="10"/>
  <c r="AK77" i="10"/>
  <c r="AK152" i="10"/>
  <c r="AK134" i="10"/>
  <c r="AK136" i="10"/>
  <c r="AK44" i="10"/>
  <c r="AK40" i="10"/>
  <c r="AK36" i="10"/>
  <c r="AK32" i="10"/>
  <c r="AK28" i="10"/>
  <c r="AK24" i="10"/>
  <c r="AK20" i="10"/>
  <c r="AK70" i="10"/>
  <c r="AK62" i="10"/>
  <c r="AK54" i="10"/>
  <c r="AK73" i="10"/>
  <c r="AK65" i="10"/>
  <c r="AK57" i="10"/>
  <c r="AK49" i="10"/>
  <c r="AK9" i="10"/>
  <c r="AK200" i="10"/>
  <c r="AK159" i="10"/>
  <c r="AK151" i="10"/>
  <c r="AK135" i="10"/>
  <c r="AK185" i="10"/>
  <c r="AK177" i="10"/>
  <c r="AK169" i="10"/>
  <c r="AK158" i="10"/>
  <c r="AK128" i="10"/>
  <c r="AK120" i="10"/>
  <c r="AK112" i="10"/>
  <c r="AK104" i="10"/>
  <c r="AK96" i="10"/>
  <c r="AK88" i="10"/>
  <c r="AK84" i="10"/>
  <c r="AK76" i="10"/>
  <c r="AK150" i="10"/>
  <c r="AK43" i="10"/>
  <c r="AK31" i="10"/>
  <c r="AK23" i="10"/>
  <c r="AK68" i="10"/>
  <c r="AK52" i="10"/>
  <c r="AK63" i="10"/>
  <c r="AK199" i="10"/>
  <c r="AK149" i="10"/>
  <c r="AK196" i="10"/>
  <c r="AK184" i="10"/>
  <c r="AK172" i="10"/>
  <c r="AK164" i="10"/>
  <c r="AK127" i="10"/>
  <c r="AK115" i="10"/>
  <c r="AK99" i="10"/>
  <c r="AK83" i="10"/>
  <c r="AK148" i="10"/>
  <c r="AK34" i="10"/>
  <c r="AK74" i="10"/>
  <c r="AK69" i="10"/>
  <c r="AK8" i="10"/>
  <c r="AK95" i="10"/>
  <c r="AK79" i="10"/>
  <c r="AK46" i="10"/>
  <c r="AK30" i="10"/>
  <c r="AK66" i="10"/>
  <c r="AK61" i="10"/>
  <c r="AK10" i="10"/>
  <c r="AK107" i="10"/>
  <c r="AK91" i="10"/>
  <c r="AK75" i="10"/>
  <c r="AK42" i="10"/>
  <c r="AK26" i="10"/>
  <c r="AK58" i="10"/>
  <c r="AK53" i="10"/>
  <c r="AK119" i="10"/>
  <c r="AK103" i="10"/>
  <c r="AK87" i="10"/>
  <c r="AK142" i="10"/>
  <c r="AK38" i="10"/>
  <c r="AK22" i="10"/>
  <c r="AK50" i="10"/>
  <c r="AK6" i="10"/>
  <c r="AK111" i="10"/>
  <c r="DD27" i="10"/>
  <c r="DD37" i="10"/>
  <c r="CG47" i="10"/>
  <c r="BI38" i="10"/>
  <c r="CG6" i="10"/>
  <c r="CG52" i="10"/>
  <c r="CG8" i="10"/>
  <c r="CG10" i="10"/>
  <c r="CG12" i="10"/>
  <c r="CG14" i="10"/>
  <c r="CG16" i="10"/>
  <c r="CG18" i="10"/>
  <c r="CG20" i="10"/>
  <c r="CG22" i="10"/>
  <c r="CG24" i="10"/>
  <c r="CG26" i="10"/>
  <c r="CG28" i="10"/>
  <c r="CG30" i="10"/>
  <c r="CG32" i="10"/>
  <c r="CG34" i="10"/>
  <c r="CG36" i="10"/>
  <c r="CG38" i="10"/>
  <c r="CG40" i="10"/>
  <c r="CG42" i="10"/>
  <c r="CG44" i="10"/>
  <c r="CG46" i="10"/>
  <c r="CG7" i="10"/>
  <c r="CG9" i="10"/>
  <c r="CG11" i="10"/>
  <c r="CG13" i="10"/>
  <c r="CG15" i="10"/>
  <c r="CG17" i="10"/>
  <c r="CG19" i="10"/>
  <c r="CG21" i="10"/>
  <c r="CG23" i="10"/>
  <c r="CG25" i="10"/>
  <c r="CG27" i="10"/>
  <c r="CG29" i="10"/>
  <c r="CG31" i="10"/>
  <c r="CG33" i="10"/>
  <c r="CG35" i="10"/>
  <c r="CG37" i="10"/>
  <c r="CG39" i="10"/>
  <c r="CG41" i="10"/>
  <c r="CG43" i="10"/>
  <c r="CG45" i="10"/>
  <c r="CG198" i="10"/>
  <c r="CG193" i="10"/>
  <c r="CG189" i="10"/>
  <c r="CG185" i="10"/>
  <c r="CG181" i="10"/>
  <c r="CG177" i="10"/>
  <c r="CG173" i="10"/>
  <c r="CG169" i="10"/>
  <c r="CG165" i="10"/>
  <c r="CG162" i="10"/>
  <c r="CG158" i="10"/>
  <c r="CG154" i="10"/>
  <c r="CG150" i="10"/>
  <c r="CG146" i="10"/>
  <c r="CG142" i="10"/>
  <c r="CG138" i="10"/>
  <c r="CG134" i="10"/>
  <c r="CG130" i="10"/>
  <c r="CG126" i="10"/>
  <c r="CG122" i="10"/>
  <c r="CG118" i="10"/>
  <c r="CG114" i="10"/>
  <c r="CG110" i="10"/>
  <c r="CG106" i="10"/>
  <c r="CG102" i="10"/>
  <c r="CG98" i="10"/>
  <c r="CG94" i="10"/>
  <c r="CG90" i="10"/>
  <c r="CG86" i="10"/>
  <c r="CG82" i="10"/>
  <c r="CG78" i="10"/>
  <c r="CG74" i="10"/>
  <c r="CG70" i="10"/>
  <c r="CG66" i="10"/>
  <c r="CG62" i="10"/>
  <c r="CG58" i="10"/>
  <c r="CG54" i="10"/>
  <c r="CG196" i="10"/>
  <c r="CG192" i="10"/>
  <c r="CG188" i="10"/>
  <c r="CG184" i="10"/>
  <c r="CG180" i="10"/>
  <c r="CG176" i="10"/>
  <c r="CG172" i="10"/>
  <c r="CG168" i="10"/>
  <c r="CG164" i="10"/>
  <c r="CG161" i="10"/>
  <c r="CG157" i="10"/>
  <c r="CG153" i="10"/>
  <c r="CG149" i="10"/>
  <c r="CG145" i="10"/>
  <c r="CG141" i="10"/>
  <c r="CG137" i="10"/>
  <c r="CG133" i="10"/>
  <c r="CG129" i="10"/>
  <c r="CG125" i="10"/>
  <c r="CG121" i="10"/>
  <c r="CG117" i="10"/>
  <c r="CG113" i="10"/>
  <c r="CG109" i="10"/>
  <c r="CG105" i="10"/>
  <c r="CG101" i="10"/>
  <c r="CG97" i="10"/>
  <c r="CG93" i="10"/>
  <c r="CG89" i="10"/>
  <c r="CG85" i="10"/>
  <c r="CG81" i="10"/>
  <c r="CG77" i="10"/>
  <c r="CG73" i="10"/>
  <c r="CG69" i="10"/>
  <c r="CG65" i="10"/>
  <c r="CG61" i="10"/>
  <c r="CG57" i="10"/>
  <c r="CG200" i="10"/>
  <c r="CG195" i="10"/>
  <c r="CG191" i="10"/>
  <c r="CG187" i="10"/>
  <c r="CG183" i="10"/>
  <c r="CG179" i="10"/>
  <c r="CG175" i="10"/>
  <c r="CG171" i="10"/>
  <c r="CG167" i="10"/>
  <c r="CG163" i="10"/>
  <c r="CG160" i="10"/>
  <c r="CG156" i="10"/>
  <c r="CG152" i="10"/>
  <c r="CG148" i="10"/>
  <c r="CG144" i="10"/>
  <c r="CG140" i="10"/>
  <c r="CG136" i="10"/>
  <c r="CG132" i="10"/>
  <c r="CG128" i="10"/>
  <c r="CG124" i="10"/>
  <c r="CG120" i="10"/>
  <c r="CG116" i="10"/>
  <c r="CG112" i="10"/>
  <c r="CG108" i="10"/>
  <c r="CG104" i="10"/>
  <c r="CG100" i="10"/>
  <c r="CG96" i="10"/>
  <c r="CG92" i="10"/>
  <c r="CG88" i="10"/>
  <c r="CG84" i="10"/>
  <c r="CG80" i="10"/>
  <c r="CG76" i="10"/>
  <c r="CG72" i="10"/>
  <c r="CG68" i="10"/>
  <c r="CG64" i="10"/>
  <c r="CG60" i="10"/>
  <c r="CG56" i="10"/>
  <c r="CG199" i="10"/>
  <c r="CG194" i="10"/>
  <c r="CG190" i="10"/>
  <c r="CG186" i="10"/>
  <c r="CG182" i="10"/>
  <c r="CG178" i="10"/>
  <c r="CG174" i="10"/>
  <c r="CG170" i="10"/>
  <c r="CG166" i="10"/>
  <c r="CG197" i="10"/>
  <c r="CG159" i="10"/>
  <c r="CG155" i="10"/>
  <c r="CG151" i="10"/>
  <c r="CG147" i="10"/>
  <c r="CG143" i="10"/>
  <c r="CG139" i="10"/>
  <c r="CG135" i="10"/>
  <c r="CG131" i="10"/>
  <c r="CG127" i="10"/>
  <c r="CG123" i="10"/>
  <c r="CG119" i="10"/>
  <c r="CG115" i="10"/>
  <c r="CG111" i="10"/>
  <c r="CG107" i="10"/>
  <c r="CG103" i="10"/>
  <c r="CG99" i="10"/>
  <c r="CG95" i="10"/>
  <c r="CG91" i="10"/>
  <c r="CG87" i="10"/>
  <c r="CG83" i="10"/>
  <c r="CG79" i="10"/>
  <c r="CG75" i="10"/>
  <c r="CG71" i="10"/>
  <c r="CG67" i="10"/>
  <c r="CG63" i="10"/>
  <c r="CG59" i="10"/>
  <c r="CG55" i="10"/>
  <c r="CG51" i="10"/>
  <c r="CG53" i="10"/>
  <c r="CG50" i="10"/>
  <c r="CG49" i="10"/>
  <c r="BI8" i="10"/>
  <c r="CG48" i="10"/>
  <c r="BI6" i="10"/>
  <c r="DE6" i="10" s="1"/>
  <c r="BI10" i="10"/>
  <c r="DE10" i="10" s="1"/>
  <c r="BI18" i="10"/>
  <c r="BI24" i="10"/>
  <c r="DE24" i="10" s="1"/>
  <c r="BI32" i="10"/>
  <c r="DE32" i="10" s="1"/>
  <c r="BI199" i="10"/>
  <c r="DE199" i="10" s="1"/>
  <c r="BI191" i="10"/>
  <c r="DE191" i="10" s="1"/>
  <c r="BI187" i="10"/>
  <c r="DE187" i="10" s="1"/>
  <c r="BI183" i="10"/>
  <c r="DE183" i="10" s="1"/>
  <c r="BI179" i="10"/>
  <c r="DE179" i="10" s="1"/>
  <c r="BI175" i="10"/>
  <c r="DE175" i="10" s="1"/>
  <c r="BI171" i="10"/>
  <c r="DE171" i="10" s="1"/>
  <c r="BI167" i="10"/>
  <c r="DE167" i="10" s="1"/>
  <c r="BI200" i="10"/>
  <c r="BI164" i="10"/>
  <c r="BI160" i="10"/>
  <c r="BI156" i="10"/>
  <c r="BI152" i="10"/>
  <c r="BI148" i="10"/>
  <c r="BI140" i="10"/>
  <c r="DE140" i="10" s="1"/>
  <c r="BI132" i="10"/>
  <c r="BI141" i="10"/>
  <c r="BI133" i="10"/>
  <c r="BI125" i="10"/>
  <c r="BI117" i="10"/>
  <c r="DE117" i="10" s="1"/>
  <c r="BI113" i="10"/>
  <c r="DE113" i="10" s="1"/>
  <c r="BI12" i="10"/>
  <c r="DE12" i="10" s="1"/>
  <c r="BI20" i="10"/>
  <c r="DE20" i="10" s="1"/>
  <c r="BI26" i="10"/>
  <c r="DE26" i="10" s="1"/>
  <c r="BI34" i="10"/>
  <c r="DE34" i="10" s="1"/>
  <c r="BI197" i="10"/>
  <c r="DE197" i="10" s="1"/>
  <c r="BI190" i="10"/>
  <c r="DE190" i="10" s="1"/>
  <c r="BI186" i="10"/>
  <c r="DE186" i="10" s="1"/>
  <c r="BI182" i="10"/>
  <c r="DE182" i="10" s="1"/>
  <c r="BI178" i="10"/>
  <c r="DE178" i="10" s="1"/>
  <c r="BI174" i="10"/>
  <c r="DE174" i="10" s="1"/>
  <c r="BI14" i="10"/>
  <c r="BI28" i="10"/>
  <c r="DE28" i="10" s="1"/>
  <c r="BI36" i="10"/>
  <c r="DE36" i="10" s="1"/>
  <c r="BI195" i="10"/>
  <c r="BI189" i="10"/>
  <c r="DE189" i="10" s="1"/>
  <c r="BI185" i="10"/>
  <c r="BI181" i="10"/>
  <c r="DE181" i="10" s="1"/>
  <c r="BI16" i="10"/>
  <c r="DE16" i="10" s="1"/>
  <c r="BI22" i="10"/>
  <c r="BI30" i="10"/>
  <c r="BI193" i="10"/>
  <c r="DE193" i="10" s="1"/>
  <c r="BI188" i="10"/>
  <c r="BI184" i="10"/>
  <c r="DE184" i="10" s="1"/>
  <c r="BI180" i="10"/>
  <c r="DE180" i="10" s="1"/>
  <c r="BI176" i="10"/>
  <c r="BI172" i="10"/>
  <c r="BI168" i="10"/>
  <c r="DE168" i="10" s="1"/>
  <c r="BI198" i="10"/>
  <c r="DE198" i="10" s="1"/>
  <c r="BI196" i="10"/>
  <c r="BI161" i="10"/>
  <c r="DE161" i="10" s="1"/>
  <c r="BI157" i="10"/>
  <c r="BI153" i="10"/>
  <c r="DE153" i="10" s="1"/>
  <c r="BI149" i="10"/>
  <c r="BI142" i="10"/>
  <c r="DE142" i="10" s="1"/>
  <c r="BI134" i="10"/>
  <c r="DE134" i="10" s="1"/>
  <c r="BI143" i="10"/>
  <c r="BI135" i="10"/>
  <c r="BI127" i="10"/>
  <c r="DE127" i="10" s="1"/>
  <c r="BI119" i="10"/>
  <c r="BI114" i="10"/>
  <c r="DE114" i="10" s="1"/>
  <c r="BI110" i="10"/>
  <c r="DE110" i="10" s="1"/>
  <c r="BI106" i="10"/>
  <c r="BI102" i="10"/>
  <c r="DE102" i="10" s="1"/>
  <c r="BI98" i="10"/>
  <c r="DE98" i="10" s="1"/>
  <c r="BI94" i="10"/>
  <c r="DE94" i="10" s="1"/>
  <c r="BI90" i="10"/>
  <c r="BI86" i="10"/>
  <c r="DE86" i="10" s="1"/>
  <c r="BI82" i="10"/>
  <c r="DE82" i="10" s="1"/>
  <c r="BI78" i="10"/>
  <c r="DE78" i="10" s="1"/>
  <c r="BI74" i="10"/>
  <c r="BI70" i="10"/>
  <c r="DE70" i="10" s="1"/>
  <c r="BI66" i="10"/>
  <c r="DE66" i="10" s="1"/>
  <c r="BI62" i="10"/>
  <c r="DE62" i="10" s="1"/>
  <c r="BI58" i="10"/>
  <c r="BI54" i="10"/>
  <c r="DE54" i="10" s="1"/>
  <c r="BI50" i="10"/>
  <c r="DE50" i="10" s="1"/>
  <c r="BI46" i="10"/>
  <c r="DE46" i="10" s="1"/>
  <c r="BI42" i="10"/>
  <c r="DE42" i="10" s="1"/>
  <c r="BI128" i="10"/>
  <c r="BI126" i="10"/>
  <c r="DE126" i="10" s="1"/>
  <c r="BI7" i="10"/>
  <c r="DE7" i="10" s="1"/>
  <c r="BI177" i="10"/>
  <c r="DE177" i="10" s="1"/>
  <c r="BI166" i="10"/>
  <c r="DE166" i="10" s="1"/>
  <c r="BI163" i="10"/>
  <c r="DE163" i="10" s="1"/>
  <c r="BI155" i="10"/>
  <c r="BI146" i="10"/>
  <c r="DE146" i="10" s="1"/>
  <c r="BI147" i="10"/>
  <c r="BI131" i="10"/>
  <c r="BI116" i="10"/>
  <c r="DE116" i="10" s="1"/>
  <c r="BI109" i="10"/>
  <c r="BI104" i="10"/>
  <c r="DE104" i="10" s="1"/>
  <c r="BI99" i="10"/>
  <c r="BI93" i="10"/>
  <c r="DE93" i="10" s="1"/>
  <c r="BI88" i="10"/>
  <c r="DE88" i="10" s="1"/>
  <c r="BI83" i="10"/>
  <c r="BI77" i="10"/>
  <c r="BI72" i="10"/>
  <c r="BI67" i="10"/>
  <c r="BI61" i="10"/>
  <c r="BI56" i="10"/>
  <c r="DE56" i="10" s="1"/>
  <c r="BI51" i="10"/>
  <c r="DE51" i="10" s="1"/>
  <c r="BI45" i="10"/>
  <c r="BI40" i="10"/>
  <c r="DE40" i="10" s="1"/>
  <c r="BI130" i="10"/>
  <c r="DE130" i="10" s="1"/>
  <c r="BI173" i="10"/>
  <c r="DE173" i="10" s="1"/>
  <c r="BI165" i="10"/>
  <c r="DE165" i="10" s="1"/>
  <c r="BI162" i="10"/>
  <c r="DE162" i="10" s="1"/>
  <c r="BI154" i="10"/>
  <c r="BI144" i="10"/>
  <c r="DE144" i="10" s="1"/>
  <c r="BI145" i="10"/>
  <c r="DE145" i="10" s="1"/>
  <c r="BI129" i="10"/>
  <c r="DE129" i="10" s="1"/>
  <c r="BI115" i="10"/>
  <c r="BI108" i="10"/>
  <c r="DE108" i="10" s="1"/>
  <c r="BI103" i="10"/>
  <c r="DE103" i="10" s="1"/>
  <c r="BI97" i="10"/>
  <c r="DE97" i="10" s="1"/>
  <c r="BI92" i="10"/>
  <c r="DE92" i="10" s="1"/>
  <c r="BI87" i="10"/>
  <c r="BI81" i="10"/>
  <c r="DE81" i="10" s="1"/>
  <c r="BI76" i="10"/>
  <c r="DE76" i="10" s="1"/>
  <c r="BI71" i="10"/>
  <c r="DE71" i="10" s="1"/>
  <c r="BI65" i="10"/>
  <c r="DE65" i="10" s="1"/>
  <c r="AC13" i="4" s="1"/>
  <c r="BI60" i="10"/>
  <c r="DE60" i="10" s="1"/>
  <c r="BI55" i="10"/>
  <c r="DE55" i="10" s="1"/>
  <c r="BI49" i="10"/>
  <c r="DE49" i="10" s="1"/>
  <c r="BI44" i="10"/>
  <c r="DE44" i="10" s="1"/>
  <c r="BI39" i="10"/>
  <c r="DE39" i="10" s="1"/>
  <c r="BI122" i="10"/>
  <c r="BI170" i="10"/>
  <c r="DE170" i="10" s="1"/>
  <c r="BI192" i="10"/>
  <c r="DE192" i="10" s="1"/>
  <c r="BI159" i="10"/>
  <c r="DE159" i="10" s="1"/>
  <c r="BI151" i="10"/>
  <c r="DE151" i="10" s="1"/>
  <c r="BI138" i="10"/>
  <c r="BI139" i="10"/>
  <c r="DE139" i="10" s="1"/>
  <c r="BI123" i="10"/>
  <c r="DE123" i="10" s="1"/>
  <c r="BI112" i="10"/>
  <c r="BI107" i="10"/>
  <c r="DE107" i="10" s="1"/>
  <c r="BI101" i="10"/>
  <c r="DE101" i="10" s="1"/>
  <c r="BI96" i="10"/>
  <c r="BI91" i="10"/>
  <c r="DE91" i="10" s="1"/>
  <c r="BI85" i="10"/>
  <c r="DE85" i="10" s="1"/>
  <c r="BI80" i="10"/>
  <c r="DE80" i="10" s="1"/>
  <c r="BI75" i="10"/>
  <c r="DE75" i="10" s="1"/>
  <c r="BI69" i="10"/>
  <c r="DE69" i="10" s="1"/>
  <c r="BI64" i="10"/>
  <c r="BI59" i="10"/>
  <c r="DE59" i="10" s="1"/>
  <c r="BI53" i="10"/>
  <c r="DE53" i="10" s="1"/>
  <c r="BI48" i="10"/>
  <c r="DE48" i="10" s="1"/>
  <c r="BI43" i="10"/>
  <c r="DE43" i="10" s="1"/>
  <c r="BI124" i="10"/>
  <c r="DE124" i="10" s="1"/>
  <c r="BI118" i="10"/>
  <c r="DE118" i="10" s="1"/>
  <c r="BI169" i="10"/>
  <c r="BI194" i="10"/>
  <c r="BI158" i="10"/>
  <c r="DE158" i="10" s="1"/>
  <c r="BI150" i="10"/>
  <c r="DE150" i="10" s="1"/>
  <c r="BI136" i="10"/>
  <c r="DE136" i="10" s="1"/>
  <c r="BI137" i="10"/>
  <c r="DE137" i="10" s="1"/>
  <c r="BI121" i="10"/>
  <c r="DE121" i="10" s="1"/>
  <c r="BI111" i="10"/>
  <c r="DE111" i="10" s="1"/>
  <c r="BI105" i="10"/>
  <c r="DE105" i="10" s="1"/>
  <c r="BI100" i="10"/>
  <c r="DE100" i="10" s="1"/>
  <c r="BI95" i="10"/>
  <c r="BI89" i="10"/>
  <c r="DE89" i="10" s="1"/>
  <c r="BI84" i="10"/>
  <c r="DE84" i="10" s="1"/>
  <c r="BI79" i="10"/>
  <c r="DE79" i="10" s="1"/>
  <c r="BI73" i="10"/>
  <c r="DE73" i="10" s="1"/>
  <c r="BI68" i="10"/>
  <c r="DE68" i="10" s="1"/>
  <c r="BI63" i="10"/>
  <c r="DE63" i="10" s="1"/>
  <c r="BI57" i="10"/>
  <c r="DE57" i="10" s="1"/>
  <c r="BI52" i="10"/>
  <c r="DE52" i="10" s="1"/>
  <c r="BI47" i="10"/>
  <c r="DE47" i="10" s="1"/>
  <c r="BI41" i="10"/>
  <c r="DE41" i="10" s="1"/>
  <c r="BI120" i="10"/>
  <c r="DE120" i="10" s="1"/>
  <c r="BI9" i="10"/>
  <c r="DE9" i="10" s="1"/>
  <c r="BI15" i="10"/>
  <c r="DE15" i="10" s="1"/>
  <c r="BI27" i="10"/>
  <c r="DE27" i="10" s="1"/>
  <c r="BI17" i="10"/>
  <c r="DE17" i="10" s="1"/>
  <c r="BI19" i="10"/>
  <c r="DE19" i="10" s="1"/>
  <c r="BI21" i="10"/>
  <c r="BI23" i="10"/>
  <c r="DE23" i="10" s="1"/>
  <c r="BI25" i="10"/>
  <c r="DE25" i="10" s="1"/>
  <c r="BI29" i="10"/>
  <c r="DE29" i="10" s="1"/>
  <c r="BI31" i="10"/>
  <c r="DE31" i="10" s="1"/>
  <c r="BI33" i="10"/>
  <c r="DE33" i="10" s="1"/>
  <c r="BI35" i="10"/>
  <c r="DE35" i="10" s="1"/>
  <c r="BI37" i="10"/>
  <c r="DE37" i="10" s="1"/>
  <c r="BI11" i="10"/>
  <c r="DE11" i="10" s="1"/>
  <c r="BI13" i="10"/>
  <c r="AA120" i="4"/>
  <c r="AA119" i="4"/>
  <c r="AA108" i="4"/>
  <c r="AA24" i="4"/>
  <c r="AA23" i="4"/>
  <c r="AA130" i="4"/>
  <c r="AA142" i="4"/>
  <c r="AA141" i="4"/>
  <c r="AA10" i="4"/>
  <c r="AA140" i="4"/>
  <c r="AA22" i="4"/>
  <c r="AA118" i="4"/>
  <c r="AA131" i="4"/>
  <c r="AA109" i="4"/>
  <c r="AA11" i="4"/>
  <c r="AA134" i="4"/>
  <c r="AA135" i="4"/>
  <c r="AA112" i="4"/>
  <c r="AA16" i="4"/>
  <c r="AA113" i="4"/>
  <c r="AA17" i="4"/>
  <c r="Z143" i="4"/>
  <c r="Y114" i="4"/>
  <c r="Y136" i="4"/>
  <c r="AM4" i="28"/>
  <c r="AN4" i="28"/>
  <c r="AC5" i="4"/>
  <c r="AC12" i="4"/>
  <c r="Z18" i="4"/>
  <c r="Z121" i="4"/>
  <c r="AD7" i="4"/>
  <c r="AD128" i="4"/>
  <c r="AD127" i="4" s="1"/>
  <c r="AD106" i="4"/>
  <c r="AD105" i="4" s="1"/>
  <c r="AC3" i="4"/>
  <c r="AC4" i="4"/>
  <c r="K22" i="11"/>
  <c r="L21" i="11"/>
  <c r="DE156" i="10" l="1"/>
  <c r="DE152" i="10"/>
  <c r="DE200" i="10"/>
  <c r="DE87" i="10"/>
  <c r="DE72" i="10"/>
  <c r="DE155" i="10"/>
  <c r="DE149" i="10"/>
  <c r="DE196" i="10"/>
  <c r="DE176" i="10"/>
  <c r="DE18" i="10"/>
  <c r="DE8" i="10"/>
  <c r="DE133" i="10"/>
  <c r="DE164" i="10"/>
  <c r="DE95" i="10"/>
  <c r="DE143" i="10"/>
  <c r="DE194" i="10"/>
  <c r="DE64" i="10"/>
  <c r="DE138" i="10"/>
  <c r="DE115" i="10"/>
  <c r="DE154" i="10"/>
  <c r="DE77" i="10"/>
  <c r="DE99" i="10"/>
  <c r="DE131" i="10"/>
  <c r="DE30" i="10"/>
  <c r="DE185" i="10"/>
  <c r="DE141" i="10"/>
  <c r="DE13" i="10"/>
  <c r="DE169" i="10"/>
  <c r="DE112" i="10"/>
  <c r="DE122" i="10"/>
  <c r="DE61" i="10"/>
  <c r="DE83" i="10"/>
  <c r="DE147" i="10"/>
  <c r="DE128" i="10"/>
  <c r="DE157" i="10"/>
  <c r="DE22" i="10"/>
  <c r="DE14" i="10"/>
  <c r="DE21" i="10"/>
  <c r="DE96" i="10"/>
  <c r="DE45" i="10"/>
  <c r="DE67" i="10"/>
  <c r="DE109" i="10"/>
  <c r="DE58" i="10"/>
  <c r="DE74" i="10"/>
  <c r="DE90" i="10"/>
  <c r="DE106" i="10"/>
  <c r="DE172" i="10"/>
  <c r="DE188" i="10"/>
  <c r="DE125" i="10"/>
  <c r="DE119" i="10"/>
  <c r="DE132" i="10"/>
  <c r="DE195" i="10"/>
  <c r="DE160" i="10"/>
  <c r="DE38" i="10"/>
  <c r="DG4" i="10"/>
  <c r="CI4" i="10"/>
  <c r="BK4" i="10"/>
  <c r="AD13" i="4"/>
  <c r="AM4" i="10"/>
  <c r="AB109" i="4"/>
  <c r="AB131" i="4"/>
  <c r="AB11" i="4"/>
  <c r="AB17" i="4"/>
  <c r="AB113" i="4"/>
  <c r="AB16" i="4"/>
  <c r="AB135" i="4"/>
  <c r="AB112" i="4"/>
  <c r="AB134" i="4"/>
  <c r="AL199" i="10"/>
  <c r="AL195" i="10"/>
  <c r="AL191" i="10"/>
  <c r="AL187" i="10"/>
  <c r="AL183" i="10"/>
  <c r="AL179" i="10"/>
  <c r="AL175" i="10"/>
  <c r="AL171" i="10"/>
  <c r="AL167" i="10"/>
  <c r="AL162" i="10"/>
  <c r="AL154" i="10"/>
  <c r="AL146" i="10"/>
  <c r="AL159" i="10"/>
  <c r="AL151" i="10"/>
  <c r="AL143" i="10"/>
  <c r="AL135" i="10"/>
  <c r="AL112" i="10"/>
  <c r="AL104" i="10"/>
  <c r="AL96" i="10"/>
  <c r="AL88" i="10"/>
  <c r="AL113" i="10"/>
  <c r="AL105" i="10"/>
  <c r="AL97" i="10"/>
  <c r="AL130" i="10"/>
  <c r="AL126" i="10"/>
  <c r="AL122" i="10"/>
  <c r="AL118" i="10"/>
  <c r="AL114" i="10"/>
  <c r="AL77" i="10"/>
  <c r="AL68" i="10"/>
  <c r="AL60" i="10"/>
  <c r="AL52" i="10"/>
  <c r="AL79" i="10"/>
  <c r="AL85" i="10"/>
  <c r="AL71" i="10"/>
  <c r="AL63" i="10"/>
  <c r="AL55" i="10"/>
  <c r="AL93" i="10"/>
  <c r="AL47" i="10"/>
  <c r="AL43" i="10"/>
  <c r="AL39" i="10"/>
  <c r="AL35" i="10"/>
  <c r="AL31" i="10"/>
  <c r="AL27" i="10"/>
  <c r="AL23" i="10"/>
  <c r="AL19" i="10"/>
  <c r="AL6" i="10"/>
  <c r="AL13" i="10"/>
  <c r="AL17" i="10"/>
  <c r="AL196" i="10"/>
  <c r="AL190" i="10"/>
  <c r="AL185" i="10"/>
  <c r="AL180" i="10"/>
  <c r="AL174" i="10"/>
  <c r="AL169" i="10"/>
  <c r="AL164" i="10"/>
  <c r="AL152" i="10"/>
  <c r="AL163" i="10"/>
  <c r="AL153" i="10"/>
  <c r="AL141" i="10"/>
  <c r="AL138" i="10"/>
  <c r="AL106" i="10"/>
  <c r="AL94" i="10"/>
  <c r="AL140" i="10"/>
  <c r="AL107" i="10"/>
  <c r="AL133" i="10"/>
  <c r="AL128" i="10"/>
  <c r="AL123" i="10"/>
  <c r="AL117" i="10"/>
  <c r="AL87" i="10"/>
  <c r="AL70" i="10"/>
  <c r="AL58" i="10"/>
  <c r="AL48" i="10"/>
  <c r="AL89" i="10"/>
  <c r="AL69" i="10"/>
  <c r="AL59" i="10"/>
  <c r="AL49" i="10"/>
  <c r="AL46" i="10"/>
  <c r="AL41" i="10"/>
  <c r="AL36" i="10"/>
  <c r="AL30" i="10"/>
  <c r="AL25" i="10"/>
  <c r="AL20" i="10"/>
  <c r="AL11" i="10"/>
  <c r="AL200" i="10"/>
  <c r="AL194" i="10"/>
  <c r="AL189" i="10"/>
  <c r="AL184" i="10"/>
  <c r="AL178" i="10"/>
  <c r="AL173" i="10"/>
  <c r="AL168" i="10"/>
  <c r="AL160" i="10"/>
  <c r="AL150" i="10"/>
  <c r="AL161" i="10"/>
  <c r="AL149" i="10"/>
  <c r="AL139" i="10"/>
  <c r="AL134" i="10"/>
  <c r="AL102" i="10"/>
  <c r="AL92" i="10"/>
  <c r="AL136" i="10"/>
  <c r="AL103" i="10"/>
  <c r="AL132" i="10"/>
  <c r="AL127" i="10"/>
  <c r="AL121" i="10"/>
  <c r="AL116" i="10"/>
  <c r="AL82" i="10"/>
  <c r="AL66" i="10"/>
  <c r="AL56" i="10"/>
  <c r="AL84" i="10"/>
  <c r="AL81" i="10"/>
  <c r="AL67" i="10"/>
  <c r="AL57" i="10"/>
  <c r="AL83" i="10"/>
  <c r="AL45" i="10"/>
  <c r="AL40" i="10"/>
  <c r="AL34" i="10"/>
  <c r="AL29" i="10"/>
  <c r="AL24" i="10"/>
  <c r="AL8" i="10"/>
  <c r="AL16" i="10"/>
  <c r="AL198" i="10"/>
  <c r="AL193" i="10"/>
  <c r="AL188" i="10"/>
  <c r="AL182" i="10"/>
  <c r="AL177" i="10"/>
  <c r="AL172" i="10"/>
  <c r="AL166" i="10"/>
  <c r="AL158" i="10"/>
  <c r="AL148" i="10"/>
  <c r="AL157" i="10"/>
  <c r="AL147" i="10"/>
  <c r="AL137" i="10"/>
  <c r="AL110" i="10"/>
  <c r="AL100" i="10"/>
  <c r="AL90" i="10"/>
  <c r="AL111" i="10"/>
  <c r="AL101" i="10"/>
  <c r="AL131" i="10"/>
  <c r="AL125" i="10"/>
  <c r="AL120" i="10"/>
  <c r="AL115" i="10"/>
  <c r="AL74" i="10"/>
  <c r="AL64" i="10"/>
  <c r="AL54" i="10"/>
  <c r="AL76" i="10"/>
  <c r="AL78" i="10"/>
  <c r="AL65" i="10"/>
  <c r="AL53" i="10"/>
  <c r="AL80" i="10"/>
  <c r="AL44" i="10"/>
  <c r="AL38" i="10"/>
  <c r="AL33" i="10"/>
  <c r="AL28" i="10"/>
  <c r="AL22" i="10"/>
  <c r="AL7" i="10"/>
  <c r="AL186" i="10"/>
  <c r="AL165" i="10"/>
  <c r="AL145" i="10"/>
  <c r="AL86" i="10"/>
  <c r="AL124" i="10"/>
  <c r="AL62" i="10"/>
  <c r="AL61" i="10"/>
  <c r="AL37" i="10"/>
  <c r="AL181" i="10"/>
  <c r="AL156" i="10"/>
  <c r="AL142" i="10"/>
  <c r="AL109" i="10"/>
  <c r="AL119" i="10"/>
  <c r="AL50" i="10"/>
  <c r="AL51" i="10"/>
  <c r="AL32" i="10"/>
  <c r="AL12" i="10"/>
  <c r="AL18" i="10"/>
  <c r="AL197" i="10"/>
  <c r="AL176" i="10"/>
  <c r="AL144" i="10"/>
  <c r="AL108" i="10"/>
  <c r="AL99" i="10"/>
  <c r="AL91" i="10"/>
  <c r="AL95" i="10"/>
  <c r="AL75" i="10"/>
  <c r="AL26" i="10"/>
  <c r="AL9" i="10"/>
  <c r="AL15" i="10"/>
  <c r="AL14" i="10"/>
  <c r="AL192" i="10"/>
  <c r="AL170" i="10"/>
  <c r="AL155" i="10"/>
  <c r="AL98" i="10"/>
  <c r="AL129" i="10"/>
  <c r="AL72" i="10"/>
  <c r="AL73" i="10"/>
  <c r="AL42" i="10"/>
  <c r="AL21" i="10"/>
  <c r="AL10" i="10"/>
  <c r="DF3" i="10"/>
  <c r="CH3" i="10"/>
  <c r="BJ3" i="10"/>
  <c r="AL3" i="10"/>
  <c r="DE135" i="10"/>
  <c r="DE148" i="10"/>
  <c r="AB142" i="4"/>
  <c r="AB141" i="4"/>
  <c r="AB10" i="4"/>
  <c r="AB120" i="4"/>
  <c r="AB119" i="4"/>
  <c r="AB108" i="4"/>
  <c r="AB24" i="4"/>
  <c r="AB23" i="4"/>
  <c r="AB130" i="4"/>
  <c r="AB118" i="4"/>
  <c r="AB140" i="4"/>
  <c r="AB22" i="4"/>
  <c r="CH50" i="10"/>
  <c r="CH49" i="10"/>
  <c r="CH48" i="10"/>
  <c r="CH200" i="10"/>
  <c r="CH192" i="10"/>
  <c r="CH188" i="10"/>
  <c r="CH184" i="10"/>
  <c r="CH180" i="10"/>
  <c r="CH176" i="10"/>
  <c r="CH172" i="10"/>
  <c r="CH168" i="10"/>
  <c r="CH164" i="10"/>
  <c r="CH160" i="10"/>
  <c r="CH196" i="10"/>
  <c r="CH156" i="10"/>
  <c r="CH152" i="10"/>
  <c r="CH148" i="10"/>
  <c r="CH144" i="10"/>
  <c r="CH140" i="10"/>
  <c r="CH136" i="10"/>
  <c r="CH132" i="10"/>
  <c r="CH128" i="10"/>
  <c r="CH124" i="10"/>
  <c r="CH120" i="10"/>
  <c r="CH116" i="10"/>
  <c r="CH112" i="10"/>
  <c r="CH108" i="10"/>
  <c r="CH103" i="10"/>
  <c r="CH99" i="10"/>
  <c r="CH95" i="10"/>
  <c r="CH91" i="10"/>
  <c r="CH87" i="10"/>
  <c r="CH83" i="10"/>
  <c r="CH79" i="10"/>
  <c r="CH75" i="10"/>
  <c r="CH71" i="10"/>
  <c r="CH67" i="10"/>
  <c r="CH63" i="10"/>
  <c r="CH59" i="10"/>
  <c r="CH55" i="10"/>
  <c r="CH51" i="10"/>
  <c r="CH199" i="10"/>
  <c r="CH191" i="10"/>
  <c r="CH187" i="10"/>
  <c r="CH183" i="10"/>
  <c r="CH179" i="10"/>
  <c r="CH175" i="10"/>
  <c r="CH171" i="10"/>
  <c r="CH167" i="10"/>
  <c r="CH163" i="10"/>
  <c r="CH159" i="10"/>
  <c r="CH195" i="10"/>
  <c r="CH155" i="10"/>
  <c r="CH151" i="10"/>
  <c r="CH147" i="10"/>
  <c r="CH143" i="10"/>
  <c r="CH139" i="10"/>
  <c r="CH135" i="10"/>
  <c r="CH131" i="10"/>
  <c r="CH127" i="10"/>
  <c r="CH123" i="10"/>
  <c r="CH119" i="10"/>
  <c r="CH115" i="10"/>
  <c r="CH111" i="10"/>
  <c r="CH107" i="10"/>
  <c r="CH102" i="10"/>
  <c r="CH98" i="10"/>
  <c r="CH94" i="10"/>
  <c r="CH90" i="10"/>
  <c r="CH86" i="10"/>
  <c r="CH82" i="10"/>
  <c r="CH78" i="10"/>
  <c r="CH74" i="10"/>
  <c r="CH70" i="10"/>
  <c r="CH66" i="10"/>
  <c r="CH62" i="10"/>
  <c r="CH58" i="10"/>
  <c r="CH54" i="10"/>
  <c r="CH104" i="10"/>
  <c r="CH198" i="10"/>
  <c r="CH190" i="10"/>
  <c r="CH186" i="10"/>
  <c r="CH182" i="10"/>
  <c r="CH178" i="10"/>
  <c r="CH174" i="10"/>
  <c r="CH170" i="10"/>
  <c r="CH166" i="10"/>
  <c r="CH162" i="10"/>
  <c r="CH158" i="10"/>
  <c r="CH194" i="10"/>
  <c r="CH154" i="10"/>
  <c r="CH150" i="10"/>
  <c r="CH146" i="10"/>
  <c r="CH142" i="10"/>
  <c r="CH138" i="10"/>
  <c r="CH134" i="10"/>
  <c r="CH130" i="10"/>
  <c r="CH126" i="10"/>
  <c r="CH122" i="10"/>
  <c r="CH118" i="10"/>
  <c r="CH114" i="10"/>
  <c r="CH110" i="10"/>
  <c r="CH106" i="10"/>
  <c r="CH101" i="10"/>
  <c r="CH97" i="10"/>
  <c r="CH93" i="10"/>
  <c r="CH89" i="10"/>
  <c r="CH85" i="10"/>
  <c r="CH81" i="10"/>
  <c r="CH77" i="10"/>
  <c r="CH73" i="10"/>
  <c r="CH69" i="10"/>
  <c r="CH65" i="10"/>
  <c r="CH61" i="10"/>
  <c r="CH57" i="10"/>
  <c r="CH53" i="10"/>
  <c r="BJ76" i="10"/>
  <c r="CH197" i="10"/>
  <c r="CH189" i="10"/>
  <c r="CH185" i="10"/>
  <c r="CH181" i="10"/>
  <c r="CH177" i="10"/>
  <c r="CH173" i="10"/>
  <c r="CH169" i="10"/>
  <c r="CH165" i="10"/>
  <c r="CH161" i="10"/>
  <c r="CH157" i="10"/>
  <c r="CH193" i="10"/>
  <c r="CH153" i="10"/>
  <c r="CH149" i="10"/>
  <c r="CH145" i="10"/>
  <c r="CH141" i="10"/>
  <c r="CH137" i="10"/>
  <c r="CH133" i="10"/>
  <c r="CH129" i="10"/>
  <c r="CH125" i="10"/>
  <c r="CH121" i="10"/>
  <c r="CH117" i="10"/>
  <c r="CH113" i="10"/>
  <c r="CH109" i="10"/>
  <c r="CH105" i="10"/>
  <c r="CH100" i="10"/>
  <c r="CH96" i="10"/>
  <c r="CH92" i="10"/>
  <c r="CH88" i="10"/>
  <c r="CH84" i="10"/>
  <c r="CH80" i="10"/>
  <c r="CH76" i="10"/>
  <c r="CH72" i="10"/>
  <c r="CH68" i="10"/>
  <c r="CH64" i="10"/>
  <c r="CH60" i="10"/>
  <c r="CH56" i="10"/>
  <c r="CH52" i="10"/>
  <c r="CH6" i="10"/>
  <c r="CH13" i="10"/>
  <c r="CH14" i="10"/>
  <c r="CH21" i="10"/>
  <c r="CH22" i="10"/>
  <c r="CH27" i="10"/>
  <c r="CH29" i="10"/>
  <c r="CH31" i="10"/>
  <c r="CH33" i="10"/>
  <c r="CH35" i="10"/>
  <c r="CH37" i="10"/>
  <c r="CH39" i="10"/>
  <c r="CH41" i="10"/>
  <c r="CH43" i="10"/>
  <c r="CH45" i="10"/>
  <c r="CH47" i="10"/>
  <c r="CH7" i="10"/>
  <c r="CH8" i="10"/>
  <c r="CH15" i="10"/>
  <c r="CH16" i="10"/>
  <c r="CH23" i="10"/>
  <c r="CH24" i="10"/>
  <c r="CH9" i="10"/>
  <c r="CH10" i="10"/>
  <c r="CH17" i="10"/>
  <c r="CH18" i="10"/>
  <c r="CH25" i="10"/>
  <c r="CH26" i="10"/>
  <c r="CH28" i="10"/>
  <c r="CH30" i="10"/>
  <c r="CH32" i="10"/>
  <c r="CH34" i="10"/>
  <c r="CH36" i="10"/>
  <c r="CH38" i="10"/>
  <c r="CH40" i="10"/>
  <c r="CH42" i="10"/>
  <c r="CH44" i="10"/>
  <c r="CH46" i="10"/>
  <c r="CH11" i="10"/>
  <c r="CH12" i="10"/>
  <c r="CH19" i="10"/>
  <c r="CH20" i="10"/>
  <c r="BJ80" i="10"/>
  <c r="BJ66" i="10"/>
  <c r="DF66" i="10" s="1"/>
  <c r="BJ70" i="10"/>
  <c r="DF70" i="10" s="1"/>
  <c r="BJ74" i="10"/>
  <c r="BJ82" i="10"/>
  <c r="DF82" i="10" s="1"/>
  <c r="BJ68" i="10"/>
  <c r="DF68" i="10" s="1"/>
  <c r="BJ72" i="10"/>
  <c r="BJ200" i="10"/>
  <c r="DF200" i="10" s="1"/>
  <c r="BJ196" i="10"/>
  <c r="DF196" i="10" s="1"/>
  <c r="BJ192" i="10"/>
  <c r="DF192" i="10" s="1"/>
  <c r="BJ186" i="10"/>
  <c r="DF186" i="10" s="1"/>
  <c r="BJ187" i="10"/>
  <c r="DF187" i="10" s="1"/>
  <c r="BJ179" i="10"/>
  <c r="DF179" i="10" s="1"/>
  <c r="BJ171" i="10"/>
  <c r="BJ180" i="10"/>
  <c r="BJ164" i="10"/>
  <c r="DF164" i="10" s="1"/>
  <c r="BJ160" i="10"/>
  <c r="DF160" i="10" s="1"/>
  <c r="BJ156" i="10"/>
  <c r="DF156" i="10" s="1"/>
  <c r="BJ152" i="10"/>
  <c r="BJ148" i="10"/>
  <c r="DF148" i="10" s="1"/>
  <c r="BJ140" i="10"/>
  <c r="DF140" i="10" s="1"/>
  <c r="BJ132" i="10"/>
  <c r="DF132" i="10" s="1"/>
  <c r="BJ124" i="10"/>
  <c r="DF124" i="10" s="1"/>
  <c r="BJ178" i="10"/>
  <c r="DF178" i="10" s="1"/>
  <c r="BJ147" i="10"/>
  <c r="DF147" i="10" s="1"/>
  <c r="BJ139" i="10"/>
  <c r="DF139" i="10" s="1"/>
  <c r="BJ101" i="10"/>
  <c r="BJ93" i="10"/>
  <c r="BJ85" i="10"/>
  <c r="BJ77" i="10"/>
  <c r="DF77" i="10" s="1"/>
  <c r="BJ69" i="10"/>
  <c r="BJ131" i="10"/>
  <c r="DF131" i="10" s="1"/>
  <c r="BJ117" i="10"/>
  <c r="BJ113" i="10"/>
  <c r="DF113" i="10" s="1"/>
  <c r="BJ109" i="10"/>
  <c r="BJ105" i="10"/>
  <c r="BJ100" i="10"/>
  <c r="BJ92" i="10"/>
  <c r="BJ84" i="10"/>
  <c r="BJ63" i="10"/>
  <c r="DF63" i="10" s="1"/>
  <c r="BJ59" i="10"/>
  <c r="DF59" i="10" s="1"/>
  <c r="BJ55" i="10"/>
  <c r="BJ51" i="10"/>
  <c r="DF51" i="10" s="1"/>
  <c r="BJ47" i="10"/>
  <c r="BJ43" i="10"/>
  <c r="BJ39" i="10"/>
  <c r="DF39" i="10" s="1"/>
  <c r="BJ35" i="10"/>
  <c r="BJ31" i="10"/>
  <c r="BJ27" i="10"/>
  <c r="BJ23" i="10"/>
  <c r="BJ19" i="10"/>
  <c r="DF19" i="10" s="1"/>
  <c r="BJ15" i="10"/>
  <c r="BJ11" i="10"/>
  <c r="DF11" i="10" s="1"/>
  <c r="BJ199" i="10"/>
  <c r="DF199" i="10" s="1"/>
  <c r="BJ195" i="10"/>
  <c r="BJ191" i="10"/>
  <c r="DF191" i="10" s="1"/>
  <c r="BJ184" i="10"/>
  <c r="DF184" i="10" s="1"/>
  <c r="BJ185" i="10"/>
  <c r="BJ177" i="10"/>
  <c r="DF177" i="10" s="1"/>
  <c r="BJ169" i="10"/>
  <c r="DF169" i="10" s="1"/>
  <c r="BJ176" i="10"/>
  <c r="DF176" i="10" s="1"/>
  <c r="BJ163" i="10"/>
  <c r="DF163" i="10" s="1"/>
  <c r="BJ159" i="10"/>
  <c r="DF159" i="10" s="1"/>
  <c r="BJ155" i="10"/>
  <c r="DF155" i="10" s="1"/>
  <c r="BJ151" i="10"/>
  <c r="DF151" i="10" s="1"/>
  <c r="BJ146" i="10"/>
  <c r="DF146" i="10" s="1"/>
  <c r="BJ138" i="10"/>
  <c r="DF138" i="10" s="1"/>
  <c r="BJ130" i="10"/>
  <c r="DF130" i="10" s="1"/>
  <c r="BJ122" i="10"/>
  <c r="DF122" i="10" s="1"/>
  <c r="BJ174" i="10"/>
  <c r="DF174" i="10" s="1"/>
  <c r="BJ145" i="10"/>
  <c r="DF145" i="10" s="1"/>
  <c r="BJ129" i="10"/>
  <c r="BJ99" i="10"/>
  <c r="DF99" i="10" s="1"/>
  <c r="BJ91" i="10"/>
  <c r="DF91" i="10" s="1"/>
  <c r="BJ83" i="10"/>
  <c r="DF83" i="10" s="1"/>
  <c r="BJ75" i="10"/>
  <c r="DF75" i="10" s="1"/>
  <c r="BJ67" i="10"/>
  <c r="DF67" i="10" s="1"/>
  <c r="BJ127" i="10"/>
  <c r="BJ116" i="10"/>
  <c r="DF116" i="10" s="1"/>
  <c r="BJ112" i="10"/>
  <c r="DF112" i="10" s="1"/>
  <c r="BJ108" i="10"/>
  <c r="DF108" i="10" s="1"/>
  <c r="BJ104" i="10"/>
  <c r="DF104" i="10" s="1"/>
  <c r="BJ98" i="10"/>
  <c r="DF98" i="10" s="1"/>
  <c r="BJ90" i="10"/>
  <c r="DF90" i="10" s="1"/>
  <c r="BJ133" i="10"/>
  <c r="DF133" i="10" s="1"/>
  <c r="BJ62" i="10"/>
  <c r="BJ58" i="10"/>
  <c r="DF58" i="10" s="1"/>
  <c r="BJ54" i="10"/>
  <c r="DF54" i="10" s="1"/>
  <c r="BJ50" i="10"/>
  <c r="DF50" i="10" s="1"/>
  <c r="BJ46" i="10"/>
  <c r="BJ42" i="10"/>
  <c r="DF42" i="10" s="1"/>
  <c r="BJ38" i="10"/>
  <c r="DF38" i="10" s="1"/>
  <c r="BJ34" i="10"/>
  <c r="DF34" i="10" s="1"/>
  <c r="BJ30" i="10"/>
  <c r="BJ26" i="10"/>
  <c r="DF26" i="10" s="1"/>
  <c r="BJ22" i="10"/>
  <c r="BJ18" i="10"/>
  <c r="BJ14" i="10"/>
  <c r="DF14" i="10" s="1"/>
  <c r="BJ10" i="10"/>
  <c r="DF10" i="10" s="1"/>
  <c r="BJ198" i="10"/>
  <c r="DF198" i="10" s="1"/>
  <c r="BJ194" i="10"/>
  <c r="DF194" i="10" s="1"/>
  <c r="BJ190" i="10"/>
  <c r="DF190" i="10" s="1"/>
  <c r="BJ182" i="10"/>
  <c r="DF182" i="10" s="1"/>
  <c r="BJ183" i="10"/>
  <c r="DF183" i="10" s="1"/>
  <c r="BJ175" i="10"/>
  <c r="DF175" i="10" s="1"/>
  <c r="BJ167" i="10"/>
  <c r="DF167" i="10" s="1"/>
  <c r="BJ172" i="10"/>
  <c r="DF172" i="10" s="1"/>
  <c r="BJ162" i="10"/>
  <c r="DF162" i="10" s="1"/>
  <c r="BJ158" i="10"/>
  <c r="DF158" i="10" s="1"/>
  <c r="BJ154" i="10"/>
  <c r="DF154" i="10" s="1"/>
  <c r="BJ150" i="10"/>
  <c r="BJ144" i="10"/>
  <c r="DF144" i="10" s="1"/>
  <c r="BJ136" i="10"/>
  <c r="BJ128" i="10"/>
  <c r="DF128" i="10" s="1"/>
  <c r="BJ120" i="10"/>
  <c r="BJ170" i="10"/>
  <c r="DF170" i="10" s="1"/>
  <c r="BJ143" i="10"/>
  <c r="BJ125" i="10"/>
  <c r="BJ97" i="10"/>
  <c r="DF97" i="10" s="1"/>
  <c r="BJ89" i="10"/>
  <c r="DF89" i="10" s="1"/>
  <c r="BJ81" i="10"/>
  <c r="DF81" i="10" s="1"/>
  <c r="BJ73" i="10"/>
  <c r="DF73" i="10" s="1"/>
  <c r="BJ137" i="10"/>
  <c r="DF137" i="10" s="1"/>
  <c r="BJ123" i="10"/>
  <c r="DF123" i="10" s="1"/>
  <c r="BJ115" i="10"/>
  <c r="DF115" i="10" s="1"/>
  <c r="BJ111" i="10"/>
  <c r="BJ107" i="10"/>
  <c r="DF107" i="10" s="1"/>
  <c r="BJ103" i="10"/>
  <c r="DF103" i="10" s="1"/>
  <c r="BJ96" i="10"/>
  <c r="DF96" i="10" s="1"/>
  <c r="BJ88" i="10"/>
  <c r="DF88" i="10" s="1"/>
  <c r="BJ65" i="10"/>
  <c r="DF65" i="10" s="1"/>
  <c r="BJ61" i="10"/>
  <c r="DF61" i="10" s="1"/>
  <c r="BJ57" i="10"/>
  <c r="DF57" i="10" s="1"/>
  <c r="BJ53" i="10"/>
  <c r="BJ49" i="10"/>
  <c r="DF49" i="10" s="1"/>
  <c r="BJ45" i="10"/>
  <c r="DF45" i="10" s="1"/>
  <c r="BJ41" i="10"/>
  <c r="DF41" i="10" s="1"/>
  <c r="BJ37" i="10"/>
  <c r="DF37" i="10" s="1"/>
  <c r="BJ33" i="10"/>
  <c r="DF33" i="10" s="1"/>
  <c r="BJ29" i="10"/>
  <c r="DF29" i="10" s="1"/>
  <c r="BJ25" i="10"/>
  <c r="DF25" i="10" s="1"/>
  <c r="BJ21" i="10"/>
  <c r="DF21" i="10" s="1"/>
  <c r="BJ17" i="10"/>
  <c r="DF17" i="10" s="1"/>
  <c r="BJ13" i="10"/>
  <c r="DF13" i="10" s="1"/>
  <c r="BJ9" i="10"/>
  <c r="DF9" i="10" s="1"/>
  <c r="BJ197" i="10"/>
  <c r="DF197" i="10" s="1"/>
  <c r="BJ193" i="10"/>
  <c r="BJ188" i="10"/>
  <c r="DF188" i="10" s="1"/>
  <c r="BJ189" i="10"/>
  <c r="DF189" i="10" s="1"/>
  <c r="BJ181" i="10"/>
  <c r="DF181" i="10" s="1"/>
  <c r="BJ173" i="10"/>
  <c r="DF173" i="10" s="1"/>
  <c r="BJ165" i="10"/>
  <c r="DF165" i="10" s="1"/>
  <c r="BJ168" i="10"/>
  <c r="DF168" i="10" s="1"/>
  <c r="BJ161" i="10"/>
  <c r="DF161" i="10" s="1"/>
  <c r="BJ157" i="10"/>
  <c r="DF157" i="10" s="1"/>
  <c r="BJ153" i="10"/>
  <c r="DF153" i="10" s="1"/>
  <c r="BJ149" i="10"/>
  <c r="DF149" i="10" s="1"/>
  <c r="BJ142" i="10"/>
  <c r="DF142" i="10" s="1"/>
  <c r="BJ134" i="10"/>
  <c r="BJ126" i="10"/>
  <c r="DF126" i="10" s="1"/>
  <c r="BJ118" i="10"/>
  <c r="BJ166" i="10"/>
  <c r="DF166" i="10" s="1"/>
  <c r="BJ141" i="10"/>
  <c r="BJ121" i="10"/>
  <c r="DF121" i="10" s="1"/>
  <c r="BJ95" i="10"/>
  <c r="DF95" i="10" s="1"/>
  <c r="BJ87" i="10"/>
  <c r="BJ79" i="10"/>
  <c r="DF79" i="10" s="1"/>
  <c r="BJ71" i="10"/>
  <c r="DF71" i="10" s="1"/>
  <c r="BJ135" i="10"/>
  <c r="DF135" i="10" s="1"/>
  <c r="BJ119" i="10"/>
  <c r="DF119" i="10" s="1"/>
  <c r="BJ114" i="10"/>
  <c r="DF114" i="10" s="1"/>
  <c r="BJ110" i="10"/>
  <c r="DF110" i="10" s="1"/>
  <c r="BJ106" i="10"/>
  <c r="DF106" i="10" s="1"/>
  <c r="BJ102" i="10"/>
  <c r="DF102" i="10" s="1"/>
  <c r="BJ94" i="10"/>
  <c r="BJ86" i="10"/>
  <c r="DF86" i="10" s="1"/>
  <c r="BJ64" i="10"/>
  <c r="DF64" i="10" s="1"/>
  <c r="BJ60" i="10"/>
  <c r="BJ56" i="10"/>
  <c r="DF56" i="10" s="1"/>
  <c r="BJ52" i="10"/>
  <c r="DF52" i="10" s="1"/>
  <c r="BJ48" i="10"/>
  <c r="DF48" i="10" s="1"/>
  <c r="BJ44" i="10"/>
  <c r="DF44" i="10" s="1"/>
  <c r="BJ40" i="10"/>
  <c r="DF40" i="10" s="1"/>
  <c r="BJ36" i="10"/>
  <c r="DF36" i="10" s="1"/>
  <c r="BJ32" i="10"/>
  <c r="DF32" i="10" s="1"/>
  <c r="BJ28" i="10"/>
  <c r="DF28" i="10" s="1"/>
  <c r="BJ24" i="10"/>
  <c r="BJ20" i="10"/>
  <c r="DF20" i="10" s="1"/>
  <c r="BJ16" i="10"/>
  <c r="DF16" i="10" s="1"/>
  <c r="BJ12" i="10"/>
  <c r="DF12" i="10" s="1"/>
  <c r="BJ7" i="10"/>
  <c r="DF7" i="10" s="1"/>
  <c r="BJ6" i="10"/>
  <c r="DF6" i="10" s="1"/>
  <c r="BJ78" i="10"/>
  <c r="BJ8" i="10"/>
  <c r="AA143" i="4"/>
  <c r="AA121" i="4"/>
  <c r="AA25" i="4"/>
  <c r="AM3" i="28"/>
  <c r="AA27" i="4"/>
  <c r="AA26" i="4"/>
  <c r="AA123" i="4"/>
  <c r="AA145" i="4"/>
  <c r="AA18" i="4"/>
  <c r="AA122" i="4"/>
  <c r="AA144" i="4"/>
  <c r="AD12" i="4"/>
  <c r="Z25" i="4"/>
  <c r="AO4" i="28"/>
  <c r="AP4" i="28"/>
  <c r="AD5" i="4"/>
  <c r="Z136" i="4"/>
  <c r="Z114" i="4"/>
  <c r="AE7" i="4"/>
  <c r="AE128" i="4"/>
  <c r="AE127" i="4" s="1"/>
  <c r="AE106" i="4"/>
  <c r="AE105" i="4" s="1"/>
  <c r="AD3" i="4"/>
  <c r="AD4" i="4"/>
  <c r="K23" i="11"/>
  <c r="L22" i="11"/>
  <c r="DF84" i="10" l="1"/>
  <c r="DF100" i="10"/>
  <c r="DF117" i="10"/>
  <c r="DF80" i="10"/>
  <c r="DF24" i="10"/>
  <c r="DF94" i="10"/>
  <c r="DF141" i="10"/>
  <c r="DF134" i="10"/>
  <c r="DF193" i="10"/>
  <c r="DF120" i="10"/>
  <c r="DF150" i="10"/>
  <c r="DF195" i="10"/>
  <c r="DF109" i="10"/>
  <c r="DF69" i="10"/>
  <c r="DF101" i="10"/>
  <c r="DF152" i="10"/>
  <c r="DF180" i="10"/>
  <c r="DF8" i="10"/>
  <c r="DF60" i="10"/>
  <c r="DF87" i="10"/>
  <c r="DF53" i="10"/>
  <c r="DF111" i="10"/>
  <c r="DF125" i="10"/>
  <c r="DF62" i="10"/>
  <c r="DF127" i="10"/>
  <c r="DF55" i="10"/>
  <c r="DF78" i="10"/>
  <c r="DF118" i="10"/>
  <c r="DF143" i="10"/>
  <c r="DF136" i="10"/>
  <c r="DF30" i="10"/>
  <c r="DF46" i="10"/>
  <c r="DF185" i="10"/>
  <c r="DF23" i="10"/>
  <c r="DF171" i="10"/>
  <c r="DF18" i="10"/>
  <c r="DF27" i="10"/>
  <c r="DF85" i="10"/>
  <c r="DF35" i="10"/>
  <c r="DF43" i="10"/>
  <c r="DF92" i="10"/>
  <c r="DF74" i="10"/>
  <c r="DF72" i="10"/>
  <c r="DF76" i="10"/>
  <c r="AE12" i="4"/>
  <c r="AN4" i="10"/>
  <c r="DH4" i="10"/>
  <c r="CJ4" i="10"/>
  <c r="BL4" i="10"/>
  <c r="AE13" i="4"/>
  <c r="DF22" i="10"/>
  <c r="DF129" i="10"/>
  <c r="DF15" i="10"/>
  <c r="DF31" i="10"/>
  <c r="DF47" i="10"/>
  <c r="DF105" i="10"/>
  <c r="DF93" i="10"/>
  <c r="BK58" i="10"/>
  <c r="BK42" i="10"/>
  <c r="BK12" i="10"/>
  <c r="BK38" i="10"/>
  <c r="BK18" i="10"/>
  <c r="BK30" i="10"/>
  <c r="BK24" i="10"/>
  <c r="BK10" i="10"/>
  <c r="BK36" i="10"/>
  <c r="BK50" i="10"/>
  <c r="BK28" i="10"/>
  <c r="BK32" i="10"/>
  <c r="BK54" i="10"/>
  <c r="BK34" i="10"/>
  <c r="BK41" i="10"/>
  <c r="BK45" i="10"/>
  <c r="BK16" i="10"/>
  <c r="BK20" i="10"/>
  <c r="BK26" i="10"/>
  <c r="BK14" i="10"/>
  <c r="BK22" i="10"/>
  <c r="BK39" i="10"/>
  <c r="BK43" i="10"/>
  <c r="BK46" i="10"/>
  <c r="BK47" i="10"/>
  <c r="CI199" i="10"/>
  <c r="CI195" i="10"/>
  <c r="CI191" i="10"/>
  <c r="CI187" i="10"/>
  <c r="CI183" i="10"/>
  <c r="CI179" i="10"/>
  <c r="CI175" i="10"/>
  <c r="CI171" i="10"/>
  <c r="CI167" i="10"/>
  <c r="CI163" i="10"/>
  <c r="CI159" i="10"/>
  <c r="CI155" i="10"/>
  <c r="CI151" i="10"/>
  <c r="CI147" i="10"/>
  <c r="CI143" i="10"/>
  <c r="CI139" i="10"/>
  <c r="CI135" i="10"/>
  <c r="CI131" i="10"/>
  <c r="CI127" i="10"/>
  <c r="CI123" i="10"/>
  <c r="CI119" i="10"/>
  <c r="CI115" i="10"/>
  <c r="CI111" i="10"/>
  <c r="CI107" i="10"/>
  <c r="CI103" i="10"/>
  <c r="CI99" i="10"/>
  <c r="CI95" i="10"/>
  <c r="CI91" i="10"/>
  <c r="CI87" i="10"/>
  <c r="CI83" i="10"/>
  <c r="CI79" i="10"/>
  <c r="CI75" i="10"/>
  <c r="CI71" i="10"/>
  <c r="CI67" i="10"/>
  <c r="CI63" i="10"/>
  <c r="CI59" i="10"/>
  <c r="CI55" i="10"/>
  <c r="CI51" i="10"/>
  <c r="CI198" i="10"/>
  <c r="CI194" i="10"/>
  <c r="CI190" i="10"/>
  <c r="CI186" i="10"/>
  <c r="CI182" i="10"/>
  <c r="CI178" i="10"/>
  <c r="CI174" i="10"/>
  <c r="CI170" i="10"/>
  <c r="CI166" i="10"/>
  <c r="CI162" i="10"/>
  <c r="CI158" i="10"/>
  <c r="CI154" i="10"/>
  <c r="CI150" i="10"/>
  <c r="CI146" i="10"/>
  <c r="CI142" i="10"/>
  <c r="CI138" i="10"/>
  <c r="CI134" i="10"/>
  <c r="CI130" i="10"/>
  <c r="CI126" i="10"/>
  <c r="CI122" i="10"/>
  <c r="CI118" i="10"/>
  <c r="CI114" i="10"/>
  <c r="CI110" i="10"/>
  <c r="CI106" i="10"/>
  <c r="CI102" i="10"/>
  <c r="CI98" i="10"/>
  <c r="CI94" i="10"/>
  <c r="CI90" i="10"/>
  <c r="CI86" i="10"/>
  <c r="CI82" i="10"/>
  <c r="CI78" i="10"/>
  <c r="CI74" i="10"/>
  <c r="CI70" i="10"/>
  <c r="CI66" i="10"/>
  <c r="CI62" i="10"/>
  <c r="CI58" i="10"/>
  <c r="CI54" i="10"/>
  <c r="CI50" i="10"/>
  <c r="BK64" i="10"/>
  <c r="CI197" i="10"/>
  <c r="CI193" i="10"/>
  <c r="CI189" i="10"/>
  <c r="CI185" i="10"/>
  <c r="CI181" i="10"/>
  <c r="CI177" i="10"/>
  <c r="CI173" i="10"/>
  <c r="CI169" i="10"/>
  <c r="CI165" i="10"/>
  <c r="CI161" i="10"/>
  <c r="CI157" i="10"/>
  <c r="CI153" i="10"/>
  <c r="CI149" i="10"/>
  <c r="CI145" i="10"/>
  <c r="CI141" i="10"/>
  <c r="CI137" i="10"/>
  <c r="CI133" i="10"/>
  <c r="CI129" i="10"/>
  <c r="CI125" i="10"/>
  <c r="CI121" i="10"/>
  <c r="CI117" i="10"/>
  <c r="CI113" i="10"/>
  <c r="CI109" i="10"/>
  <c r="CI105" i="10"/>
  <c r="CI101" i="10"/>
  <c r="CI97" i="10"/>
  <c r="CI93" i="10"/>
  <c r="CI89" i="10"/>
  <c r="CI85" i="10"/>
  <c r="CI81" i="10"/>
  <c r="CI77" i="10"/>
  <c r="CI73" i="10"/>
  <c r="CI69" i="10"/>
  <c r="CI65" i="10"/>
  <c r="CI61" i="10"/>
  <c r="CI57" i="10"/>
  <c r="CI53" i="10"/>
  <c r="CI49" i="10"/>
  <c r="CI200" i="10"/>
  <c r="CI196" i="10"/>
  <c r="CI192" i="10"/>
  <c r="CI188" i="10"/>
  <c r="CI184" i="10"/>
  <c r="CI180" i="10"/>
  <c r="CI176" i="10"/>
  <c r="CI172" i="10"/>
  <c r="CI168" i="10"/>
  <c r="CI164" i="10"/>
  <c r="CI160" i="10"/>
  <c r="CI156" i="10"/>
  <c r="CI152" i="10"/>
  <c r="CI148" i="10"/>
  <c r="CI144" i="10"/>
  <c r="CI140" i="10"/>
  <c r="CI136" i="10"/>
  <c r="CI132" i="10"/>
  <c r="CI128" i="10"/>
  <c r="CI124" i="10"/>
  <c r="CI120" i="10"/>
  <c r="CI116" i="10"/>
  <c r="CI112" i="10"/>
  <c r="CI108" i="10"/>
  <c r="CI104" i="10"/>
  <c r="CI100" i="10"/>
  <c r="CI96" i="10"/>
  <c r="CI92" i="10"/>
  <c r="CI88" i="10"/>
  <c r="CI84" i="10"/>
  <c r="CI80" i="10"/>
  <c r="CI76" i="10"/>
  <c r="CI72" i="10"/>
  <c r="CI68" i="10"/>
  <c r="CI64" i="10"/>
  <c r="CI60" i="10"/>
  <c r="CI56" i="10"/>
  <c r="CI52" i="10"/>
  <c r="CI48" i="10"/>
  <c r="CI6" i="10"/>
  <c r="CI8" i="10"/>
  <c r="CI10" i="10"/>
  <c r="DG10" i="10" s="1"/>
  <c r="CI12" i="10"/>
  <c r="DG12" i="10" s="1"/>
  <c r="CI14" i="10"/>
  <c r="CI16" i="10"/>
  <c r="CI18" i="10"/>
  <c r="DG18" i="10" s="1"/>
  <c r="CI20" i="10"/>
  <c r="CI22" i="10"/>
  <c r="CI24" i="10"/>
  <c r="CI26" i="10"/>
  <c r="CI9" i="10"/>
  <c r="CI17" i="10"/>
  <c r="CI25" i="10"/>
  <c r="CI29" i="10"/>
  <c r="CI31" i="10"/>
  <c r="CI33" i="10"/>
  <c r="CI35" i="10"/>
  <c r="CI37" i="10"/>
  <c r="CI39" i="10"/>
  <c r="CI41" i="10"/>
  <c r="CI43" i="10"/>
  <c r="CI45" i="10"/>
  <c r="CI47" i="10"/>
  <c r="BK55" i="10"/>
  <c r="DG55" i="10" s="1"/>
  <c r="BK62" i="10"/>
  <c r="DG62" i="10" s="1"/>
  <c r="BK59" i="10"/>
  <c r="BK61" i="10"/>
  <c r="BK52" i="10"/>
  <c r="BK60" i="10"/>
  <c r="BK192" i="10"/>
  <c r="BK184" i="10"/>
  <c r="BK176" i="10"/>
  <c r="BK168" i="10"/>
  <c r="DG168" i="10" s="1"/>
  <c r="BK162" i="10"/>
  <c r="BK158" i="10"/>
  <c r="DG158" i="10" s="1"/>
  <c r="BK154" i="10"/>
  <c r="BK150" i="10"/>
  <c r="BK194" i="10"/>
  <c r="DG194" i="10" s="1"/>
  <c r="BK189" i="10"/>
  <c r="BK183" i="10"/>
  <c r="DG183" i="10" s="1"/>
  <c r="BK167" i="10"/>
  <c r="DG167" i="10" s="1"/>
  <c r="BK141" i="10"/>
  <c r="BK133" i="10"/>
  <c r="DG133" i="10" s="1"/>
  <c r="BK173" i="10"/>
  <c r="BK144" i="10"/>
  <c r="BK136" i="10"/>
  <c r="BK128" i="10"/>
  <c r="DG128" i="10" s="1"/>
  <c r="BK120" i="10"/>
  <c r="BK123" i="10"/>
  <c r="DG123" i="10" s="1"/>
  <c r="BK115" i="10"/>
  <c r="BK111" i="10"/>
  <c r="DG111" i="10" s="1"/>
  <c r="BK107" i="10"/>
  <c r="DG107" i="10" s="1"/>
  <c r="BK103" i="10"/>
  <c r="DG103" i="10" s="1"/>
  <c r="BK96" i="10"/>
  <c r="BK88" i="10"/>
  <c r="BK80" i="10"/>
  <c r="BK125" i="10"/>
  <c r="DG125" i="10" s="1"/>
  <c r="BK97" i="10"/>
  <c r="BK89" i="10"/>
  <c r="BK81" i="10"/>
  <c r="DG81" i="10" s="1"/>
  <c r="BK73" i="10"/>
  <c r="DG73" i="10" s="1"/>
  <c r="CI11" i="10"/>
  <c r="CI19" i="10"/>
  <c r="CI27" i="10"/>
  <c r="BK70" i="10"/>
  <c r="DG70" i="10" s="1"/>
  <c r="BK63" i="10"/>
  <c r="DG63" i="10" s="1"/>
  <c r="BK40" i="10"/>
  <c r="BK48" i="10"/>
  <c r="BK68" i="10"/>
  <c r="DG68" i="10" s="1"/>
  <c r="BK190" i="10"/>
  <c r="DG190" i="10" s="1"/>
  <c r="BK182" i="10"/>
  <c r="DG182" i="10" s="1"/>
  <c r="BK174" i="10"/>
  <c r="DG174" i="10" s="1"/>
  <c r="BK166" i="10"/>
  <c r="DG166" i="10" s="1"/>
  <c r="BK161" i="10"/>
  <c r="BK157" i="10"/>
  <c r="BK153" i="10"/>
  <c r="DG153" i="10" s="1"/>
  <c r="BK149" i="10"/>
  <c r="BK199" i="10"/>
  <c r="DG199" i="10" s="1"/>
  <c r="BK198" i="10"/>
  <c r="DG198" i="10" s="1"/>
  <c r="BK179" i="10"/>
  <c r="BK147" i="10"/>
  <c r="BK139" i="10"/>
  <c r="DG139" i="10" s="1"/>
  <c r="BK187" i="10"/>
  <c r="DG187" i="10" s="1"/>
  <c r="BK169" i="10"/>
  <c r="DG169" i="10" s="1"/>
  <c r="BK142" i="10"/>
  <c r="DG142" i="10" s="1"/>
  <c r="BK134" i="10"/>
  <c r="DG134" i="10" s="1"/>
  <c r="BK126" i="10"/>
  <c r="DG126" i="10" s="1"/>
  <c r="CI13" i="10"/>
  <c r="CI21" i="10"/>
  <c r="CI28" i="10"/>
  <c r="CI30" i="10"/>
  <c r="DG30" i="10" s="1"/>
  <c r="CI32" i="10"/>
  <c r="CI34" i="10"/>
  <c r="CI36" i="10"/>
  <c r="CI38" i="10"/>
  <c r="DG38" i="10" s="1"/>
  <c r="CI40" i="10"/>
  <c r="CI42" i="10"/>
  <c r="DG42" i="10" s="1"/>
  <c r="CI44" i="10"/>
  <c r="CI46" i="10"/>
  <c r="BK49" i="10"/>
  <c r="DG49" i="10" s="1"/>
  <c r="BK51" i="10"/>
  <c r="BK66" i="10"/>
  <c r="DG66" i="10" s="1"/>
  <c r="BK56" i="10"/>
  <c r="BK200" i="10"/>
  <c r="DG200" i="10" s="1"/>
  <c r="BK188" i="10"/>
  <c r="DG188" i="10" s="1"/>
  <c r="BK180" i="10"/>
  <c r="DG180" i="10" s="1"/>
  <c r="BK172" i="10"/>
  <c r="DG172" i="10" s="1"/>
  <c r="BK164" i="10"/>
  <c r="DG164" i="10" s="1"/>
  <c r="BK160" i="10"/>
  <c r="BK156" i="10"/>
  <c r="BK152" i="10"/>
  <c r="DG152" i="10" s="1"/>
  <c r="BK148" i="10"/>
  <c r="DG148" i="10" s="1"/>
  <c r="BK196" i="10"/>
  <c r="DG196" i="10" s="1"/>
  <c r="BK193" i="10"/>
  <c r="DG193" i="10" s="1"/>
  <c r="BK175" i="10"/>
  <c r="DG175" i="10" s="1"/>
  <c r="BK145" i="10"/>
  <c r="DG145" i="10" s="1"/>
  <c r="BK137" i="10"/>
  <c r="DG137" i="10" s="1"/>
  <c r="BK181" i="10"/>
  <c r="BK165" i="10"/>
  <c r="DG165" i="10" s="1"/>
  <c r="BK140" i="10"/>
  <c r="DG140" i="10" s="1"/>
  <c r="BK132" i="10"/>
  <c r="DG132" i="10" s="1"/>
  <c r="BK124" i="10"/>
  <c r="DG124" i="10" s="1"/>
  <c r="CI7" i="10"/>
  <c r="CI15" i="10"/>
  <c r="CI23" i="10"/>
  <c r="BK53" i="10"/>
  <c r="BK57" i="10"/>
  <c r="DG57" i="10" s="1"/>
  <c r="BK44" i="10"/>
  <c r="BK74" i="10"/>
  <c r="BK65" i="10"/>
  <c r="DG65" i="10" s="1"/>
  <c r="BK72" i="10"/>
  <c r="DG72" i="10" s="1"/>
  <c r="BK195" i="10"/>
  <c r="BK186" i="10"/>
  <c r="BK178" i="10"/>
  <c r="DG178" i="10" s="1"/>
  <c r="BK170" i="10"/>
  <c r="DG170" i="10" s="1"/>
  <c r="BK163" i="10"/>
  <c r="BK159" i="10"/>
  <c r="DG159" i="10" s="1"/>
  <c r="BK155" i="10"/>
  <c r="DG155" i="10" s="1"/>
  <c r="BK151" i="10"/>
  <c r="DG151" i="10" s="1"/>
  <c r="BK197" i="10"/>
  <c r="BK191" i="10"/>
  <c r="DG191" i="10" s="1"/>
  <c r="BK185" i="10"/>
  <c r="DG185" i="10" s="1"/>
  <c r="BK171" i="10"/>
  <c r="DG171" i="10" s="1"/>
  <c r="BK143" i="10"/>
  <c r="DG143" i="10" s="1"/>
  <c r="BK135" i="10"/>
  <c r="DG135" i="10" s="1"/>
  <c r="BK177" i="10"/>
  <c r="DG177" i="10" s="1"/>
  <c r="BK146" i="10"/>
  <c r="DG146" i="10" s="1"/>
  <c r="BK138" i="10"/>
  <c r="BK130" i="10"/>
  <c r="DG130" i="10" s="1"/>
  <c r="BK122" i="10"/>
  <c r="BK127" i="10"/>
  <c r="DG127" i="10" s="1"/>
  <c r="BK116" i="10"/>
  <c r="DG116" i="10" s="1"/>
  <c r="BK112" i="10"/>
  <c r="BK108" i="10"/>
  <c r="DG108" i="10" s="1"/>
  <c r="BK104" i="10"/>
  <c r="DG104" i="10" s="1"/>
  <c r="BK98" i="10"/>
  <c r="DG98" i="10" s="1"/>
  <c r="BK90" i="10"/>
  <c r="BK82" i="10"/>
  <c r="DG82" i="10" s="1"/>
  <c r="BK129" i="10"/>
  <c r="DG129" i="10" s="1"/>
  <c r="BK99" i="10"/>
  <c r="BK91" i="10"/>
  <c r="DG91" i="10" s="1"/>
  <c r="BK83" i="10"/>
  <c r="BK75" i="10"/>
  <c r="DG75" i="10" s="1"/>
  <c r="BK67" i="10"/>
  <c r="BK118" i="10"/>
  <c r="DG118" i="10" s="1"/>
  <c r="BK114" i="10"/>
  <c r="DG114" i="10" s="1"/>
  <c r="BK106" i="10"/>
  <c r="DG106" i="10" s="1"/>
  <c r="BK94" i="10"/>
  <c r="DG94" i="10" s="1"/>
  <c r="BK78" i="10"/>
  <c r="DG78" i="10" s="1"/>
  <c r="BK95" i="10"/>
  <c r="DG95" i="10" s="1"/>
  <c r="BK79" i="10"/>
  <c r="DG79" i="10" s="1"/>
  <c r="BK6" i="10"/>
  <c r="DG6" i="10" s="1"/>
  <c r="BK131" i="10"/>
  <c r="BK113" i="10"/>
  <c r="DG113" i="10" s="1"/>
  <c r="BK105" i="10"/>
  <c r="DG105" i="10" s="1"/>
  <c r="BK92" i="10"/>
  <c r="DG92" i="10" s="1"/>
  <c r="BK76" i="10"/>
  <c r="DG76" i="10" s="1"/>
  <c r="BK93" i="10"/>
  <c r="DG93" i="10" s="1"/>
  <c r="BK77" i="10"/>
  <c r="DG77" i="10" s="1"/>
  <c r="BK7" i="10"/>
  <c r="BK37" i="10"/>
  <c r="DG37" i="10" s="1"/>
  <c r="BK119" i="10"/>
  <c r="DG119" i="10" s="1"/>
  <c r="BK110" i="10"/>
  <c r="DG110" i="10" s="1"/>
  <c r="BK102" i="10"/>
  <c r="DG102" i="10" s="1"/>
  <c r="BK86" i="10"/>
  <c r="DG86" i="10" s="1"/>
  <c r="BK121" i="10"/>
  <c r="DG121" i="10" s="1"/>
  <c r="BK87" i="10"/>
  <c r="DG87" i="10" s="1"/>
  <c r="BK71" i="10"/>
  <c r="DG71" i="10" s="1"/>
  <c r="BK8" i="10"/>
  <c r="DG8" i="10" s="1"/>
  <c r="BK9" i="10"/>
  <c r="BK11" i="10"/>
  <c r="DG11" i="10" s="1"/>
  <c r="BK13" i="10"/>
  <c r="DG13" i="10" s="1"/>
  <c r="BK15" i="10"/>
  <c r="BK17" i="10"/>
  <c r="DG17" i="10" s="1"/>
  <c r="BK19" i="10"/>
  <c r="DG19" i="10" s="1"/>
  <c r="BK21" i="10"/>
  <c r="BK23" i="10"/>
  <c r="DG23" i="10" s="1"/>
  <c r="BK25" i="10"/>
  <c r="DG25" i="10" s="1"/>
  <c r="BK27" i="10"/>
  <c r="DG27" i="10" s="1"/>
  <c r="BK29" i="10"/>
  <c r="DG29" i="10" s="1"/>
  <c r="BK31" i="10"/>
  <c r="BK33" i="10"/>
  <c r="DG33" i="10" s="1"/>
  <c r="BK35" i="10"/>
  <c r="DG35" i="10" s="1"/>
  <c r="BK117" i="10"/>
  <c r="BK109" i="10"/>
  <c r="DG109" i="10" s="1"/>
  <c r="BK100" i="10"/>
  <c r="DG100" i="10" s="1"/>
  <c r="BK84" i="10"/>
  <c r="DG84" i="10" s="1"/>
  <c r="BK101" i="10"/>
  <c r="BK85" i="10"/>
  <c r="BK69" i="10"/>
  <c r="DG3" i="10"/>
  <c r="CI3" i="10"/>
  <c r="BK3" i="10"/>
  <c r="AM3" i="10"/>
  <c r="AC108" i="4"/>
  <c r="AC142" i="4"/>
  <c r="AC141" i="4"/>
  <c r="AC130" i="4"/>
  <c r="AC120" i="4"/>
  <c r="AC119" i="4"/>
  <c r="AC24" i="4"/>
  <c r="AC23" i="4"/>
  <c r="AC10" i="4"/>
  <c r="AC118" i="4"/>
  <c r="AC140" i="4"/>
  <c r="AC22" i="4"/>
  <c r="AC11" i="4"/>
  <c r="AC109" i="4"/>
  <c r="AC131" i="4"/>
  <c r="AC17" i="4"/>
  <c r="AC113" i="4"/>
  <c r="AC135" i="4"/>
  <c r="AC112" i="4"/>
  <c r="AC16" i="4"/>
  <c r="AC134" i="4"/>
  <c r="AM22" i="10"/>
  <c r="AM19" i="10"/>
  <c r="AM23" i="10"/>
  <c r="AM20" i="10"/>
  <c r="AM24" i="10"/>
  <c r="AM21" i="10"/>
  <c r="AM197" i="10"/>
  <c r="AM193" i="10"/>
  <c r="AM189" i="10"/>
  <c r="AM185" i="10"/>
  <c r="AM181" i="10"/>
  <c r="AM177" i="10"/>
  <c r="AM173" i="10"/>
  <c r="AM169" i="10"/>
  <c r="AM165" i="10"/>
  <c r="AM158" i="10"/>
  <c r="AM150" i="10"/>
  <c r="AM142" i="10"/>
  <c r="AM134" i="10"/>
  <c r="AM157" i="10"/>
  <c r="AM151" i="10"/>
  <c r="AM111" i="10"/>
  <c r="AM103" i="10"/>
  <c r="AM95" i="10"/>
  <c r="AM132" i="10"/>
  <c r="AM128" i="10"/>
  <c r="AM124" i="10"/>
  <c r="AM120" i="10"/>
  <c r="AM116" i="10"/>
  <c r="AM143" i="10"/>
  <c r="AM110" i="10"/>
  <c r="AM102" i="10"/>
  <c r="AM94" i="10"/>
  <c r="AM86" i="10"/>
  <c r="AM78" i="10"/>
  <c r="AM72" i="10"/>
  <c r="AM68" i="10"/>
  <c r="AM64" i="10"/>
  <c r="AM60" i="10"/>
  <c r="AM56" i="10"/>
  <c r="AM52" i="10"/>
  <c r="AM48" i="10"/>
  <c r="AM81" i="10"/>
  <c r="AM46" i="10"/>
  <c r="AM42" i="10"/>
  <c r="AM38" i="10"/>
  <c r="AM34" i="10"/>
  <c r="AM30" i="10"/>
  <c r="AM26" i="10"/>
  <c r="AM77" i="10"/>
  <c r="AM199" i="10"/>
  <c r="AM194" i="10"/>
  <c r="AM188" i="10"/>
  <c r="AM183" i="10"/>
  <c r="AM178" i="10"/>
  <c r="AM172" i="10"/>
  <c r="AM167" i="10"/>
  <c r="AM160" i="10"/>
  <c r="AM148" i="10"/>
  <c r="AM138" i="10"/>
  <c r="AM159" i="10"/>
  <c r="AM141" i="10"/>
  <c r="AM107" i="10"/>
  <c r="AM97" i="10"/>
  <c r="AM131" i="10"/>
  <c r="AM126" i="10"/>
  <c r="AM121" i="10"/>
  <c r="AM115" i="10"/>
  <c r="AM135" i="10"/>
  <c r="AM104" i="10"/>
  <c r="AM92" i="10"/>
  <c r="AM82" i="10"/>
  <c r="AM73" i="10"/>
  <c r="AM67" i="10"/>
  <c r="AM62" i="10"/>
  <c r="AM57" i="10"/>
  <c r="AM51" i="10"/>
  <c r="AM89" i="10"/>
  <c r="AM47" i="10"/>
  <c r="AM41" i="10"/>
  <c r="AM36" i="10"/>
  <c r="AM31" i="10"/>
  <c r="AM25" i="10"/>
  <c r="AM7" i="10"/>
  <c r="AM9" i="10"/>
  <c r="AM11" i="10"/>
  <c r="AM13" i="10"/>
  <c r="AM15" i="10"/>
  <c r="AM17" i="10"/>
  <c r="AM198" i="10"/>
  <c r="AM192" i="10"/>
  <c r="AM187" i="10"/>
  <c r="AM182" i="10"/>
  <c r="AM176" i="10"/>
  <c r="AM171" i="10"/>
  <c r="AM166" i="10"/>
  <c r="AM156" i="10"/>
  <c r="AM146" i="10"/>
  <c r="AM136" i="10"/>
  <c r="AM155" i="10"/>
  <c r="AM137" i="10"/>
  <c r="AM105" i="10"/>
  <c r="AM93" i="10"/>
  <c r="AM130" i="10"/>
  <c r="AM125" i="10"/>
  <c r="AM119" i="10"/>
  <c r="AM114" i="10"/>
  <c r="AM112" i="10"/>
  <c r="AM100" i="10"/>
  <c r="AM90" i="10"/>
  <c r="AM80" i="10"/>
  <c r="AM71" i="10"/>
  <c r="AM66" i="10"/>
  <c r="AM61" i="10"/>
  <c r="AM55" i="10"/>
  <c r="AM50" i="10"/>
  <c r="AM85" i="10"/>
  <c r="AM45" i="10"/>
  <c r="AM40" i="10"/>
  <c r="AM35" i="10"/>
  <c r="AM29" i="10"/>
  <c r="AM91" i="10"/>
  <c r="AM196" i="10"/>
  <c r="AM191" i="10"/>
  <c r="AM186" i="10"/>
  <c r="AM180" i="10"/>
  <c r="AM175" i="10"/>
  <c r="AM170" i="10"/>
  <c r="AM164" i="10"/>
  <c r="AM154" i="10"/>
  <c r="AM144" i="10"/>
  <c r="AM163" i="10"/>
  <c r="AM153" i="10"/>
  <c r="AM113" i="10"/>
  <c r="AM101" i="10"/>
  <c r="AM149" i="10"/>
  <c r="AM129" i="10"/>
  <c r="AM123" i="10"/>
  <c r="AM118" i="10"/>
  <c r="AM147" i="10"/>
  <c r="AM108" i="10"/>
  <c r="AM98" i="10"/>
  <c r="AM88" i="10"/>
  <c r="AM76" i="10"/>
  <c r="AM70" i="10"/>
  <c r="AM65" i="10"/>
  <c r="AM59" i="10"/>
  <c r="AM54" i="10"/>
  <c r="AM49" i="10"/>
  <c r="AM83" i="10"/>
  <c r="AM44" i="10"/>
  <c r="AM39" i="10"/>
  <c r="AM33" i="10"/>
  <c r="AM28" i="10"/>
  <c r="AM87" i="10"/>
  <c r="AM6" i="10"/>
  <c r="AM8" i="10"/>
  <c r="AM10" i="10"/>
  <c r="AM12" i="10"/>
  <c r="AM14" i="10"/>
  <c r="AM16" i="10"/>
  <c r="AM18" i="10"/>
  <c r="AM195" i="10"/>
  <c r="AM174" i="10"/>
  <c r="AM140" i="10"/>
  <c r="AM99" i="10"/>
  <c r="AM117" i="10"/>
  <c r="AM84" i="10"/>
  <c r="AM58" i="10"/>
  <c r="AM43" i="10"/>
  <c r="AM190" i="10"/>
  <c r="AM168" i="10"/>
  <c r="AM161" i="10"/>
  <c r="AM133" i="10"/>
  <c r="AM139" i="10"/>
  <c r="AM74" i="10"/>
  <c r="AM53" i="10"/>
  <c r="AM37" i="10"/>
  <c r="AM184" i="10"/>
  <c r="AM162" i="10"/>
  <c r="AM145" i="10"/>
  <c r="AM127" i="10"/>
  <c r="AM106" i="10"/>
  <c r="AM69" i="10"/>
  <c r="AM79" i="10"/>
  <c r="AM32" i="10"/>
  <c r="AM200" i="10"/>
  <c r="AM179" i="10"/>
  <c r="AM152" i="10"/>
  <c r="AM109" i="10"/>
  <c r="AM122" i="10"/>
  <c r="AM96" i="10"/>
  <c r="AM63" i="10"/>
  <c r="AM75" i="10"/>
  <c r="AM27" i="10"/>
  <c r="AB18" i="4"/>
  <c r="AB121" i="4"/>
  <c r="AB25" i="4"/>
  <c r="AA136" i="4"/>
  <c r="AO3" i="28"/>
  <c r="AA114" i="4"/>
  <c r="AB143" i="4"/>
  <c r="AB144" i="4"/>
  <c r="AB122" i="4"/>
  <c r="AB145" i="4"/>
  <c r="AB27" i="4"/>
  <c r="AB26" i="4"/>
  <c r="AE5" i="4"/>
  <c r="AB123" i="4"/>
  <c r="AQ4" i="28"/>
  <c r="AR4" i="28"/>
  <c r="AF7" i="4"/>
  <c r="AF128" i="4"/>
  <c r="AF127" i="4" s="1"/>
  <c r="AF106" i="4"/>
  <c r="AF105" i="4" s="1"/>
  <c r="AE3" i="4"/>
  <c r="AE4" i="4"/>
  <c r="AQ3" i="28"/>
  <c r="K24" i="11"/>
  <c r="L23" i="11"/>
  <c r="DG21" i="10" l="1"/>
  <c r="DG156" i="10"/>
  <c r="DG150" i="10"/>
  <c r="DG15" i="10"/>
  <c r="DG161" i="10"/>
  <c r="DG97" i="10"/>
  <c r="DG69" i="10"/>
  <c r="DG9" i="10"/>
  <c r="DG83" i="10"/>
  <c r="DG122" i="10"/>
  <c r="DG53" i="10"/>
  <c r="DG181" i="10"/>
  <c r="DG28" i="10"/>
  <c r="DG96" i="10"/>
  <c r="DG115" i="10"/>
  <c r="DG192" i="10"/>
  <c r="DG85" i="10"/>
  <c r="DG31" i="10"/>
  <c r="DG131" i="10"/>
  <c r="DG90" i="10"/>
  <c r="DG112" i="10"/>
  <c r="DG186" i="10"/>
  <c r="DG74" i="10"/>
  <c r="DG160" i="10"/>
  <c r="DG51" i="10"/>
  <c r="DG147" i="10"/>
  <c r="DG149" i="10"/>
  <c r="DG144" i="10"/>
  <c r="DG60" i="10"/>
  <c r="DG24" i="10"/>
  <c r="DG101" i="10"/>
  <c r="DG117" i="10"/>
  <c r="DG7" i="10"/>
  <c r="DG67" i="10"/>
  <c r="DG99" i="10"/>
  <c r="DG138" i="10"/>
  <c r="DG197" i="10"/>
  <c r="DG163" i="10"/>
  <c r="DG195" i="10"/>
  <c r="DG179" i="10"/>
  <c r="DG48" i="10"/>
  <c r="DG80" i="10"/>
  <c r="DG154" i="10"/>
  <c r="DG176" i="10"/>
  <c r="DG44" i="10"/>
  <c r="DG120" i="10"/>
  <c r="DG173" i="10"/>
  <c r="DG52" i="10"/>
  <c r="DG89" i="10"/>
  <c r="AF13" i="4"/>
  <c r="AO4" i="10"/>
  <c r="DI4" i="10"/>
  <c r="CK4" i="10"/>
  <c r="BM4" i="10"/>
  <c r="AD109" i="4"/>
  <c r="AD131" i="4"/>
  <c r="AD11" i="4"/>
  <c r="AD134" i="4"/>
  <c r="AD17" i="4"/>
  <c r="AD135" i="4"/>
  <c r="AD113" i="4"/>
  <c r="AD112" i="4"/>
  <c r="AD16" i="4"/>
  <c r="AD120" i="4"/>
  <c r="AD119" i="4"/>
  <c r="AD24" i="4"/>
  <c r="AD23" i="4"/>
  <c r="AD10" i="4"/>
  <c r="AD108" i="4"/>
  <c r="AD142" i="4"/>
  <c r="AD141" i="4"/>
  <c r="AD130" i="4"/>
  <c r="AD22" i="4"/>
  <c r="AD118" i="4"/>
  <c r="AD140" i="4"/>
  <c r="DG56" i="10"/>
  <c r="DG157" i="10"/>
  <c r="DG40" i="10"/>
  <c r="DG88" i="10"/>
  <c r="DG189" i="10"/>
  <c r="DG184" i="10"/>
  <c r="DG61" i="10"/>
  <c r="DG58" i="10"/>
  <c r="DG43" i="10"/>
  <c r="DG26" i="10"/>
  <c r="DG41" i="10"/>
  <c r="AN3" i="10"/>
  <c r="DH3" i="10"/>
  <c r="CJ3" i="10"/>
  <c r="BL3" i="10"/>
  <c r="DG136" i="10"/>
  <c r="DG141" i="10"/>
  <c r="DG162" i="10"/>
  <c r="DG59" i="10"/>
  <c r="DG64" i="10"/>
  <c r="DG39" i="10"/>
  <c r="DG20" i="10"/>
  <c r="DG34" i="10"/>
  <c r="DG50" i="10"/>
  <c r="DG47" i="10"/>
  <c r="DG22" i="10"/>
  <c r="DG16" i="10"/>
  <c r="DG54" i="10"/>
  <c r="DG36" i="10"/>
  <c r="AN197" i="10"/>
  <c r="AN193" i="10"/>
  <c r="AN189" i="10"/>
  <c r="AN185" i="10"/>
  <c r="AN181" i="10"/>
  <c r="AN177" i="10"/>
  <c r="AN173" i="10"/>
  <c r="AN169" i="10"/>
  <c r="AN165" i="10"/>
  <c r="AN161" i="10"/>
  <c r="AN157" i="10"/>
  <c r="AN153" i="10"/>
  <c r="AN149" i="10"/>
  <c r="AN145" i="10"/>
  <c r="AN141" i="10"/>
  <c r="AN137" i="10"/>
  <c r="AN133" i="10"/>
  <c r="AN129" i="10"/>
  <c r="AN125" i="10"/>
  <c r="AN121" i="10"/>
  <c r="AN117" i="10"/>
  <c r="AN113" i="10"/>
  <c r="AN105" i="10"/>
  <c r="AN97" i="10"/>
  <c r="AN89" i="10"/>
  <c r="AN110" i="10"/>
  <c r="AN102" i="10"/>
  <c r="AN86" i="10"/>
  <c r="AN96" i="10"/>
  <c r="AN73" i="10"/>
  <c r="AN65" i="10"/>
  <c r="AN57" i="10"/>
  <c r="AN49" i="10"/>
  <c r="AN44" i="10"/>
  <c r="AN40" i="10"/>
  <c r="AN36" i="10"/>
  <c r="AN32" i="10"/>
  <c r="AN28" i="10"/>
  <c r="AN24" i="10"/>
  <c r="AN20" i="10"/>
  <c r="AN77" i="10"/>
  <c r="AN74" i="10"/>
  <c r="AN66" i="10"/>
  <c r="AN58" i="10"/>
  <c r="AN50" i="10"/>
  <c r="AN200" i="10"/>
  <c r="AN196" i="10"/>
  <c r="AN192" i="10"/>
  <c r="AN188" i="10"/>
  <c r="AN184" i="10"/>
  <c r="AN180" i="10"/>
  <c r="AN176" i="10"/>
  <c r="AN172" i="10"/>
  <c r="AN168" i="10"/>
  <c r="AN164" i="10"/>
  <c r="AN160" i="10"/>
  <c r="AN156" i="10"/>
  <c r="AN152" i="10"/>
  <c r="AN148" i="10"/>
  <c r="AN144" i="10"/>
  <c r="AN140" i="10"/>
  <c r="AN136" i="10"/>
  <c r="AN132" i="10"/>
  <c r="AN128" i="10"/>
  <c r="AN124" i="10"/>
  <c r="AN120" i="10"/>
  <c r="AN116" i="10"/>
  <c r="AN111" i="10"/>
  <c r="AN103" i="10"/>
  <c r="AN95" i="10"/>
  <c r="AN87" i="10"/>
  <c r="AN108" i="10"/>
  <c r="AN100" i="10"/>
  <c r="AN84" i="10"/>
  <c r="AN83" i="10"/>
  <c r="AN71" i="10"/>
  <c r="AN63" i="10"/>
  <c r="AN55" i="10"/>
  <c r="AN47" i="10"/>
  <c r="AN43" i="10"/>
  <c r="AN39" i="10"/>
  <c r="AN35" i="10"/>
  <c r="AN31" i="10"/>
  <c r="AN27" i="10"/>
  <c r="AN23" i="10"/>
  <c r="AN94" i="10"/>
  <c r="AN92" i="10"/>
  <c r="AN72" i="10"/>
  <c r="AN64" i="10"/>
  <c r="AN56" i="10"/>
  <c r="AN48" i="10"/>
  <c r="AN199" i="10"/>
  <c r="AN195" i="10"/>
  <c r="AN191" i="10"/>
  <c r="AN187" i="10"/>
  <c r="AN183" i="10"/>
  <c r="AN179" i="10"/>
  <c r="AN175" i="10"/>
  <c r="AN171" i="10"/>
  <c r="AN167" i="10"/>
  <c r="AN163" i="10"/>
  <c r="AN159" i="10"/>
  <c r="AN155" i="10"/>
  <c r="AN151" i="10"/>
  <c r="AN147" i="10"/>
  <c r="AN143" i="10"/>
  <c r="AN139" i="10"/>
  <c r="AN135" i="10"/>
  <c r="AN131" i="10"/>
  <c r="AN127" i="10"/>
  <c r="AN123" i="10"/>
  <c r="AN119" i="10"/>
  <c r="AN115" i="10"/>
  <c r="AN109" i="10"/>
  <c r="AN101" i="10"/>
  <c r="AN93" i="10"/>
  <c r="AN85" i="10"/>
  <c r="AN106" i="10"/>
  <c r="AN98" i="10"/>
  <c r="AN81" i="10"/>
  <c r="AN78" i="10"/>
  <c r="AN69" i="10"/>
  <c r="AN61" i="10"/>
  <c r="AN53" i="10"/>
  <c r="AN46" i="10"/>
  <c r="AN42" i="10"/>
  <c r="AN38" i="10"/>
  <c r="AN34" i="10"/>
  <c r="AN30" i="10"/>
  <c r="AN26" i="10"/>
  <c r="AN22" i="10"/>
  <c r="AN88" i="10"/>
  <c r="AN82" i="10"/>
  <c r="AN70" i="10"/>
  <c r="AN62" i="10"/>
  <c r="AN54" i="10"/>
  <c r="AN7" i="10"/>
  <c r="AN198" i="10"/>
  <c r="AN194" i="10"/>
  <c r="AN190" i="10"/>
  <c r="AN186" i="10"/>
  <c r="AN182" i="10"/>
  <c r="AN178" i="10"/>
  <c r="AN174" i="10"/>
  <c r="AN170" i="10"/>
  <c r="AN166" i="10"/>
  <c r="AN162" i="10"/>
  <c r="AN158" i="10"/>
  <c r="AN154" i="10"/>
  <c r="AN150" i="10"/>
  <c r="AN146" i="10"/>
  <c r="AN142" i="10"/>
  <c r="AN138" i="10"/>
  <c r="AN134" i="10"/>
  <c r="AN130" i="10"/>
  <c r="AN126" i="10"/>
  <c r="AN122" i="10"/>
  <c r="AN118" i="10"/>
  <c r="AN114" i="10"/>
  <c r="AN107" i="10"/>
  <c r="AN99" i="10"/>
  <c r="AN91" i="10"/>
  <c r="AN112" i="10"/>
  <c r="AN104" i="10"/>
  <c r="AN90" i="10"/>
  <c r="AN76" i="10"/>
  <c r="AN75" i="10"/>
  <c r="AN67" i="10"/>
  <c r="AN59" i="10"/>
  <c r="AN51" i="10"/>
  <c r="AN45" i="10"/>
  <c r="AN41" i="10"/>
  <c r="AN37" i="10"/>
  <c r="AN33" i="10"/>
  <c r="AN29" i="10"/>
  <c r="AN25" i="10"/>
  <c r="AN21" i="10"/>
  <c r="AN80" i="10"/>
  <c r="AN79" i="10"/>
  <c r="AN68" i="10"/>
  <c r="AN60" i="10"/>
  <c r="AN52" i="10"/>
  <c r="AN8" i="10"/>
  <c r="AN10" i="10"/>
  <c r="AN12" i="10"/>
  <c r="AN14" i="10"/>
  <c r="AN16" i="10"/>
  <c r="AN19" i="10"/>
  <c r="AN9" i="10"/>
  <c r="AN11" i="10"/>
  <c r="AN13" i="10"/>
  <c r="AN15" i="10"/>
  <c r="AN17" i="10"/>
  <c r="AN6" i="10"/>
  <c r="AN18" i="10"/>
  <c r="DG46" i="10"/>
  <c r="DG14" i="10"/>
  <c r="DG45" i="10"/>
  <c r="DG32" i="10"/>
  <c r="CJ47" i="10"/>
  <c r="BL79" i="10"/>
  <c r="CJ7" i="10"/>
  <c r="CJ9" i="10"/>
  <c r="CJ11" i="10"/>
  <c r="CJ13" i="10"/>
  <c r="CJ15" i="10"/>
  <c r="CJ17" i="10"/>
  <c r="CJ19" i="10"/>
  <c r="CJ21" i="10"/>
  <c r="CJ23" i="10"/>
  <c r="CJ25" i="10"/>
  <c r="CJ27" i="10"/>
  <c r="CJ29" i="10"/>
  <c r="CJ31" i="10"/>
  <c r="CJ33" i="10"/>
  <c r="CJ35" i="10"/>
  <c r="CJ37" i="10"/>
  <c r="CJ39" i="10"/>
  <c r="CJ41" i="10"/>
  <c r="CJ43" i="10"/>
  <c r="CJ45" i="10"/>
  <c r="CJ6" i="10"/>
  <c r="CJ8" i="10"/>
  <c r="CJ10" i="10"/>
  <c r="CJ12" i="10"/>
  <c r="CJ14" i="10"/>
  <c r="CJ16" i="10"/>
  <c r="CJ18" i="10"/>
  <c r="CJ20" i="10"/>
  <c r="CJ22" i="10"/>
  <c r="CJ24" i="10"/>
  <c r="CJ26" i="10"/>
  <c r="CJ28" i="10"/>
  <c r="CJ30" i="10"/>
  <c r="CJ32" i="10"/>
  <c r="CJ34" i="10"/>
  <c r="CJ36" i="10"/>
  <c r="CJ38" i="10"/>
  <c r="CJ40" i="10"/>
  <c r="CJ42" i="10"/>
  <c r="CJ44" i="10"/>
  <c r="CJ46" i="10"/>
  <c r="CJ198" i="10"/>
  <c r="CJ194" i="10"/>
  <c r="CJ190" i="10"/>
  <c r="CJ186" i="10"/>
  <c r="CJ182" i="10"/>
  <c r="CJ178" i="10"/>
  <c r="CJ174" i="10"/>
  <c r="CJ170" i="10"/>
  <c r="CJ165" i="10"/>
  <c r="CJ160" i="10"/>
  <c r="CJ166" i="10"/>
  <c r="CJ154" i="10"/>
  <c r="CJ150" i="10"/>
  <c r="CJ146" i="10"/>
  <c r="CJ142" i="10"/>
  <c r="CJ138" i="10"/>
  <c r="CJ134" i="10"/>
  <c r="CJ130" i="10"/>
  <c r="CJ126" i="10"/>
  <c r="CJ122" i="10"/>
  <c r="CJ118" i="10"/>
  <c r="CJ114" i="10"/>
  <c r="CJ110" i="10"/>
  <c r="CJ106" i="10"/>
  <c r="CJ102" i="10"/>
  <c r="CJ98" i="10"/>
  <c r="CJ94" i="10"/>
  <c r="CJ90" i="10"/>
  <c r="CJ86" i="10"/>
  <c r="CJ82" i="10"/>
  <c r="CJ78" i="10"/>
  <c r="CJ74" i="10"/>
  <c r="CJ70" i="10"/>
  <c r="CJ66" i="10"/>
  <c r="CJ62" i="10"/>
  <c r="CJ58" i="10"/>
  <c r="CJ54" i="10"/>
  <c r="CJ50" i="10"/>
  <c r="CJ197" i="10"/>
  <c r="CJ193" i="10"/>
  <c r="CJ189" i="10"/>
  <c r="CJ185" i="10"/>
  <c r="CJ181" i="10"/>
  <c r="CJ177" i="10"/>
  <c r="CJ173" i="10"/>
  <c r="CJ169" i="10"/>
  <c r="CJ163" i="10"/>
  <c r="CJ159" i="10"/>
  <c r="CJ164" i="10"/>
  <c r="CJ153" i="10"/>
  <c r="CJ149" i="10"/>
  <c r="CJ145" i="10"/>
  <c r="CJ141" i="10"/>
  <c r="CJ137" i="10"/>
  <c r="CJ133" i="10"/>
  <c r="CJ129" i="10"/>
  <c r="CJ125" i="10"/>
  <c r="CJ121" i="10"/>
  <c r="CJ117" i="10"/>
  <c r="CJ113" i="10"/>
  <c r="CJ109" i="10"/>
  <c r="CJ105" i="10"/>
  <c r="CJ101" i="10"/>
  <c r="CJ97" i="10"/>
  <c r="CJ93" i="10"/>
  <c r="CJ89" i="10"/>
  <c r="CJ85" i="10"/>
  <c r="CJ81" i="10"/>
  <c r="CJ77" i="10"/>
  <c r="CJ73" i="10"/>
  <c r="CJ69" i="10"/>
  <c r="CJ65" i="10"/>
  <c r="CJ61" i="10"/>
  <c r="CJ57" i="10"/>
  <c r="CJ53" i="10"/>
  <c r="CJ49" i="10"/>
  <c r="CJ200" i="10"/>
  <c r="CJ196" i="10"/>
  <c r="CJ192" i="10"/>
  <c r="CJ188" i="10"/>
  <c r="CJ184" i="10"/>
  <c r="CJ180" i="10"/>
  <c r="CJ176" i="10"/>
  <c r="CJ172" i="10"/>
  <c r="CJ168" i="10"/>
  <c r="CJ162" i="10"/>
  <c r="CJ158" i="10"/>
  <c r="CJ156" i="10"/>
  <c r="CJ152" i="10"/>
  <c r="CJ148" i="10"/>
  <c r="CJ144" i="10"/>
  <c r="CJ140" i="10"/>
  <c r="CJ136" i="10"/>
  <c r="CJ132" i="10"/>
  <c r="CJ128" i="10"/>
  <c r="CJ124" i="10"/>
  <c r="CJ120" i="10"/>
  <c r="CJ116" i="10"/>
  <c r="CJ112" i="10"/>
  <c r="CJ108" i="10"/>
  <c r="CJ104" i="10"/>
  <c r="CJ100" i="10"/>
  <c r="CJ96" i="10"/>
  <c r="CJ92" i="10"/>
  <c r="CJ88" i="10"/>
  <c r="CJ84" i="10"/>
  <c r="CJ80" i="10"/>
  <c r="CJ76" i="10"/>
  <c r="CJ72" i="10"/>
  <c r="CJ68" i="10"/>
  <c r="CJ64" i="10"/>
  <c r="CJ60" i="10"/>
  <c r="CJ56" i="10"/>
  <c r="CJ52" i="10"/>
  <c r="CJ48" i="10"/>
  <c r="CJ199" i="10"/>
  <c r="CJ195" i="10"/>
  <c r="CJ191" i="10"/>
  <c r="CJ187" i="10"/>
  <c r="CJ183" i="10"/>
  <c r="CJ179" i="10"/>
  <c r="CJ175" i="10"/>
  <c r="CJ171" i="10"/>
  <c r="CJ167" i="10"/>
  <c r="CJ161" i="10"/>
  <c r="CJ157" i="10"/>
  <c r="CJ155" i="10"/>
  <c r="CJ151" i="10"/>
  <c r="CJ147" i="10"/>
  <c r="CJ143" i="10"/>
  <c r="CJ139" i="10"/>
  <c r="CJ135" i="10"/>
  <c r="CJ131" i="10"/>
  <c r="CJ127" i="10"/>
  <c r="CJ123" i="10"/>
  <c r="CJ119" i="10"/>
  <c r="CJ115" i="10"/>
  <c r="CJ111" i="10"/>
  <c r="CJ107" i="10"/>
  <c r="CJ103" i="10"/>
  <c r="CJ99" i="10"/>
  <c r="CJ95" i="10"/>
  <c r="CJ91" i="10"/>
  <c r="CJ87" i="10"/>
  <c r="CJ83" i="10"/>
  <c r="CJ79" i="10"/>
  <c r="CJ75" i="10"/>
  <c r="CJ71" i="10"/>
  <c r="CJ67" i="10"/>
  <c r="CJ63" i="10"/>
  <c r="CJ59" i="10"/>
  <c r="CJ55" i="10"/>
  <c r="CJ51" i="10"/>
  <c r="BL196" i="10"/>
  <c r="DH196" i="10" s="1"/>
  <c r="BL199" i="10"/>
  <c r="BL185" i="10"/>
  <c r="BL190" i="10"/>
  <c r="BL182" i="10"/>
  <c r="BL174" i="10"/>
  <c r="DH174" i="10" s="1"/>
  <c r="BL166" i="10"/>
  <c r="BL161" i="10"/>
  <c r="DH161" i="10" s="1"/>
  <c r="BL157" i="10"/>
  <c r="DH157" i="10" s="1"/>
  <c r="BL153" i="10"/>
  <c r="BL149" i="10"/>
  <c r="BL145" i="10"/>
  <c r="BL141" i="10"/>
  <c r="BL137" i="10"/>
  <c r="BL133" i="10"/>
  <c r="BL129" i="10"/>
  <c r="BL125" i="10"/>
  <c r="BL121" i="10"/>
  <c r="BL179" i="10"/>
  <c r="BL117" i="10"/>
  <c r="BL113" i="10"/>
  <c r="BL109" i="10"/>
  <c r="BL105" i="10"/>
  <c r="BL181" i="10"/>
  <c r="BL165" i="10"/>
  <c r="DH165" i="10" s="1"/>
  <c r="BL94" i="10"/>
  <c r="DH94" i="10" s="1"/>
  <c r="BL86" i="10"/>
  <c r="DH86" i="10" s="1"/>
  <c r="BL78" i="10"/>
  <c r="BL70" i="10"/>
  <c r="DH70" i="10" s="1"/>
  <c r="BL99" i="10"/>
  <c r="BL91" i="10"/>
  <c r="BL7" i="10"/>
  <c r="BL13" i="10"/>
  <c r="BL21" i="10"/>
  <c r="DH21" i="10" s="1"/>
  <c r="BL27" i="10"/>
  <c r="DH27" i="10" s="1"/>
  <c r="BL35" i="10"/>
  <c r="DH35" i="10" s="1"/>
  <c r="BL69" i="10"/>
  <c r="BL73" i="10"/>
  <c r="BL194" i="10"/>
  <c r="DH194" i="10" s="1"/>
  <c r="BL191" i="10"/>
  <c r="BL183" i="10"/>
  <c r="BL188" i="10"/>
  <c r="BL180" i="10"/>
  <c r="BL172" i="10"/>
  <c r="BL164" i="10"/>
  <c r="DH164" i="10" s="1"/>
  <c r="BL160" i="10"/>
  <c r="DH160" i="10" s="1"/>
  <c r="BL156" i="10"/>
  <c r="DH156" i="10" s="1"/>
  <c r="BL152" i="10"/>
  <c r="DH152" i="10" s="1"/>
  <c r="BL148" i="10"/>
  <c r="DH148" i="10" s="1"/>
  <c r="BL144" i="10"/>
  <c r="DH144" i="10" s="1"/>
  <c r="BL140" i="10"/>
  <c r="DH140" i="10" s="1"/>
  <c r="BL136" i="10"/>
  <c r="DH136" i="10" s="1"/>
  <c r="BL132" i="10"/>
  <c r="DH132" i="10" s="1"/>
  <c r="BL128" i="10"/>
  <c r="DH128" i="10" s="1"/>
  <c r="BL124" i="10"/>
  <c r="DH124" i="10" s="1"/>
  <c r="BL120" i="10"/>
  <c r="DH120" i="10" s="1"/>
  <c r="BL175" i="10"/>
  <c r="DH175" i="10" s="1"/>
  <c r="BL116" i="10"/>
  <c r="BL112" i="10"/>
  <c r="BL108" i="10"/>
  <c r="BL104" i="10"/>
  <c r="BL177" i="10"/>
  <c r="BL100" i="10"/>
  <c r="BL92" i="10"/>
  <c r="BL84" i="10"/>
  <c r="DH84" i="10" s="1"/>
  <c r="BL76" i="10"/>
  <c r="BL68" i="10"/>
  <c r="BL97" i="10"/>
  <c r="BL89" i="10"/>
  <c r="DH89" i="10" s="1"/>
  <c r="BL15" i="10"/>
  <c r="BL29" i="10"/>
  <c r="BL37" i="10"/>
  <c r="BL200" i="10"/>
  <c r="DH200" i="10" s="1"/>
  <c r="BL192" i="10"/>
  <c r="DH192" i="10" s="1"/>
  <c r="BL189" i="10"/>
  <c r="DH189" i="10" s="1"/>
  <c r="BL193" i="10"/>
  <c r="BL186" i="10"/>
  <c r="BL178" i="10"/>
  <c r="DH178" i="10" s="1"/>
  <c r="BL170" i="10"/>
  <c r="DH170" i="10" s="1"/>
  <c r="BL163" i="10"/>
  <c r="BL159" i="10"/>
  <c r="BL155" i="10"/>
  <c r="DH155" i="10" s="1"/>
  <c r="BL151" i="10"/>
  <c r="DH151" i="10" s="1"/>
  <c r="BL147" i="10"/>
  <c r="DH147" i="10" s="1"/>
  <c r="BL143" i="10"/>
  <c r="DH143" i="10" s="1"/>
  <c r="BL139" i="10"/>
  <c r="DH139" i="10" s="1"/>
  <c r="BL135" i="10"/>
  <c r="DH135" i="10" s="1"/>
  <c r="BL131" i="10"/>
  <c r="DH131" i="10" s="1"/>
  <c r="BL127" i="10"/>
  <c r="DH127" i="10" s="1"/>
  <c r="BL123" i="10"/>
  <c r="DH123" i="10" s="1"/>
  <c r="BL119" i="10"/>
  <c r="DH119" i="10" s="1"/>
  <c r="BL171" i="10"/>
  <c r="BL115" i="10"/>
  <c r="BL111" i="10"/>
  <c r="BL107" i="10"/>
  <c r="BL103" i="10"/>
  <c r="BL173" i="10"/>
  <c r="DH173" i="10" s="1"/>
  <c r="BL98" i="10"/>
  <c r="DH98" i="10" s="1"/>
  <c r="BL90" i="10"/>
  <c r="DH90" i="10" s="1"/>
  <c r="BL82" i="10"/>
  <c r="DH82" i="10" s="1"/>
  <c r="BL74" i="10"/>
  <c r="BL66" i="10"/>
  <c r="DH66" i="10" s="1"/>
  <c r="BL95" i="10"/>
  <c r="DH95" i="10" s="1"/>
  <c r="BL87" i="10"/>
  <c r="BL6" i="10"/>
  <c r="BL8" i="10"/>
  <c r="DH8" i="10" s="1"/>
  <c r="BL9" i="10"/>
  <c r="DH9" i="10" s="1"/>
  <c r="BL17" i="10"/>
  <c r="DH17" i="10" s="1"/>
  <c r="BL23" i="10"/>
  <c r="BL31" i="10"/>
  <c r="BL81" i="10"/>
  <c r="DH81" i="10" s="1"/>
  <c r="BL198" i="10"/>
  <c r="DH198" i="10" s="1"/>
  <c r="BL197" i="10"/>
  <c r="BL187" i="10"/>
  <c r="DH187" i="10" s="1"/>
  <c r="BL195" i="10"/>
  <c r="DH195" i="10" s="1"/>
  <c r="BL184" i="10"/>
  <c r="DH184" i="10" s="1"/>
  <c r="BL176" i="10"/>
  <c r="BL168" i="10"/>
  <c r="DH168" i="10" s="1"/>
  <c r="BL162" i="10"/>
  <c r="DH162" i="10" s="1"/>
  <c r="BL158" i="10"/>
  <c r="BL154" i="10"/>
  <c r="BL150" i="10"/>
  <c r="DH150" i="10" s="1"/>
  <c r="BL146" i="10"/>
  <c r="DH146" i="10" s="1"/>
  <c r="BL142" i="10"/>
  <c r="BL138" i="10"/>
  <c r="BL134" i="10"/>
  <c r="DH134" i="10" s="1"/>
  <c r="BL130" i="10"/>
  <c r="DH130" i="10" s="1"/>
  <c r="BL126" i="10"/>
  <c r="BL122" i="10"/>
  <c r="BL118" i="10"/>
  <c r="DH118" i="10" s="1"/>
  <c r="BL167" i="10"/>
  <c r="DH167" i="10" s="1"/>
  <c r="BL114" i="10"/>
  <c r="DH114" i="10" s="1"/>
  <c r="BL110" i="10"/>
  <c r="BL106" i="10"/>
  <c r="BL102" i="10"/>
  <c r="DH102" i="10" s="1"/>
  <c r="BL169" i="10"/>
  <c r="DH169" i="10" s="1"/>
  <c r="BL96" i="10"/>
  <c r="BL88" i="10"/>
  <c r="DH88" i="10" s="1"/>
  <c r="BL80" i="10"/>
  <c r="BL72" i="10"/>
  <c r="DH72" i="10" s="1"/>
  <c r="BL101" i="10"/>
  <c r="BL93" i="10"/>
  <c r="DH93" i="10" s="1"/>
  <c r="BL85" i="10"/>
  <c r="BL11" i="10"/>
  <c r="DH11" i="10" s="1"/>
  <c r="BL19" i="10"/>
  <c r="DH19" i="10" s="1"/>
  <c r="BL25" i="10"/>
  <c r="DH25" i="10" s="1"/>
  <c r="BL33" i="10"/>
  <c r="DH33" i="10" s="1"/>
  <c r="BL67" i="10"/>
  <c r="DH67" i="10" s="1"/>
  <c r="BL83" i="10"/>
  <c r="DH83" i="10" s="1"/>
  <c r="BL71" i="10"/>
  <c r="BL75" i="10"/>
  <c r="BL18" i="10"/>
  <c r="DH18" i="10" s="1"/>
  <c r="BL24" i="10"/>
  <c r="DH24" i="10" s="1"/>
  <c r="BL30" i="10"/>
  <c r="BL36" i="10"/>
  <c r="BL39" i="10"/>
  <c r="BL43" i="10"/>
  <c r="DH43" i="10" s="1"/>
  <c r="BL47" i="10"/>
  <c r="DH47" i="10" s="1"/>
  <c r="BL51" i="10"/>
  <c r="DH51" i="10" s="1"/>
  <c r="BL55" i="10"/>
  <c r="BL59" i="10"/>
  <c r="BL10" i="10"/>
  <c r="DH10" i="10" s="1"/>
  <c r="BL12" i="10"/>
  <c r="BL14" i="10"/>
  <c r="BL16" i="10"/>
  <c r="DH16" i="10" s="1"/>
  <c r="BL28" i="10"/>
  <c r="DH28" i="10" s="1"/>
  <c r="BL40" i="10"/>
  <c r="DH40" i="10" s="1"/>
  <c r="BL42" i="10"/>
  <c r="DH42" i="10" s="1"/>
  <c r="BL49" i="10"/>
  <c r="BL56" i="10"/>
  <c r="DH56" i="10" s="1"/>
  <c r="BL58" i="10"/>
  <c r="DH58" i="10" s="1"/>
  <c r="BL63" i="10"/>
  <c r="DH63" i="10" s="1"/>
  <c r="BL77" i="10"/>
  <c r="DH77" i="10" s="1"/>
  <c r="BL44" i="10"/>
  <c r="DH44" i="10" s="1"/>
  <c r="BL46" i="10"/>
  <c r="DH46" i="10" s="1"/>
  <c r="BL53" i="10"/>
  <c r="BL60" i="10"/>
  <c r="BL62" i="10"/>
  <c r="DH62" i="10" s="1"/>
  <c r="BL41" i="10"/>
  <c r="DH41" i="10" s="1"/>
  <c r="BL48" i="10"/>
  <c r="BL50" i="10"/>
  <c r="DH50" i="10" s="1"/>
  <c r="BL57" i="10"/>
  <c r="DH57" i="10" s="1"/>
  <c r="BL65" i="10"/>
  <c r="DH65" i="10" s="1"/>
  <c r="BL20" i="10"/>
  <c r="BL22" i="10"/>
  <c r="BL26" i="10"/>
  <c r="DH26" i="10" s="1"/>
  <c r="BL32" i="10"/>
  <c r="DH32" i="10" s="1"/>
  <c r="BL34" i="10"/>
  <c r="DH34" i="10" s="1"/>
  <c r="BL38" i="10"/>
  <c r="BL45" i="10"/>
  <c r="DH45" i="10" s="1"/>
  <c r="BL52" i="10"/>
  <c r="DH52" i="10" s="1"/>
  <c r="BL54" i="10"/>
  <c r="DH54" i="10" s="1"/>
  <c r="BL61" i="10"/>
  <c r="DH61" i="10" s="1"/>
  <c r="BL64" i="10"/>
  <c r="DH64" i="10" s="1"/>
  <c r="AC18" i="4"/>
  <c r="AC121" i="4"/>
  <c r="AC25" i="4"/>
  <c r="AC143" i="4"/>
  <c r="AB114" i="4"/>
  <c r="AC144" i="4"/>
  <c r="AC145" i="4"/>
  <c r="AB136" i="4"/>
  <c r="AC123" i="4"/>
  <c r="AC26" i="4"/>
  <c r="AC122" i="4"/>
  <c r="AC27" i="4"/>
  <c r="AF5" i="4"/>
  <c r="AF12" i="4"/>
  <c r="AS4" i="28"/>
  <c r="AT4" i="28"/>
  <c r="AG7" i="4"/>
  <c r="AG128" i="4"/>
  <c r="AG127" i="4" s="1"/>
  <c r="AG106" i="4"/>
  <c r="AG105" i="4" s="1"/>
  <c r="AF3" i="4"/>
  <c r="AF4" i="4"/>
  <c r="K25" i="11"/>
  <c r="L24" i="11"/>
  <c r="DH179" i="10" l="1"/>
  <c r="DH111" i="10"/>
  <c r="DH116" i="10"/>
  <c r="DH73" i="10"/>
  <c r="DH121" i="10"/>
  <c r="DH137" i="10"/>
  <c r="DH153" i="10"/>
  <c r="DH30" i="10"/>
  <c r="DH71" i="10"/>
  <c r="DH106" i="10"/>
  <c r="DH31" i="10"/>
  <c r="DH15" i="10"/>
  <c r="DH76" i="10"/>
  <c r="DH177" i="10"/>
  <c r="DH38" i="10"/>
  <c r="DH22" i="10"/>
  <c r="DH60" i="10"/>
  <c r="DH49" i="10"/>
  <c r="DH122" i="10"/>
  <c r="DH138" i="10"/>
  <c r="DH154" i="10"/>
  <c r="DH23" i="10"/>
  <c r="DH6" i="10"/>
  <c r="DH74" i="10"/>
  <c r="DH159" i="10"/>
  <c r="DH186" i="10"/>
  <c r="DH113" i="10"/>
  <c r="DH14" i="10"/>
  <c r="DH55" i="10"/>
  <c r="DH39" i="10"/>
  <c r="DH87" i="10"/>
  <c r="DH103" i="10"/>
  <c r="DH193" i="10"/>
  <c r="DH97" i="10"/>
  <c r="DH92" i="10"/>
  <c r="DH108" i="10"/>
  <c r="DH172" i="10"/>
  <c r="DH7" i="10"/>
  <c r="DH129" i="10"/>
  <c r="DH145" i="10"/>
  <c r="DH59" i="10"/>
  <c r="DH101" i="10"/>
  <c r="DH96" i="10"/>
  <c r="DH110" i="10"/>
  <c r="DH176" i="10"/>
  <c r="DH197" i="10"/>
  <c r="DH69" i="10"/>
  <c r="DH13" i="10"/>
  <c r="DH20" i="10"/>
  <c r="DH48" i="10"/>
  <c r="DH53" i="10"/>
  <c r="DH126" i="10"/>
  <c r="DH142" i="10"/>
  <c r="DH158" i="10"/>
  <c r="DH171" i="10"/>
  <c r="DH163" i="10"/>
  <c r="DH37" i="10"/>
  <c r="DH78" i="10"/>
  <c r="DH181" i="10"/>
  <c r="DH117" i="10"/>
  <c r="DH190" i="10"/>
  <c r="DH12" i="10"/>
  <c r="DH36" i="10"/>
  <c r="DH75" i="10"/>
  <c r="DH85" i="10"/>
  <c r="DH80" i="10"/>
  <c r="DH107" i="10"/>
  <c r="DH29" i="10"/>
  <c r="DH112" i="10"/>
  <c r="DH133" i="10"/>
  <c r="DH149" i="10"/>
  <c r="DH166" i="10"/>
  <c r="DH91" i="10"/>
  <c r="DH191" i="10"/>
  <c r="DH68" i="10"/>
  <c r="DH100" i="10"/>
  <c r="DH180" i="10"/>
  <c r="DH105" i="10"/>
  <c r="DH185" i="10"/>
  <c r="AG12" i="4"/>
  <c r="AG13" i="4"/>
  <c r="AP4" i="10"/>
  <c r="DJ4" i="10"/>
  <c r="CL4" i="10"/>
  <c r="BN4" i="10"/>
  <c r="DH188" i="10"/>
  <c r="DH99" i="10"/>
  <c r="DH109" i="10"/>
  <c r="DH199" i="10"/>
  <c r="DH79" i="10"/>
  <c r="AE120" i="4"/>
  <c r="AE119" i="4"/>
  <c r="AE108" i="4"/>
  <c r="AE24" i="4"/>
  <c r="AE23" i="4"/>
  <c r="AE130" i="4"/>
  <c r="AE142" i="4"/>
  <c r="AE141" i="4"/>
  <c r="AE10" i="4"/>
  <c r="AE118" i="4"/>
  <c r="AE140" i="4"/>
  <c r="AE22" i="4"/>
  <c r="AO3" i="10"/>
  <c r="DI3" i="10"/>
  <c r="CK3" i="10"/>
  <c r="BM3" i="10"/>
  <c r="DH115" i="10"/>
  <c r="DH104" i="10"/>
  <c r="DH183" i="10"/>
  <c r="DH125" i="10"/>
  <c r="DH141" i="10"/>
  <c r="DH182" i="10"/>
  <c r="AO197" i="10"/>
  <c r="AO184" i="10"/>
  <c r="AO180" i="10"/>
  <c r="AO176" i="10"/>
  <c r="AO172" i="10"/>
  <c r="AO168" i="10"/>
  <c r="AO164" i="10"/>
  <c r="AO190" i="10"/>
  <c r="AO159" i="10"/>
  <c r="AO151" i="10"/>
  <c r="AO195" i="10"/>
  <c r="AO162" i="10"/>
  <c r="AO154" i="10"/>
  <c r="AO146" i="10"/>
  <c r="AO138" i="10"/>
  <c r="AO132" i="10"/>
  <c r="AO128" i="10"/>
  <c r="AO124" i="10"/>
  <c r="AO120" i="10"/>
  <c r="AO116" i="10"/>
  <c r="AO112" i="10"/>
  <c r="AO108" i="10"/>
  <c r="AO104" i="10"/>
  <c r="AO100" i="10"/>
  <c r="AO96" i="10"/>
  <c r="AO92" i="10"/>
  <c r="AO88" i="10"/>
  <c r="AO84" i="10"/>
  <c r="AO80" i="10"/>
  <c r="AO76" i="10"/>
  <c r="AO137" i="10"/>
  <c r="AO73" i="10"/>
  <c r="AO65" i="10"/>
  <c r="AO57" i="10"/>
  <c r="AO49" i="10"/>
  <c r="AO44" i="10"/>
  <c r="AO40" i="10"/>
  <c r="AO36" i="10"/>
  <c r="AO32" i="10"/>
  <c r="AO28" i="10"/>
  <c r="AO24" i="10"/>
  <c r="AO20" i="10"/>
  <c r="AO68" i="10"/>
  <c r="AO60" i="10"/>
  <c r="AO52" i="10"/>
  <c r="AO6" i="10"/>
  <c r="AO198" i="10"/>
  <c r="AO185" i="10"/>
  <c r="AO181" i="10"/>
  <c r="AO177" i="10"/>
  <c r="AO173" i="10"/>
  <c r="AO169" i="10"/>
  <c r="AO165" i="10"/>
  <c r="AO192" i="10"/>
  <c r="AO161" i="10"/>
  <c r="AO153" i="10"/>
  <c r="AO145" i="10"/>
  <c r="AO189" i="10"/>
  <c r="AO156" i="10"/>
  <c r="AO148" i="10"/>
  <c r="AO140" i="10"/>
  <c r="AO133" i="10"/>
  <c r="AO129" i="10"/>
  <c r="AO125" i="10"/>
  <c r="AO121" i="10"/>
  <c r="AO117" i="10"/>
  <c r="AO113" i="10"/>
  <c r="AO109" i="10"/>
  <c r="AO105" i="10"/>
  <c r="AO101" i="10"/>
  <c r="AO97" i="10"/>
  <c r="AO93" i="10"/>
  <c r="AO89" i="10"/>
  <c r="AO85" i="10"/>
  <c r="AO81" i="10"/>
  <c r="AO77" i="10"/>
  <c r="AO141" i="10"/>
  <c r="AO135" i="10"/>
  <c r="AO67" i="10"/>
  <c r="AO59" i="10"/>
  <c r="AO51" i="10"/>
  <c r="AO45" i="10"/>
  <c r="AO41" i="10"/>
  <c r="AO37" i="10"/>
  <c r="AO33" i="10"/>
  <c r="AO29" i="10"/>
  <c r="AO25" i="10"/>
  <c r="AO21" i="10"/>
  <c r="AO70" i="10"/>
  <c r="AO62" i="10"/>
  <c r="AO54" i="10"/>
  <c r="AO187" i="10"/>
  <c r="AO179" i="10"/>
  <c r="AO171" i="10"/>
  <c r="AO196" i="10"/>
  <c r="AO157" i="10"/>
  <c r="AO193" i="10"/>
  <c r="AO152" i="10"/>
  <c r="AO136" i="10"/>
  <c r="AO127" i="10"/>
  <c r="AO119" i="10"/>
  <c r="AO111" i="10"/>
  <c r="AO103" i="10"/>
  <c r="AO95" i="10"/>
  <c r="AO87" i="10"/>
  <c r="AO79" i="10"/>
  <c r="AO143" i="10"/>
  <c r="AO63" i="10"/>
  <c r="AO47" i="10"/>
  <c r="AO39" i="10"/>
  <c r="AO31" i="10"/>
  <c r="AO23" i="10"/>
  <c r="AO66" i="10"/>
  <c r="AO50" i="10"/>
  <c r="AO15" i="10"/>
  <c r="AO186" i="10"/>
  <c r="AO178" i="10"/>
  <c r="AO170" i="10"/>
  <c r="AO194" i="10"/>
  <c r="AO155" i="10"/>
  <c r="AO191" i="10"/>
  <c r="AO150" i="10"/>
  <c r="AO134" i="10"/>
  <c r="AO126" i="10"/>
  <c r="AO118" i="10"/>
  <c r="AO110" i="10"/>
  <c r="AO102" i="10"/>
  <c r="AO94" i="10"/>
  <c r="AO86" i="10"/>
  <c r="AO78" i="10"/>
  <c r="AO139" i="10"/>
  <c r="AO61" i="10"/>
  <c r="AO46" i="10"/>
  <c r="AO38" i="10"/>
  <c r="AO30" i="10"/>
  <c r="AO22" i="10"/>
  <c r="AO64" i="10"/>
  <c r="AO48" i="10"/>
  <c r="AO10" i="10"/>
  <c r="AO200" i="10"/>
  <c r="AO183" i="10"/>
  <c r="AO175" i="10"/>
  <c r="AO167" i="10"/>
  <c r="AO188" i="10"/>
  <c r="AO149" i="10"/>
  <c r="AO160" i="10"/>
  <c r="AO144" i="10"/>
  <c r="AO131" i="10"/>
  <c r="AO123" i="10"/>
  <c r="AO115" i="10"/>
  <c r="AO107" i="10"/>
  <c r="AO99" i="10"/>
  <c r="AO91" i="10"/>
  <c r="AO83" i="10"/>
  <c r="AO75" i="10"/>
  <c r="AO71" i="10"/>
  <c r="AO55" i="10"/>
  <c r="AO43" i="10"/>
  <c r="AO35" i="10"/>
  <c r="AO27" i="10"/>
  <c r="AO19" i="10"/>
  <c r="AO58" i="10"/>
  <c r="AO182" i="10"/>
  <c r="AO147" i="10"/>
  <c r="AO122" i="10"/>
  <c r="AO90" i="10"/>
  <c r="AO53" i="10"/>
  <c r="AO72" i="10"/>
  <c r="AO18" i="10"/>
  <c r="AO174" i="10"/>
  <c r="AO158" i="10"/>
  <c r="AO114" i="10"/>
  <c r="AO82" i="10"/>
  <c r="AO42" i="10"/>
  <c r="AO56" i="10"/>
  <c r="AO8" i="10"/>
  <c r="AO11" i="10"/>
  <c r="AO12" i="10"/>
  <c r="AO9" i="10"/>
  <c r="AO13" i="10"/>
  <c r="AO166" i="10"/>
  <c r="AO142" i="10"/>
  <c r="AO106" i="10"/>
  <c r="AO74" i="10"/>
  <c r="AO34" i="10"/>
  <c r="AO16" i="10"/>
  <c r="AO17" i="10"/>
  <c r="AO7" i="10"/>
  <c r="AO199" i="10"/>
  <c r="AO163" i="10"/>
  <c r="AO130" i="10"/>
  <c r="AO98" i="10"/>
  <c r="AO69" i="10"/>
  <c r="AO26" i="10"/>
  <c r="AO14" i="10"/>
  <c r="AE11" i="4"/>
  <c r="AE109" i="4"/>
  <c r="AE131" i="4"/>
  <c r="AE134" i="4"/>
  <c r="AE113" i="4"/>
  <c r="AE17" i="4"/>
  <c r="AE16" i="4"/>
  <c r="AE135" i="4"/>
  <c r="AE112" i="4"/>
  <c r="CK52" i="10"/>
  <c r="CK6" i="10"/>
  <c r="CK7" i="10"/>
  <c r="CK9" i="10"/>
  <c r="CK11" i="10"/>
  <c r="CK13" i="10"/>
  <c r="CK15" i="10"/>
  <c r="CK17" i="10"/>
  <c r="CK19" i="10"/>
  <c r="CK21" i="10"/>
  <c r="CK23" i="10"/>
  <c r="CK25" i="10"/>
  <c r="CK27" i="10"/>
  <c r="CK29" i="10"/>
  <c r="CK31" i="10"/>
  <c r="CK33" i="10"/>
  <c r="CK35" i="10"/>
  <c r="CK37" i="10"/>
  <c r="CK39" i="10"/>
  <c r="CK41" i="10"/>
  <c r="CK43" i="10"/>
  <c r="CK45" i="10"/>
  <c r="CK48" i="10"/>
  <c r="CK47" i="10"/>
  <c r="CK8" i="10"/>
  <c r="CK10" i="10"/>
  <c r="CK12" i="10"/>
  <c r="CK14" i="10"/>
  <c r="CK16" i="10"/>
  <c r="CK18" i="10"/>
  <c r="CK20" i="10"/>
  <c r="CK22" i="10"/>
  <c r="CK24" i="10"/>
  <c r="CK26" i="10"/>
  <c r="CK28" i="10"/>
  <c r="CK30" i="10"/>
  <c r="CK32" i="10"/>
  <c r="CK34" i="10"/>
  <c r="CK36" i="10"/>
  <c r="CK38" i="10"/>
  <c r="CK40" i="10"/>
  <c r="CK42" i="10"/>
  <c r="CK44" i="10"/>
  <c r="CK46" i="10"/>
  <c r="CK50" i="10"/>
  <c r="CK49" i="10"/>
  <c r="CK192" i="10"/>
  <c r="CK188" i="10"/>
  <c r="CK184" i="10"/>
  <c r="CK180" i="10"/>
  <c r="CK176" i="10"/>
  <c r="CK172" i="10"/>
  <c r="CK168" i="10"/>
  <c r="CK164" i="10"/>
  <c r="CK194" i="10"/>
  <c r="CK161" i="10"/>
  <c r="CK157" i="10"/>
  <c r="CK153" i="10"/>
  <c r="CK149" i="10"/>
  <c r="CK200" i="10"/>
  <c r="CK190" i="10"/>
  <c r="CK185" i="10"/>
  <c r="CK179" i="10"/>
  <c r="CK174" i="10"/>
  <c r="CK169" i="10"/>
  <c r="CK163" i="10"/>
  <c r="CK198" i="10"/>
  <c r="CK158" i="10"/>
  <c r="CK152" i="10"/>
  <c r="CK147" i="10"/>
  <c r="CK143" i="10"/>
  <c r="CK139" i="10"/>
  <c r="CK135" i="10"/>
  <c r="CK131" i="10"/>
  <c r="CK127" i="10"/>
  <c r="CK123" i="10"/>
  <c r="CK119" i="10"/>
  <c r="CK115" i="10"/>
  <c r="CK111" i="10"/>
  <c r="CK107" i="10"/>
  <c r="CK103" i="10"/>
  <c r="CK99" i="10"/>
  <c r="CK95" i="10"/>
  <c r="CK91" i="10"/>
  <c r="CK87" i="10"/>
  <c r="CK83" i="10"/>
  <c r="CK79" i="10"/>
  <c r="CK75" i="10"/>
  <c r="CK71" i="10"/>
  <c r="CK67" i="10"/>
  <c r="CK63" i="10"/>
  <c r="CK59" i="10"/>
  <c r="CK55" i="10"/>
  <c r="CK199" i="10"/>
  <c r="CK189" i="10"/>
  <c r="CK183" i="10"/>
  <c r="CK178" i="10"/>
  <c r="CK173" i="10"/>
  <c r="CK167" i="10"/>
  <c r="CK196" i="10"/>
  <c r="CK162" i="10"/>
  <c r="CK156" i="10"/>
  <c r="CK151" i="10"/>
  <c r="CK146" i="10"/>
  <c r="CK142" i="10"/>
  <c r="CK138" i="10"/>
  <c r="CK134" i="10"/>
  <c r="CK130" i="10"/>
  <c r="CK126" i="10"/>
  <c r="CK122" i="10"/>
  <c r="CK118" i="10"/>
  <c r="CK114" i="10"/>
  <c r="CK110" i="10"/>
  <c r="CK106" i="10"/>
  <c r="CK102" i="10"/>
  <c r="CK98" i="10"/>
  <c r="CK94" i="10"/>
  <c r="CK90" i="10"/>
  <c r="CK86" i="10"/>
  <c r="CK82" i="10"/>
  <c r="CK78" i="10"/>
  <c r="CK74" i="10"/>
  <c r="CK70" i="10"/>
  <c r="CK66" i="10"/>
  <c r="CK62" i="10"/>
  <c r="CK58" i="10"/>
  <c r="CK54" i="10"/>
  <c r="CK197" i="10"/>
  <c r="CK187" i="10"/>
  <c r="CK182" i="10"/>
  <c r="CK177" i="10"/>
  <c r="CK171" i="10"/>
  <c r="CK166" i="10"/>
  <c r="CK195" i="10"/>
  <c r="CK160" i="10"/>
  <c r="CK155" i="10"/>
  <c r="CK150" i="10"/>
  <c r="CK145" i="10"/>
  <c r="CK141" i="10"/>
  <c r="CK137" i="10"/>
  <c r="CK133" i="10"/>
  <c r="CK129" i="10"/>
  <c r="CK125" i="10"/>
  <c r="CK121" i="10"/>
  <c r="CK117" i="10"/>
  <c r="CK113" i="10"/>
  <c r="CK109" i="10"/>
  <c r="CK105" i="10"/>
  <c r="CK101" i="10"/>
  <c r="CK97" i="10"/>
  <c r="CK93" i="10"/>
  <c r="CK89" i="10"/>
  <c r="CK85" i="10"/>
  <c r="CK81" i="10"/>
  <c r="CK77" i="10"/>
  <c r="CK73" i="10"/>
  <c r="CK69" i="10"/>
  <c r="CK65" i="10"/>
  <c r="CK61" i="10"/>
  <c r="CK57" i="10"/>
  <c r="CK191" i="10"/>
  <c r="CK186" i="10"/>
  <c r="CK181" i="10"/>
  <c r="CK175" i="10"/>
  <c r="CK170" i="10"/>
  <c r="CK165" i="10"/>
  <c r="CK193" i="10"/>
  <c r="CK159" i="10"/>
  <c r="CK154" i="10"/>
  <c r="CK148" i="10"/>
  <c r="CK144" i="10"/>
  <c r="CK140" i="10"/>
  <c r="CK136" i="10"/>
  <c r="CK132" i="10"/>
  <c r="CK128" i="10"/>
  <c r="CK124" i="10"/>
  <c r="CK120" i="10"/>
  <c r="CK116" i="10"/>
  <c r="CK112" i="10"/>
  <c r="CK108" i="10"/>
  <c r="CK104" i="10"/>
  <c r="CK100" i="10"/>
  <c r="CK96" i="10"/>
  <c r="CK92" i="10"/>
  <c r="CK88" i="10"/>
  <c r="CK84" i="10"/>
  <c r="CK80" i="10"/>
  <c r="CK76" i="10"/>
  <c r="CK72" i="10"/>
  <c r="CK68" i="10"/>
  <c r="CK64" i="10"/>
  <c r="CK60" i="10"/>
  <c r="CK56" i="10"/>
  <c r="CK51" i="10"/>
  <c r="BM189" i="10"/>
  <c r="DI189" i="10" s="1"/>
  <c r="BM185" i="10"/>
  <c r="BM181" i="10"/>
  <c r="BM177" i="10"/>
  <c r="BM173" i="10"/>
  <c r="BM169" i="10"/>
  <c r="DI169" i="10" s="1"/>
  <c r="BM165" i="10"/>
  <c r="BM191" i="10"/>
  <c r="BM195" i="10"/>
  <c r="BM147" i="10"/>
  <c r="BM139" i="10"/>
  <c r="BM131" i="10"/>
  <c r="DI131" i="10" s="1"/>
  <c r="BM123" i="10"/>
  <c r="BM144" i="10"/>
  <c r="BM162" i="10"/>
  <c r="DI162" i="10" s="1"/>
  <c r="BM158" i="10"/>
  <c r="DI158" i="10" s="1"/>
  <c r="BM154" i="10"/>
  <c r="BM150" i="10"/>
  <c r="BM116" i="10"/>
  <c r="BM112" i="10"/>
  <c r="BM108" i="10"/>
  <c r="BM104" i="10"/>
  <c r="BM100" i="10"/>
  <c r="BM96" i="10"/>
  <c r="BM92" i="10"/>
  <c r="BM88" i="10"/>
  <c r="BM84" i="10"/>
  <c r="BM80" i="10"/>
  <c r="BM76" i="10"/>
  <c r="BM72" i="10"/>
  <c r="BM68" i="10"/>
  <c r="BM128" i="10"/>
  <c r="BM64" i="10"/>
  <c r="DI64" i="10" s="1"/>
  <c r="BM60" i="10"/>
  <c r="DI60" i="10" s="1"/>
  <c r="BM56" i="10"/>
  <c r="DI56" i="10" s="1"/>
  <c r="BM52" i="10"/>
  <c r="DI52" i="10" s="1"/>
  <c r="BM48" i="10"/>
  <c r="DI48" i="10" s="1"/>
  <c r="BM44" i="10"/>
  <c r="BM40" i="10"/>
  <c r="DI40" i="10" s="1"/>
  <c r="BM134" i="10"/>
  <c r="BM118" i="10"/>
  <c r="DI118" i="10" s="1"/>
  <c r="BM188" i="10"/>
  <c r="DI188" i="10" s="1"/>
  <c r="BM184" i="10"/>
  <c r="DI184" i="10" s="1"/>
  <c r="BM180" i="10"/>
  <c r="DI180" i="10" s="1"/>
  <c r="BM176" i="10"/>
  <c r="DI176" i="10" s="1"/>
  <c r="BM172" i="10"/>
  <c r="DI172" i="10" s="1"/>
  <c r="BM168" i="10"/>
  <c r="DI168" i="10" s="1"/>
  <c r="BM164" i="10"/>
  <c r="DI164" i="10" s="1"/>
  <c r="BM196" i="10"/>
  <c r="BM200" i="10"/>
  <c r="DI200" i="10" s="1"/>
  <c r="BM145" i="10"/>
  <c r="BM137" i="10"/>
  <c r="BM129" i="10"/>
  <c r="DI129" i="10" s="1"/>
  <c r="BM121" i="10"/>
  <c r="DI121" i="10" s="1"/>
  <c r="BM142" i="10"/>
  <c r="DI142" i="10" s="1"/>
  <c r="BM161" i="10"/>
  <c r="DI161" i="10" s="1"/>
  <c r="BM157" i="10"/>
  <c r="DI157" i="10" s="1"/>
  <c r="BM153" i="10"/>
  <c r="DI153" i="10" s="1"/>
  <c r="BM149" i="10"/>
  <c r="BM115" i="10"/>
  <c r="DI115" i="10" s="1"/>
  <c r="BM111" i="10"/>
  <c r="DI111" i="10" s="1"/>
  <c r="BM107" i="10"/>
  <c r="DI107" i="10" s="1"/>
  <c r="BM103" i="10"/>
  <c r="DI103" i="10" s="1"/>
  <c r="BM99" i="10"/>
  <c r="DI99" i="10" s="1"/>
  <c r="BM95" i="10"/>
  <c r="DI95" i="10" s="1"/>
  <c r="BM91" i="10"/>
  <c r="DI91" i="10" s="1"/>
  <c r="BM87" i="10"/>
  <c r="DI87" i="10" s="1"/>
  <c r="BM83" i="10"/>
  <c r="DI83" i="10" s="1"/>
  <c r="BM79" i="10"/>
  <c r="DI79" i="10" s="1"/>
  <c r="BM75" i="10"/>
  <c r="DI75" i="10" s="1"/>
  <c r="BM71" i="10"/>
  <c r="DI71" i="10" s="1"/>
  <c r="BM67" i="10"/>
  <c r="DI67" i="10" s="1"/>
  <c r="BM124" i="10"/>
  <c r="BM63" i="10"/>
  <c r="BM59" i="10"/>
  <c r="DI59" i="10" s="1"/>
  <c r="BM55" i="10"/>
  <c r="DI55" i="10" s="1"/>
  <c r="BM51" i="10"/>
  <c r="BM47" i="10"/>
  <c r="DI47" i="10" s="1"/>
  <c r="BM43" i="10"/>
  <c r="DI43" i="10" s="1"/>
  <c r="BM39" i="10"/>
  <c r="BM130" i="10"/>
  <c r="DI130" i="10" s="1"/>
  <c r="BM132" i="10"/>
  <c r="BM187" i="10"/>
  <c r="DI187" i="10" s="1"/>
  <c r="BM183" i="10"/>
  <c r="DI183" i="10" s="1"/>
  <c r="BM179" i="10"/>
  <c r="DI179" i="10" s="1"/>
  <c r="BM175" i="10"/>
  <c r="DI175" i="10" s="1"/>
  <c r="BM171" i="10"/>
  <c r="DI171" i="10" s="1"/>
  <c r="BM167" i="10"/>
  <c r="BM199" i="10"/>
  <c r="DI199" i="10" s="1"/>
  <c r="BM193" i="10"/>
  <c r="BM197" i="10"/>
  <c r="DI197" i="10" s="1"/>
  <c r="BM143" i="10"/>
  <c r="BM135" i="10"/>
  <c r="DI135" i="10" s="1"/>
  <c r="BM127" i="10"/>
  <c r="BM119" i="10"/>
  <c r="DI119" i="10" s="1"/>
  <c r="BM140" i="10"/>
  <c r="DI140" i="10" s="1"/>
  <c r="BM160" i="10"/>
  <c r="DI160" i="10" s="1"/>
  <c r="BM156" i="10"/>
  <c r="DI156" i="10" s="1"/>
  <c r="BM152" i="10"/>
  <c r="DI152" i="10" s="1"/>
  <c r="BM148" i="10"/>
  <c r="DI148" i="10" s="1"/>
  <c r="BM114" i="10"/>
  <c r="DI114" i="10" s="1"/>
  <c r="BM110" i="10"/>
  <c r="DI110" i="10" s="1"/>
  <c r="BM106" i="10"/>
  <c r="DI106" i="10" s="1"/>
  <c r="BM102" i="10"/>
  <c r="BM98" i="10"/>
  <c r="DI98" i="10" s="1"/>
  <c r="BM94" i="10"/>
  <c r="DI94" i="10" s="1"/>
  <c r="BM90" i="10"/>
  <c r="DI90" i="10" s="1"/>
  <c r="BM86" i="10"/>
  <c r="BM82" i="10"/>
  <c r="DI82" i="10" s="1"/>
  <c r="BM78" i="10"/>
  <c r="DI78" i="10" s="1"/>
  <c r="BM74" i="10"/>
  <c r="DI74" i="10" s="1"/>
  <c r="BM70" i="10"/>
  <c r="BM66" i="10"/>
  <c r="DI66" i="10" s="1"/>
  <c r="BM120" i="10"/>
  <c r="DI120" i="10" s="1"/>
  <c r="BM62" i="10"/>
  <c r="DI62" i="10" s="1"/>
  <c r="BM58" i="10"/>
  <c r="DI58" i="10" s="1"/>
  <c r="BM54" i="10"/>
  <c r="DI54" i="10" s="1"/>
  <c r="BM50" i="10"/>
  <c r="DI50" i="10" s="1"/>
  <c r="BM46" i="10"/>
  <c r="DI46" i="10" s="1"/>
  <c r="BM42" i="10"/>
  <c r="DI42" i="10" s="1"/>
  <c r="BM38" i="10"/>
  <c r="DI38" i="10" s="1"/>
  <c r="BM126" i="10"/>
  <c r="DI126" i="10" s="1"/>
  <c r="BM7" i="10"/>
  <c r="CK53" i="10"/>
  <c r="BM190" i="10"/>
  <c r="DI190" i="10" s="1"/>
  <c r="BM186" i="10"/>
  <c r="DI186" i="10" s="1"/>
  <c r="BM182" i="10"/>
  <c r="DI182" i="10" s="1"/>
  <c r="BM178" i="10"/>
  <c r="DI178" i="10" s="1"/>
  <c r="BM174" i="10"/>
  <c r="DI174" i="10" s="1"/>
  <c r="BM170" i="10"/>
  <c r="DI170" i="10" s="1"/>
  <c r="BM166" i="10"/>
  <c r="DI166" i="10" s="1"/>
  <c r="BM194" i="10"/>
  <c r="BM198" i="10"/>
  <c r="DI198" i="10" s="1"/>
  <c r="BM192" i="10"/>
  <c r="BM141" i="10"/>
  <c r="BM133" i="10"/>
  <c r="DI133" i="10" s="1"/>
  <c r="BM125" i="10"/>
  <c r="DI125" i="10" s="1"/>
  <c r="BM146" i="10"/>
  <c r="DI146" i="10" s="1"/>
  <c r="BM163" i="10"/>
  <c r="DI163" i="10" s="1"/>
  <c r="BM159" i="10"/>
  <c r="DI159" i="10" s="1"/>
  <c r="BM155" i="10"/>
  <c r="DI155" i="10" s="1"/>
  <c r="BM151" i="10"/>
  <c r="BM117" i="10"/>
  <c r="DI117" i="10" s="1"/>
  <c r="BM113" i="10"/>
  <c r="DI113" i="10" s="1"/>
  <c r="BM109" i="10"/>
  <c r="DI109" i="10" s="1"/>
  <c r="BM105" i="10"/>
  <c r="DI105" i="10" s="1"/>
  <c r="BM101" i="10"/>
  <c r="DI101" i="10" s="1"/>
  <c r="BM97" i="10"/>
  <c r="DI97" i="10" s="1"/>
  <c r="BM93" i="10"/>
  <c r="DI93" i="10" s="1"/>
  <c r="BM89" i="10"/>
  <c r="DI89" i="10" s="1"/>
  <c r="BM85" i="10"/>
  <c r="DI85" i="10" s="1"/>
  <c r="BM81" i="10"/>
  <c r="DI81" i="10" s="1"/>
  <c r="BM77" i="10"/>
  <c r="DI77" i="10" s="1"/>
  <c r="BM73" i="10"/>
  <c r="DI73" i="10" s="1"/>
  <c r="BM69" i="10"/>
  <c r="DI69" i="10" s="1"/>
  <c r="BM138" i="10"/>
  <c r="DI138" i="10" s="1"/>
  <c r="BM65" i="10"/>
  <c r="DI65" i="10" s="1"/>
  <c r="BM61" i="10"/>
  <c r="BM57" i="10"/>
  <c r="DI57" i="10" s="1"/>
  <c r="BM53" i="10"/>
  <c r="DI53" i="10" s="1"/>
  <c r="BM49" i="10"/>
  <c r="DI49" i="10" s="1"/>
  <c r="BM45" i="10"/>
  <c r="DI45" i="10" s="1"/>
  <c r="BM41" i="10"/>
  <c r="DI41" i="10" s="1"/>
  <c r="BM136" i="10"/>
  <c r="DI136" i="10" s="1"/>
  <c r="BM122" i="10"/>
  <c r="DI122" i="10" s="1"/>
  <c r="BM8" i="10"/>
  <c r="DI8" i="10" s="1"/>
  <c r="BM10" i="10"/>
  <c r="DI10" i="10" s="1"/>
  <c r="BM12" i="10"/>
  <c r="BM14" i="10"/>
  <c r="DI14" i="10" s="1"/>
  <c r="BM16" i="10"/>
  <c r="DI16" i="10" s="1"/>
  <c r="BM18" i="10"/>
  <c r="DI18" i="10" s="1"/>
  <c r="BM20" i="10"/>
  <c r="BM22" i="10"/>
  <c r="DI22" i="10" s="1"/>
  <c r="BM24" i="10"/>
  <c r="DI24" i="10" s="1"/>
  <c r="BM26" i="10"/>
  <c r="DI26" i="10" s="1"/>
  <c r="BM28" i="10"/>
  <c r="BM30" i="10"/>
  <c r="DI30" i="10" s="1"/>
  <c r="BM32" i="10"/>
  <c r="DI32" i="10" s="1"/>
  <c r="BM34" i="10"/>
  <c r="DI34" i="10" s="1"/>
  <c r="BM36" i="10"/>
  <c r="BM15" i="10"/>
  <c r="DI15" i="10" s="1"/>
  <c r="BM25" i="10"/>
  <c r="DI25" i="10" s="1"/>
  <c r="BM33" i="10"/>
  <c r="DI33" i="10" s="1"/>
  <c r="BM9" i="10"/>
  <c r="DI9" i="10" s="1"/>
  <c r="BM19" i="10"/>
  <c r="DI19" i="10" s="1"/>
  <c r="BM35" i="10"/>
  <c r="DI35" i="10" s="1"/>
  <c r="BM11" i="10"/>
  <c r="DI11" i="10" s="1"/>
  <c r="BM21" i="10"/>
  <c r="DI21" i="10" s="1"/>
  <c r="BM29" i="10"/>
  <c r="DI29" i="10" s="1"/>
  <c r="BM37" i="10"/>
  <c r="DI37" i="10" s="1"/>
  <c r="BM6" i="10"/>
  <c r="DI6" i="10" s="1"/>
  <c r="BM13" i="10"/>
  <c r="DI13" i="10" s="1"/>
  <c r="BM17" i="10"/>
  <c r="DI17" i="10" s="1"/>
  <c r="BM23" i="10"/>
  <c r="BM27" i="10"/>
  <c r="DI27" i="10" s="1"/>
  <c r="BM31" i="10"/>
  <c r="AD121" i="4"/>
  <c r="AD25" i="4"/>
  <c r="AD143" i="4"/>
  <c r="AD18" i="4"/>
  <c r="AD145" i="4"/>
  <c r="AD144" i="4"/>
  <c r="AD122" i="4"/>
  <c r="AD123" i="4"/>
  <c r="AC114" i="4"/>
  <c r="AC136" i="4"/>
  <c r="AD26" i="4"/>
  <c r="AD27" i="4"/>
  <c r="AG5" i="4"/>
  <c r="AS3" i="28"/>
  <c r="AU4" i="28"/>
  <c r="AV4" i="28"/>
  <c r="AH7" i="4"/>
  <c r="AH128" i="4"/>
  <c r="AH127" i="4" s="1"/>
  <c r="AH106" i="4"/>
  <c r="AH105" i="4" s="1"/>
  <c r="AG3" i="4"/>
  <c r="AG4" i="4"/>
  <c r="K26" i="11"/>
  <c r="L25" i="11"/>
  <c r="DI72" i="10" l="1"/>
  <c r="DI88" i="10"/>
  <c r="DI150" i="10"/>
  <c r="DI132" i="10"/>
  <c r="DI147" i="10"/>
  <c r="DI185" i="10"/>
  <c r="DI145" i="10"/>
  <c r="DI139" i="10"/>
  <c r="DI31" i="10"/>
  <c r="DI36" i="10"/>
  <c r="DI28" i="10"/>
  <c r="DI20" i="10"/>
  <c r="DI12" i="10"/>
  <c r="DI194" i="10"/>
  <c r="DI70" i="10"/>
  <c r="DI86" i="10"/>
  <c r="DI102" i="10"/>
  <c r="DI143" i="10"/>
  <c r="DI167" i="10"/>
  <c r="DI39" i="10"/>
  <c r="DI134" i="10"/>
  <c r="DI128" i="10"/>
  <c r="DI80" i="10"/>
  <c r="DI96" i="10"/>
  <c r="DI112" i="10"/>
  <c r="DI177" i="10"/>
  <c r="DI141" i="10"/>
  <c r="DI7" i="10"/>
  <c r="DI149" i="10"/>
  <c r="DI181" i="10"/>
  <c r="DI23" i="10"/>
  <c r="DI61" i="10"/>
  <c r="DI151" i="10"/>
  <c r="DI192" i="10"/>
  <c r="DI127" i="10"/>
  <c r="DI193" i="10"/>
  <c r="DI63" i="10"/>
  <c r="DI44" i="10"/>
  <c r="DI144" i="10"/>
  <c r="DI104" i="10"/>
  <c r="DI51" i="10"/>
  <c r="DI195" i="10"/>
  <c r="DI173" i="10"/>
  <c r="DI68" i="10"/>
  <c r="DI84" i="10"/>
  <c r="DI100" i="10"/>
  <c r="DI116" i="10"/>
  <c r="DI165" i="10"/>
  <c r="AH12" i="4"/>
  <c r="DK4" i="10"/>
  <c r="CM4" i="10"/>
  <c r="BO4" i="10"/>
  <c r="AH13" i="4"/>
  <c r="AQ4" i="10"/>
  <c r="DJ3" i="10"/>
  <c r="CL3" i="10"/>
  <c r="BN3" i="10"/>
  <c r="AP3" i="10"/>
  <c r="DI124" i="10"/>
  <c r="DI196" i="10"/>
  <c r="DI76" i="10"/>
  <c r="DI92" i="10"/>
  <c r="DI108" i="10"/>
  <c r="DI154" i="10"/>
  <c r="DI123" i="10"/>
  <c r="DI137" i="10"/>
  <c r="DI191" i="10"/>
  <c r="AF109" i="4"/>
  <c r="AF131" i="4"/>
  <c r="AF11" i="4"/>
  <c r="AF112" i="4"/>
  <c r="AF17" i="4"/>
  <c r="AF113" i="4"/>
  <c r="AF135" i="4"/>
  <c r="AF16" i="4"/>
  <c r="AF134" i="4"/>
  <c r="AP16" i="10"/>
  <c r="AP14" i="10"/>
  <c r="AP9" i="10"/>
  <c r="AP10" i="10"/>
  <c r="AP12" i="10"/>
  <c r="AP197" i="10"/>
  <c r="AP193" i="10"/>
  <c r="AP189" i="10"/>
  <c r="AP159" i="10"/>
  <c r="AP151" i="10"/>
  <c r="AP143" i="10"/>
  <c r="AP135" i="10"/>
  <c r="AP156" i="10"/>
  <c r="AP185" i="10"/>
  <c r="AP181" i="10"/>
  <c r="AP177" i="10"/>
  <c r="AP173" i="10"/>
  <c r="AP169" i="10"/>
  <c r="AP165" i="10"/>
  <c r="AP150" i="10"/>
  <c r="AP132" i="10"/>
  <c r="AP128" i="10"/>
  <c r="AP124" i="10"/>
  <c r="AP120" i="10"/>
  <c r="AP116" i="10"/>
  <c r="AP110" i="10"/>
  <c r="AP102" i="10"/>
  <c r="AP94" i="10"/>
  <c r="AP142" i="10"/>
  <c r="AP111" i="10"/>
  <c r="AP103" i="10"/>
  <c r="AP95" i="10"/>
  <c r="AP87" i="10"/>
  <c r="AP79" i="10"/>
  <c r="AP88" i="10"/>
  <c r="AP68" i="10"/>
  <c r="AP60" i="10"/>
  <c r="AP52" i="10"/>
  <c r="AP74" i="10"/>
  <c r="AP76" i="10"/>
  <c r="AP67" i="10"/>
  <c r="AP59" i="10"/>
  <c r="AP51" i="10"/>
  <c r="AP45" i="10"/>
  <c r="AP41" i="10"/>
  <c r="AP37" i="10"/>
  <c r="AP33" i="10"/>
  <c r="AP29" i="10"/>
  <c r="AP25" i="10"/>
  <c r="AP21" i="10"/>
  <c r="AP7" i="10"/>
  <c r="AP15" i="10"/>
  <c r="AP199" i="10"/>
  <c r="AP191" i="10"/>
  <c r="AP155" i="10"/>
  <c r="AP139" i="10"/>
  <c r="AP187" i="10"/>
  <c r="AP179" i="10"/>
  <c r="AP171" i="10"/>
  <c r="AP152" i="10"/>
  <c r="AP130" i="10"/>
  <c r="AP126" i="10"/>
  <c r="AP114" i="10"/>
  <c r="AP98" i="10"/>
  <c r="AP134" i="10"/>
  <c r="AP99" i="10"/>
  <c r="AP83" i="10"/>
  <c r="AP72" i="10"/>
  <c r="AP56" i="10"/>
  <c r="AP86" i="10"/>
  <c r="AP63" i="10"/>
  <c r="AP47" i="10"/>
  <c r="AP39" i="10"/>
  <c r="AP31" i="10"/>
  <c r="AP23" i="10"/>
  <c r="AP200" i="10"/>
  <c r="AP196" i="10"/>
  <c r="AP192" i="10"/>
  <c r="AP188" i="10"/>
  <c r="AP157" i="10"/>
  <c r="AP149" i="10"/>
  <c r="AP141" i="10"/>
  <c r="AP162" i="10"/>
  <c r="AP154" i="10"/>
  <c r="AP184" i="10"/>
  <c r="AP180" i="10"/>
  <c r="AP176" i="10"/>
  <c r="AP172" i="10"/>
  <c r="AP168" i="10"/>
  <c r="AP164" i="10"/>
  <c r="AP140" i="10"/>
  <c r="AP131" i="10"/>
  <c r="AP127" i="10"/>
  <c r="AP123" i="10"/>
  <c r="AP119" i="10"/>
  <c r="AP115" i="10"/>
  <c r="AP108" i="10"/>
  <c r="AP100" i="10"/>
  <c r="AP92" i="10"/>
  <c r="AP138" i="10"/>
  <c r="AP109" i="10"/>
  <c r="AP101" i="10"/>
  <c r="AP93" i="10"/>
  <c r="AP85" i="10"/>
  <c r="AP77" i="10"/>
  <c r="AP80" i="10"/>
  <c r="AP66" i="10"/>
  <c r="AP58" i="10"/>
  <c r="AP50" i="10"/>
  <c r="AP90" i="10"/>
  <c r="AP73" i="10"/>
  <c r="AP65" i="10"/>
  <c r="AP57" i="10"/>
  <c r="AP49" i="10"/>
  <c r="AP44" i="10"/>
  <c r="AP40" i="10"/>
  <c r="AP36" i="10"/>
  <c r="AP32" i="10"/>
  <c r="AP28" i="10"/>
  <c r="AP24" i="10"/>
  <c r="AP20" i="10"/>
  <c r="AP6" i="10"/>
  <c r="AP17" i="10"/>
  <c r="AP195" i="10"/>
  <c r="AP163" i="10"/>
  <c r="AP147" i="10"/>
  <c r="AP160" i="10"/>
  <c r="AP183" i="10"/>
  <c r="AP175" i="10"/>
  <c r="AP167" i="10"/>
  <c r="AP136" i="10"/>
  <c r="AP122" i="10"/>
  <c r="AP118" i="10"/>
  <c r="AP106" i="10"/>
  <c r="AP148" i="10"/>
  <c r="AP107" i="10"/>
  <c r="AP91" i="10"/>
  <c r="AP75" i="10"/>
  <c r="AP64" i="10"/>
  <c r="AP48" i="10"/>
  <c r="AP71" i="10"/>
  <c r="AP55" i="10"/>
  <c r="AP43" i="10"/>
  <c r="AP35" i="10"/>
  <c r="AP27" i="10"/>
  <c r="AP19" i="10"/>
  <c r="AP8" i="10"/>
  <c r="AP11" i="10"/>
  <c r="AP146" i="10"/>
  <c r="AP198" i="10"/>
  <c r="AP153" i="10"/>
  <c r="AP186" i="10"/>
  <c r="AP170" i="10"/>
  <c r="AP129" i="10"/>
  <c r="AP112" i="10"/>
  <c r="AP113" i="10"/>
  <c r="AP81" i="10"/>
  <c r="AP54" i="10"/>
  <c r="AP61" i="10"/>
  <c r="AP38" i="10"/>
  <c r="AP22" i="10"/>
  <c r="AP194" i="10"/>
  <c r="AP145" i="10"/>
  <c r="AP182" i="10"/>
  <c r="AP166" i="10"/>
  <c r="AP125" i="10"/>
  <c r="AP104" i="10"/>
  <c r="AP105" i="10"/>
  <c r="AP78" i="10"/>
  <c r="AP82" i="10"/>
  <c r="AP53" i="10"/>
  <c r="AP34" i="10"/>
  <c r="AP18" i="10"/>
  <c r="AP190" i="10"/>
  <c r="AP137" i="10"/>
  <c r="AP178" i="10"/>
  <c r="AP144" i="10"/>
  <c r="AP121" i="10"/>
  <c r="AP96" i="10"/>
  <c r="AP97" i="10"/>
  <c r="AP70" i="10"/>
  <c r="AP84" i="10"/>
  <c r="AP46" i="10"/>
  <c r="AP30" i="10"/>
  <c r="AP13" i="10"/>
  <c r="AP161" i="10"/>
  <c r="AP158" i="10"/>
  <c r="AP174" i="10"/>
  <c r="AP133" i="10"/>
  <c r="AP117" i="10"/>
  <c r="AP89" i="10"/>
  <c r="AP62" i="10"/>
  <c r="AP69" i="10"/>
  <c r="AP42" i="10"/>
  <c r="AP26" i="10"/>
  <c r="CL200" i="10"/>
  <c r="CL192" i="10"/>
  <c r="CL188" i="10"/>
  <c r="CL184" i="10"/>
  <c r="CL180" i="10"/>
  <c r="CL176" i="10"/>
  <c r="CL172" i="10"/>
  <c r="CL168" i="10"/>
  <c r="CL199" i="10"/>
  <c r="CL191" i="10"/>
  <c r="CL187" i="10"/>
  <c r="CL183" i="10"/>
  <c r="CL179" i="10"/>
  <c r="CL175" i="10"/>
  <c r="CL171" i="10"/>
  <c r="CL167" i="10"/>
  <c r="CL198" i="10"/>
  <c r="CL190" i="10"/>
  <c r="CL186" i="10"/>
  <c r="CL182" i="10"/>
  <c r="BN73" i="10"/>
  <c r="CL197" i="10"/>
  <c r="CL189" i="10"/>
  <c r="CL185" i="10"/>
  <c r="CL181" i="10"/>
  <c r="CL177" i="10"/>
  <c r="CL173" i="10"/>
  <c r="CL169" i="10"/>
  <c r="CL178" i="10"/>
  <c r="CL165" i="10"/>
  <c r="CL161" i="10"/>
  <c r="CL157" i="10"/>
  <c r="CL193" i="10"/>
  <c r="CL153" i="10"/>
  <c r="CL149" i="10"/>
  <c r="CL145" i="10"/>
  <c r="CL141" i="10"/>
  <c r="CL137" i="10"/>
  <c r="CL133" i="10"/>
  <c r="CL129" i="10"/>
  <c r="CL125" i="10"/>
  <c r="CL121" i="10"/>
  <c r="CL117" i="10"/>
  <c r="CL113" i="10"/>
  <c r="CL109" i="10"/>
  <c r="CL105" i="10"/>
  <c r="CL101" i="10"/>
  <c r="CL97" i="10"/>
  <c r="CL93" i="10"/>
  <c r="CL89" i="10"/>
  <c r="CL85" i="10"/>
  <c r="CL81" i="10"/>
  <c r="CL77" i="10"/>
  <c r="CL73" i="10"/>
  <c r="CL69" i="10"/>
  <c r="CL65" i="10"/>
  <c r="CL61" i="10"/>
  <c r="CL57" i="10"/>
  <c r="CL53" i="10"/>
  <c r="CL174" i="10"/>
  <c r="CL164" i="10"/>
  <c r="CL160" i="10"/>
  <c r="CL196" i="10"/>
  <c r="CL156" i="10"/>
  <c r="CL152" i="10"/>
  <c r="CL148" i="10"/>
  <c r="CL144" i="10"/>
  <c r="CL140" i="10"/>
  <c r="CL136" i="10"/>
  <c r="CL132" i="10"/>
  <c r="CL128" i="10"/>
  <c r="CL124" i="10"/>
  <c r="CL120" i="10"/>
  <c r="CL116" i="10"/>
  <c r="CL112" i="10"/>
  <c r="CL108" i="10"/>
  <c r="CL104" i="10"/>
  <c r="CL100" i="10"/>
  <c r="CL96" i="10"/>
  <c r="CL92" i="10"/>
  <c r="CL88" i="10"/>
  <c r="CL84" i="10"/>
  <c r="CL80" i="10"/>
  <c r="CL76" i="10"/>
  <c r="CL72" i="10"/>
  <c r="CL68" i="10"/>
  <c r="CL64" i="10"/>
  <c r="CL60" i="10"/>
  <c r="CL56" i="10"/>
  <c r="CL52" i="10"/>
  <c r="CL170" i="10"/>
  <c r="CL163" i="10"/>
  <c r="CL159" i="10"/>
  <c r="CL195" i="10"/>
  <c r="CL155" i="10"/>
  <c r="CL151" i="10"/>
  <c r="CL147" i="10"/>
  <c r="CL143" i="10"/>
  <c r="CL139" i="10"/>
  <c r="CL135" i="10"/>
  <c r="CL131" i="10"/>
  <c r="CL127" i="10"/>
  <c r="CL123" i="10"/>
  <c r="CL119" i="10"/>
  <c r="CL115" i="10"/>
  <c r="CL111" i="10"/>
  <c r="CL107" i="10"/>
  <c r="CL103" i="10"/>
  <c r="CL99" i="10"/>
  <c r="CL95" i="10"/>
  <c r="CL91" i="10"/>
  <c r="CL87" i="10"/>
  <c r="CL83" i="10"/>
  <c r="CL79" i="10"/>
  <c r="CL75" i="10"/>
  <c r="CL71" i="10"/>
  <c r="CL67" i="10"/>
  <c r="CL63" i="10"/>
  <c r="CL59" i="10"/>
  <c r="CL55" i="10"/>
  <c r="CL51" i="10"/>
  <c r="CL166" i="10"/>
  <c r="CL162" i="10"/>
  <c r="CL158" i="10"/>
  <c r="CL194" i="10"/>
  <c r="CL154" i="10"/>
  <c r="CL150" i="10"/>
  <c r="CL146" i="10"/>
  <c r="CL142" i="10"/>
  <c r="CL138" i="10"/>
  <c r="CL134" i="10"/>
  <c r="CL130" i="10"/>
  <c r="CL126" i="10"/>
  <c r="CL122" i="10"/>
  <c r="CL118" i="10"/>
  <c r="CL114" i="10"/>
  <c r="CL110" i="10"/>
  <c r="CL106" i="10"/>
  <c r="CL102" i="10"/>
  <c r="CL98" i="10"/>
  <c r="CL94" i="10"/>
  <c r="CL90" i="10"/>
  <c r="CL86" i="10"/>
  <c r="CL82" i="10"/>
  <c r="CL78" i="10"/>
  <c r="CL74" i="10"/>
  <c r="CL70" i="10"/>
  <c r="CL66" i="10"/>
  <c r="CL62" i="10"/>
  <c r="CL58" i="10"/>
  <c r="CL54" i="10"/>
  <c r="CL7" i="10"/>
  <c r="CL9" i="10"/>
  <c r="CL11" i="10"/>
  <c r="CL13" i="10"/>
  <c r="CL15" i="10"/>
  <c r="CL17" i="10"/>
  <c r="CL19" i="10"/>
  <c r="CL21" i="10"/>
  <c r="CL23" i="10"/>
  <c r="CL25" i="10"/>
  <c r="CL12" i="10"/>
  <c r="CL20" i="10"/>
  <c r="CL48" i="10"/>
  <c r="CL6" i="10"/>
  <c r="CL14" i="10"/>
  <c r="CL22" i="10"/>
  <c r="CL27" i="10"/>
  <c r="CL29" i="10"/>
  <c r="CL31" i="10"/>
  <c r="CL33" i="10"/>
  <c r="CL35" i="10"/>
  <c r="CL37" i="10"/>
  <c r="CL39" i="10"/>
  <c r="CL41" i="10"/>
  <c r="CL43" i="10"/>
  <c r="CL45" i="10"/>
  <c r="CL47" i="10"/>
  <c r="CL8" i="10"/>
  <c r="CL16" i="10"/>
  <c r="CL24" i="10"/>
  <c r="CL50" i="10"/>
  <c r="CL10" i="10"/>
  <c r="CL18" i="10"/>
  <c r="CL26" i="10"/>
  <c r="CL28" i="10"/>
  <c r="CL30" i="10"/>
  <c r="CL32" i="10"/>
  <c r="CL34" i="10"/>
  <c r="CL36" i="10"/>
  <c r="CL38" i="10"/>
  <c r="CL40" i="10"/>
  <c r="CL42" i="10"/>
  <c r="CL44" i="10"/>
  <c r="CL46" i="10"/>
  <c r="CL49" i="10"/>
  <c r="BN69" i="10"/>
  <c r="BN199" i="10"/>
  <c r="DJ199" i="10" s="1"/>
  <c r="BN195" i="10"/>
  <c r="BN191" i="10"/>
  <c r="BN183" i="10"/>
  <c r="DJ183" i="10" s="1"/>
  <c r="BN175" i="10"/>
  <c r="DJ175" i="10" s="1"/>
  <c r="BN167" i="10"/>
  <c r="BN182" i="10"/>
  <c r="DJ182" i="10" s="1"/>
  <c r="BN166" i="10"/>
  <c r="BN140" i="10"/>
  <c r="BN132" i="10"/>
  <c r="BN161" i="10"/>
  <c r="BN157" i="10"/>
  <c r="DJ157" i="10" s="1"/>
  <c r="BN153" i="10"/>
  <c r="DJ153" i="10" s="1"/>
  <c r="BN149" i="10"/>
  <c r="DJ149" i="10" s="1"/>
  <c r="BN176" i="10"/>
  <c r="BN147" i="10"/>
  <c r="DJ147" i="10" s="1"/>
  <c r="BN139" i="10"/>
  <c r="DJ139" i="10" s="1"/>
  <c r="BN131" i="10"/>
  <c r="BN123" i="10"/>
  <c r="BN116" i="10"/>
  <c r="BN112" i="10"/>
  <c r="DJ112" i="10" s="1"/>
  <c r="BN108" i="10"/>
  <c r="BN104" i="10"/>
  <c r="BN126" i="10"/>
  <c r="DJ126" i="10" s="1"/>
  <c r="BN99" i="10"/>
  <c r="BN91" i="10"/>
  <c r="DJ91" i="10" s="1"/>
  <c r="BN83" i="10"/>
  <c r="BN75" i="10"/>
  <c r="BN100" i="10"/>
  <c r="DJ100" i="10" s="1"/>
  <c r="BN92" i="10"/>
  <c r="BN84" i="10"/>
  <c r="BN76" i="10"/>
  <c r="DJ76" i="10" s="1"/>
  <c r="BN68" i="10"/>
  <c r="DJ68" i="10" s="1"/>
  <c r="BN63" i="10"/>
  <c r="BN59" i="10"/>
  <c r="BN55" i="10"/>
  <c r="BN51" i="10"/>
  <c r="BN47" i="10"/>
  <c r="BN43" i="10"/>
  <c r="DJ43" i="10" s="1"/>
  <c r="BN39" i="10"/>
  <c r="BN35" i="10"/>
  <c r="BN31" i="10"/>
  <c r="BN27" i="10"/>
  <c r="DJ27" i="10" s="1"/>
  <c r="BN23" i="10"/>
  <c r="BN19" i="10"/>
  <c r="DJ19" i="10" s="1"/>
  <c r="BN15" i="10"/>
  <c r="BN11" i="10"/>
  <c r="BN198" i="10"/>
  <c r="DJ198" i="10" s="1"/>
  <c r="BN194" i="10"/>
  <c r="BN189" i="10"/>
  <c r="DJ189" i="10" s="1"/>
  <c r="BN181" i="10"/>
  <c r="DJ181" i="10" s="1"/>
  <c r="BN173" i="10"/>
  <c r="DJ173" i="10" s="1"/>
  <c r="BN165" i="10"/>
  <c r="DJ165" i="10" s="1"/>
  <c r="BN178" i="10"/>
  <c r="DJ178" i="10" s="1"/>
  <c r="BN146" i="10"/>
  <c r="DJ146" i="10" s="1"/>
  <c r="BN138" i="10"/>
  <c r="BN188" i="10"/>
  <c r="DJ188" i="10" s="1"/>
  <c r="BN160" i="10"/>
  <c r="DJ160" i="10" s="1"/>
  <c r="BN156" i="10"/>
  <c r="DJ156" i="10" s="1"/>
  <c r="BN152" i="10"/>
  <c r="DJ152" i="10" s="1"/>
  <c r="BN148" i="10"/>
  <c r="DJ148" i="10" s="1"/>
  <c r="BN172" i="10"/>
  <c r="DJ172" i="10" s="1"/>
  <c r="BN145" i="10"/>
  <c r="DJ145" i="10" s="1"/>
  <c r="BN137" i="10"/>
  <c r="DJ137" i="10" s="1"/>
  <c r="BN129" i="10"/>
  <c r="DJ129" i="10" s="1"/>
  <c r="BN121" i="10"/>
  <c r="DJ121" i="10" s="1"/>
  <c r="BN115" i="10"/>
  <c r="BN111" i="10"/>
  <c r="DJ111" i="10" s="1"/>
  <c r="BN107" i="10"/>
  <c r="DJ107" i="10" s="1"/>
  <c r="BN103" i="10"/>
  <c r="BN122" i="10"/>
  <c r="BN97" i="10"/>
  <c r="DJ97" i="10" s="1"/>
  <c r="BN89" i="10"/>
  <c r="DJ89" i="10" s="1"/>
  <c r="BN81" i="10"/>
  <c r="DJ81" i="10" s="1"/>
  <c r="BN128" i="10"/>
  <c r="DJ128" i="10" s="1"/>
  <c r="BN98" i="10"/>
  <c r="DJ98" i="10" s="1"/>
  <c r="BN90" i="10"/>
  <c r="DJ90" i="10" s="1"/>
  <c r="BN82" i="10"/>
  <c r="BN74" i="10"/>
  <c r="BN66" i="10"/>
  <c r="DJ66" i="10" s="1"/>
  <c r="BN62" i="10"/>
  <c r="BN58" i="10"/>
  <c r="BN54" i="10"/>
  <c r="BN50" i="10"/>
  <c r="BN46" i="10"/>
  <c r="DJ46" i="10" s="1"/>
  <c r="BN197" i="10"/>
  <c r="DJ197" i="10" s="1"/>
  <c r="BN193" i="10"/>
  <c r="DJ193" i="10" s="1"/>
  <c r="BN187" i="10"/>
  <c r="DJ187" i="10" s="1"/>
  <c r="BN179" i="10"/>
  <c r="DJ179" i="10" s="1"/>
  <c r="BN171" i="10"/>
  <c r="DJ171" i="10" s="1"/>
  <c r="BN190" i="10"/>
  <c r="DJ190" i="10" s="1"/>
  <c r="BN174" i="10"/>
  <c r="DJ174" i="10" s="1"/>
  <c r="BN144" i="10"/>
  <c r="DJ144" i="10" s="1"/>
  <c r="BN136" i="10"/>
  <c r="DJ136" i="10" s="1"/>
  <c r="BN163" i="10"/>
  <c r="DJ163" i="10" s="1"/>
  <c r="BN159" i="10"/>
  <c r="DJ159" i="10" s="1"/>
  <c r="BN155" i="10"/>
  <c r="DJ155" i="10" s="1"/>
  <c r="BN151" i="10"/>
  <c r="DJ151" i="10" s="1"/>
  <c r="BN186" i="10"/>
  <c r="DJ186" i="10" s="1"/>
  <c r="BN168" i="10"/>
  <c r="DJ168" i="10" s="1"/>
  <c r="BN143" i="10"/>
  <c r="DJ143" i="10" s="1"/>
  <c r="BN135" i="10"/>
  <c r="DJ135" i="10" s="1"/>
  <c r="BN127" i="10"/>
  <c r="DJ127" i="10" s="1"/>
  <c r="BN119" i="10"/>
  <c r="DJ119" i="10" s="1"/>
  <c r="BN114" i="10"/>
  <c r="DJ114" i="10" s="1"/>
  <c r="BN110" i="10"/>
  <c r="BN106" i="10"/>
  <c r="BN102" i="10"/>
  <c r="DJ102" i="10" s="1"/>
  <c r="BN118" i="10"/>
  <c r="DJ118" i="10" s="1"/>
  <c r="BN95" i="10"/>
  <c r="DJ95" i="10" s="1"/>
  <c r="BN87" i="10"/>
  <c r="DJ87" i="10" s="1"/>
  <c r="BN79" i="10"/>
  <c r="DJ79" i="10" s="1"/>
  <c r="BN124" i="10"/>
  <c r="DJ124" i="10" s="1"/>
  <c r="BN96" i="10"/>
  <c r="DJ96" i="10" s="1"/>
  <c r="BN88" i="10"/>
  <c r="DJ88" i="10" s="1"/>
  <c r="BN80" i="10"/>
  <c r="DJ80" i="10" s="1"/>
  <c r="BN72" i="10"/>
  <c r="DJ72" i="10" s="1"/>
  <c r="BN65" i="10"/>
  <c r="DJ65" i="10" s="1"/>
  <c r="BN61" i="10"/>
  <c r="DJ61" i="10" s="1"/>
  <c r="BN57" i="10"/>
  <c r="DJ57" i="10" s="1"/>
  <c r="BN53" i="10"/>
  <c r="DJ53" i="10" s="1"/>
  <c r="BN49" i="10"/>
  <c r="BN200" i="10"/>
  <c r="DJ200" i="10" s="1"/>
  <c r="BN196" i="10"/>
  <c r="DJ196" i="10" s="1"/>
  <c r="BN192" i="10"/>
  <c r="DJ192" i="10" s="1"/>
  <c r="BN185" i="10"/>
  <c r="DJ185" i="10" s="1"/>
  <c r="BN177" i="10"/>
  <c r="DJ177" i="10" s="1"/>
  <c r="BN169" i="10"/>
  <c r="DJ169" i="10" s="1"/>
  <c r="BN184" i="10"/>
  <c r="DJ184" i="10" s="1"/>
  <c r="BN170" i="10"/>
  <c r="DJ170" i="10" s="1"/>
  <c r="BN142" i="10"/>
  <c r="DJ142" i="10" s="1"/>
  <c r="BN134" i="10"/>
  <c r="DJ134" i="10" s="1"/>
  <c r="BN162" i="10"/>
  <c r="DJ162" i="10" s="1"/>
  <c r="BN158" i="10"/>
  <c r="DJ158" i="10" s="1"/>
  <c r="BN154" i="10"/>
  <c r="DJ154" i="10" s="1"/>
  <c r="BN150" i="10"/>
  <c r="DJ150" i="10" s="1"/>
  <c r="BN180" i="10"/>
  <c r="DJ180" i="10" s="1"/>
  <c r="BN164" i="10"/>
  <c r="DJ164" i="10" s="1"/>
  <c r="BN141" i="10"/>
  <c r="DJ141" i="10" s="1"/>
  <c r="BN133" i="10"/>
  <c r="DJ133" i="10" s="1"/>
  <c r="BN125" i="10"/>
  <c r="DJ125" i="10" s="1"/>
  <c r="BN117" i="10"/>
  <c r="DJ117" i="10" s="1"/>
  <c r="BN113" i="10"/>
  <c r="DJ113" i="10" s="1"/>
  <c r="BN109" i="10"/>
  <c r="DJ109" i="10" s="1"/>
  <c r="BN105" i="10"/>
  <c r="DJ105" i="10" s="1"/>
  <c r="BN130" i="10"/>
  <c r="DJ130" i="10" s="1"/>
  <c r="BN101" i="10"/>
  <c r="DJ101" i="10" s="1"/>
  <c r="BN93" i="10"/>
  <c r="DJ93" i="10" s="1"/>
  <c r="BN85" i="10"/>
  <c r="DJ85" i="10" s="1"/>
  <c r="BN77" i="10"/>
  <c r="DJ77" i="10" s="1"/>
  <c r="BN120" i="10"/>
  <c r="DJ120" i="10" s="1"/>
  <c r="BN94" i="10"/>
  <c r="DJ94" i="10" s="1"/>
  <c r="BN86" i="10"/>
  <c r="DJ86" i="10" s="1"/>
  <c r="BN78" i="10"/>
  <c r="DJ78" i="10" s="1"/>
  <c r="BN70" i="10"/>
  <c r="DJ70" i="10" s="1"/>
  <c r="BN64" i="10"/>
  <c r="DJ64" i="10" s="1"/>
  <c r="BN60" i="10"/>
  <c r="DJ60" i="10" s="1"/>
  <c r="BN56" i="10"/>
  <c r="DJ56" i="10" s="1"/>
  <c r="BN52" i="10"/>
  <c r="DJ52" i="10" s="1"/>
  <c r="BN48" i="10"/>
  <c r="DJ48" i="10" s="1"/>
  <c r="BN44" i="10"/>
  <c r="DJ44" i="10" s="1"/>
  <c r="BN40" i="10"/>
  <c r="DJ40" i="10" s="1"/>
  <c r="BN36" i="10"/>
  <c r="BN32" i="10"/>
  <c r="DJ32" i="10" s="1"/>
  <c r="BN28" i="10"/>
  <c r="DJ28" i="10" s="1"/>
  <c r="BN24" i="10"/>
  <c r="DJ24" i="10" s="1"/>
  <c r="BN20" i="10"/>
  <c r="DJ20" i="10" s="1"/>
  <c r="BN16" i="10"/>
  <c r="DJ16" i="10" s="1"/>
  <c r="BN12" i="10"/>
  <c r="DJ12" i="10" s="1"/>
  <c r="BN6" i="10"/>
  <c r="DJ6" i="10" s="1"/>
  <c r="BN45" i="10"/>
  <c r="DJ45" i="10" s="1"/>
  <c r="BN37" i="10"/>
  <c r="DJ37" i="10" s="1"/>
  <c r="BN29" i="10"/>
  <c r="DJ29" i="10" s="1"/>
  <c r="BN21" i="10"/>
  <c r="DJ21" i="10" s="1"/>
  <c r="BN13" i="10"/>
  <c r="DJ13" i="10" s="1"/>
  <c r="BN7" i="10"/>
  <c r="DJ7" i="10" s="1"/>
  <c r="BN8" i="10"/>
  <c r="DJ8" i="10" s="1"/>
  <c r="BN71" i="10"/>
  <c r="DJ71" i="10" s="1"/>
  <c r="BN42" i="10"/>
  <c r="DJ42" i="10" s="1"/>
  <c r="BN34" i="10"/>
  <c r="DJ34" i="10" s="1"/>
  <c r="BN26" i="10"/>
  <c r="DJ26" i="10" s="1"/>
  <c r="BN18" i="10"/>
  <c r="DJ18" i="10" s="1"/>
  <c r="BN10" i="10"/>
  <c r="DJ10" i="10" s="1"/>
  <c r="BN41" i="10"/>
  <c r="DJ41" i="10" s="1"/>
  <c r="BN33" i="10"/>
  <c r="DJ33" i="10" s="1"/>
  <c r="BN25" i="10"/>
  <c r="DJ25" i="10" s="1"/>
  <c r="BN17" i="10"/>
  <c r="DJ17" i="10" s="1"/>
  <c r="BN9" i="10"/>
  <c r="DJ9" i="10" s="1"/>
  <c r="BN67" i="10"/>
  <c r="DJ67" i="10" s="1"/>
  <c r="BN38" i="10"/>
  <c r="DJ38" i="10" s="1"/>
  <c r="BN30" i="10"/>
  <c r="DJ30" i="10" s="1"/>
  <c r="BN22" i="10"/>
  <c r="DJ22" i="10" s="1"/>
  <c r="BN14" i="10"/>
  <c r="DJ14" i="10" s="1"/>
  <c r="AF142" i="4"/>
  <c r="AF23" i="4"/>
  <c r="AF120" i="4"/>
  <c r="AF10" i="4"/>
  <c r="AF24" i="4"/>
  <c r="AF141" i="4"/>
  <c r="AF108" i="4"/>
  <c r="AF119" i="4"/>
  <c r="AF130" i="4"/>
  <c r="AF140" i="4"/>
  <c r="AF22" i="4"/>
  <c r="AF118" i="4"/>
  <c r="AE18" i="4"/>
  <c r="AE121" i="4"/>
  <c r="AE143" i="4"/>
  <c r="AE122" i="4"/>
  <c r="AE25" i="4"/>
  <c r="AE123" i="4"/>
  <c r="AE26" i="4"/>
  <c r="AE145" i="4"/>
  <c r="AE27" i="4"/>
  <c r="AE144" i="4"/>
  <c r="AU3" i="28"/>
  <c r="AD114" i="4"/>
  <c r="AD136" i="4"/>
  <c r="AH5" i="4"/>
  <c r="AW4" i="28"/>
  <c r="AX4" i="28"/>
  <c r="AI7" i="4"/>
  <c r="AI128" i="4"/>
  <c r="AI127" i="4" s="1"/>
  <c r="AI106" i="4"/>
  <c r="AI105" i="4" s="1"/>
  <c r="AH3" i="4"/>
  <c r="AH4" i="4"/>
  <c r="L26" i="11"/>
  <c r="DJ58" i="10" l="1"/>
  <c r="DJ138" i="10"/>
  <c r="DJ23" i="10"/>
  <c r="DJ55" i="10"/>
  <c r="DJ116" i="10"/>
  <c r="DJ110" i="10"/>
  <c r="DJ167" i="10"/>
  <c r="DJ62" i="10"/>
  <c r="DJ194" i="10"/>
  <c r="DJ51" i="10"/>
  <c r="DJ99" i="10"/>
  <c r="DJ140" i="10"/>
  <c r="DJ49" i="10"/>
  <c r="DJ82" i="10"/>
  <c r="DJ103" i="10"/>
  <c r="DJ15" i="10"/>
  <c r="DJ63" i="10"/>
  <c r="DJ92" i="10"/>
  <c r="DJ108" i="10"/>
  <c r="DJ131" i="10"/>
  <c r="DJ132" i="10"/>
  <c r="DJ195" i="10"/>
  <c r="DJ36" i="10"/>
  <c r="DJ106" i="10"/>
  <c r="DJ115" i="10"/>
  <c r="DJ83" i="10"/>
  <c r="DJ104" i="10"/>
  <c r="DJ176" i="10"/>
  <c r="DJ191" i="10"/>
  <c r="DJ31" i="10"/>
  <c r="DJ47" i="10"/>
  <c r="DJ35" i="10"/>
  <c r="AR4" i="10"/>
  <c r="DL4" i="10"/>
  <c r="CN4" i="10"/>
  <c r="BP4" i="10"/>
  <c r="AI13" i="4"/>
  <c r="DJ50" i="10"/>
  <c r="DJ39" i="10"/>
  <c r="DJ75" i="10"/>
  <c r="DJ166" i="10"/>
  <c r="DJ69" i="10"/>
  <c r="DJ73" i="10"/>
  <c r="BO36" i="10"/>
  <c r="BO34" i="10"/>
  <c r="BO29" i="10"/>
  <c r="BO26" i="10"/>
  <c r="BO25" i="10"/>
  <c r="BO19" i="10"/>
  <c r="BO24" i="10"/>
  <c r="BO17" i="10"/>
  <c r="BO18" i="10"/>
  <c r="BO27" i="10"/>
  <c r="BO10" i="10"/>
  <c r="BO15" i="10"/>
  <c r="BO31" i="10"/>
  <c r="BO33" i="10"/>
  <c r="BO82" i="10"/>
  <c r="CM197" i="10"/>
  <c r="CM193" i="10"/>
  <c r="CM189" i="10"/>
  <c r="CM185" i="10"/>
  <c r="CM181" i="10"/>
  <c r="CM177" i="10"/>
  <c r="CM173" i="10"/>
  <c r="CM169" i="10"/>
  <c r="CM165" i="10"/>
  <c r="CM161" i="10"/>
  <c r="CM157" i="10"/>
  <c r="CM153" i="10"/>
  <c r="CM149" i="10"/>
  <c r="CM145" i="10"/>
  <c r="CM141" i="10"/>
  <c r="CM137" i="10"/>
  <c r="CM133" i="10"/>
  <c r="CM129" i="10"/>
  <c r="CM125" i="10"/>
  <c r="CM121" i="10"/>
  <c r="CM117" i="10"/>
  <c r="CM113" i="10"/>
  <c r="CM109" i="10"/>
  <c r="CM105" i="10"/>
  <c r="CM101" i="10"/>
  <c r="CM97" i="10"/>
  <c r="CM93" i="10"/>
  <c r="CM89" i="10"/>
  <c r="CM85" i="10"/>
  <c r="CM81" i="10"/>
  <c r="CM77" i="10"/>
  <c r="CM73" i="10"/>
  <c r="CM69" i="10"/>
  <c r="CM65" i="10"/>
  <c r="CM61" i="10"/>
  <c r="CM57" i="10"/>
  <c r="CM53" i="10"/>
  <c r="BO11" i="10"/>
  <c r="BO16" i="10"/>
  <c r="BO22" i="10"/>
  <c r="BO12" i="10"/>
  <c r="BO20" i="10"/>
  <c r="BO37" i="10"/>
  <c r="CM200" i="10"/>
  <c r="CM196" i="10"/>
  <c r="CM192" i="10"/>
  <c r="CM188" i="10"/>
  <c r="CM184" i="10"/>
  <c r="CM180" i="10"/>
  <c r="CM176" i="10"/>
  <c r="CM172" i="10"/>
  <c r="CM168" i="10"/>
  <c r="CM164" i="10"/>
  <c r="CM160" i="10"/>
  <c r="CM156" i="10"/>
  <c r="CM152" i="10"/>
  <c r="CM148" i="10"/>
  <c r="CM144" i="10"/>
  <c r="CM140" i="10"/>
  <c r="CM136" i="10"/>
  <c r="CM132" i="10"/>
  <c r="CM128" i="10"/>
  <c r="CM124" i="10"/>
  <c r="CM120" i="10"/>
  <c r="CM116" i="10"/>
  <c r="CM112" i="10"/>
  <c r="CM108" i="10"/>
  <c r="CM104" i="10"/>
  <c r="CM100" i="10"/>
  <c r="CM96" i="10"/>
  <c r="CM92" i="10"/>
  <c r="CM88" i="10"/>
  <c r="CM84" i="10"/>
  <c r="CM80" i="10"/>
  <c r="CM76" i="10"/>
  <c r="CM72" i="10"/>
  <c r="CM68" i="10"/>
  <c r="CM64" i="10"/>
  <c r="CM60" i="10"/>
  <c r="CM56" i="10"/>
  <c r="BO23" i="10"/>
  <c r="BO13" i="10"/>
  <c r="BO21" i="10"/>
  <c r="BO28" i="10"/>
  <c r="BO35" i="10"/>
  <c r="CM199" i="10"/>
  <c r="CM195" i="10"/>
  <c r="CM191" i="10"/>
  <c r="CM187" i="10"/>
  <c r="CM183" i="10"/>
  <c r="CM179" i="10"/>
  <c r="CM175" i="10"/>
  <c r="CM171" i="10"/>
  <c r="CM167" i="10"/>
  <c r="CM163" i="10"/>
  <c r="CM159" i="10"/>
  <c r="CM155" i="10"/>
  <c r="CM151" i="10"/>
  <c r="CM147" i="10"/>
  <c r="CM143" i="10"/>
  <c r="CM139" i="10"/>
  <c r="CM135" i="10"/>
  <c r="CM131" i="10"/>
  <c r="CM127" i="10"/>
  <c r="CM123" i="10"/>
  <c r="CM119" i="10"/>
  <c r="CM115" i="10"/>
  <c r="CM111" i="10"/>
  <c r="CM107" i="10"/>
  <c r="CM103" i="10"/>
  <c r="CM99" i="10"/>
  <c r="CM95" i="10"/>
  <c r="CM91" i="10"/>
  <c r="CM87" i="10"/>
  <c r="CM83" i="10"/>
  <c r="CM79" i="10"/>
  <c r="CM75" i="10"/>
  <c r="CM71" i="10"/>
  <c r="BO14" i="10"/>
  <c r="BO9" i="10"/>
  <c r="BO30" i="10"/>
  <c r="BO32" i="10"/>
  <c r="CM198" i="10"/>
  <c r="CM194" i="10"/>
  <c r="CM190" i="10"/>
  <c r="CM186" i="10"/>
  <c r="CM182" i="10"/>
  <c r="CM178" i="10"/>
  <c r="CM174" i="10"/>
  <c r="CM170" i="10"/>
  <c r="CM166" i="10"/>
  <c r="CM162" i="10"/>
  <c r="CM158" i="10"/>
  <c r="CM154" i="10"/>
  <c r="CM150" i="10"/>
  <c r="CM146" i="10"/>
  <c r="CM142" i="10"/>
  <c r="CM138" i="10"/>
  <c r="CM134" i="10"/>
  <c r="CM130" i="10"/>
  <c r="CM126" i="10"/>
  <c r="CM122" i="10"/>
  <c r="CM118" i="10"/>
  <c r="CM114" i="10"/>
  <c r="CM110" i="10"/>
  <c r="CM106" i="10"/>
  <c r="CM102" i="10"/>
  <c r="CM98" i="10"/>
  <c r="CM94" i="10"/>
  <c r="CM90" i="10"/>
  <c r="CM86" i="10"/>
  <c r="CM82" i="10"/>
  <c r="CM78" i="10"/>
  <c r="CM74" i="10"/>
  <c r="CM70" i="10"/>
  <c r="CM66" i="10"/>
  <c r="CM62" i="10"/>
  <c r="CM58" i="10"/>
  <c r="CM54" i="10"/>
  <c r="CM67" i="10"/>
  <c r="CM52" i="10"/>
  <c r="CM48" i="10"/>
  <c r="CM63" i="10"/>
  <c r="CM51" i="10"/>
  <c r="CM47" i="10"/>
  <c r="CM59" i="10"/>
  <c r="CM50" i="10"/>
  <c r="CM55" i="10"/>
  <c r="CM49" i="10"/>
  <c r="CM7" i="10"/>
  <c r="CM8" i="10"/>
  <c r="CM15" i="10"/>
  <c r="DK15" i="10" s="1"/>
  <c r="CM16" i="10"/>
  <c r="CM23" i="10"/>
  <c r="CM24" i="10"/>
  <c r="DK24" i="10" s="1"/>
  <c r="BO74" i="10"/>
  <c r="BO199" i="10"/>
  <c r="DK199" i="10" s="1"/>
  <c r="CM9" i="10"/>
  <c r="CM10" i="10"/>
  <c r="DK10" i="10" s="1"/>
  <c r="CM17" i="10"/>
  <c r="DK17" i="10" s="1"/>
  <c r="CM18" i="10"/>
  <c r="DK18" i="10" s="1"/>
  <c r="CM25" i="10"/>
  <c r="DK25" i="10" s="1"/>
  <c r="CM26" i="10"/>
  <c r="DK26" i="10" s="1"/>
  <c r="CM29" i="10"/>
  <c r="DK29" i="10" s="1"/>
  <c r="CM31" i="10"/>
  <c r="CM33" i="10"/>
  <c r="CM35" i="10"/>
  <c r="CM37" i="10"/>
  <c r="CM39" i="10"/>
  <c r="CM41" i="10"/>
  <c r="CM43" i="10"/>
  <c r="CM45" i="10"/>
  <c r="BO80" i="10"/>
  <c r="DK80" i="10" s="1"/>
  <c r="CM11" i="10"/>
  <c r="DK11" i="10" s="1"/>
  <c r="CM12" i="10"/>
  <c r="CM19" i="10"/>
  <c r="DK19" i="10" s="1"/>
  <c r="CM20" i="10"/>
  <c r="DK20" i="10" s="1"/>
  <c r="CM27" i="10"/>
  <c r="DK27" i="10" s="1"/>
  <c r="BO66" i="10"/>
  <c r="BO70" i="10"/>
  <c r="CM6" i="10"/>
  <c r="CM13" i="10"/>
  <c r="CM14" i="10"/>
  <c r="CM21" i="10"/>
  <c r="CM22" i="10"/>
  <c r="CM28" i="10"/>
  <c r="CM30" i="10"/>
  <c r="CM32" i="10"/>
  <c r="CM34" i="10"/>
  <c r="DK34" i="10" s="1"/>
  <c r="CM36" i="10"/>
  <c r="DK36" i="10" s="1"/>
  <c r="CM38" i="10"/>
  <c r="CM40" i="10"/>
  <c r="CM42" i="10"/>
  <c r="CM44" i="10"/>
  <c r="CM46" i="10"/>
  <c r="BO193" i="10"/>
  <c r="DK193" i="10" s="1"/>
  <c r="BO162" i="10"/>
  <c r="BO158" i="10"/>
  <c r="BO154" i="10"/>
  <c r="BO150" i="10"/>
  <c r="BO190" i="10"/>
  <c r="DK190" i="10" s="1"/>
  <c r="BO182" i="10"/>
  <c r="BO189" i="10"/>
  <c r="DK189" i="10" s="1"/>
  <c r="BO181" i="10"/>
  <c r="DK181" i="10" s="1"/>
  <c r="BO173" i="10"/>
  <c r="DK173" i="10" s="1"/>
  <c r="BO165" i="10"/>
  <c r="DK165" i="10" s="1"/>
  <c r="BO166" i="10"/>
  <c r="DK166" i="10" s="1"/>
  <c r="BO197" i="10"/>
  <c r="DK197" i="10" s="1"/>
  <c r="BO163" i="10"/>
  <c r="BO157" i="10"/>
  <c r="DK157" i="10" s="1"/>
  <c r="BO152" i="10"/>
  <c r="DK152" i="10" s="1"/>
  <c r="BO198" i="10"/>
  <c r="BO200" i="10"/>
  <c r="DK200" i="10" s="1"/>
  <c r="BO185" i="10"/>
  <c r="DK185" i="10" s="1"/>
  <c r="BO175" i="10"/>
  <c r="DK175" i="10" s="1"/>
  <c r="BO178" i="10"/>
  <c r="DK178" i="10" s="1"/>
  <c r="BO144" i="10"/>
  <c r="DK144" i="10" s="1"/>
  <c r="BO136" i="10"/>
  <c r="DK136" i="10" s="1"/>
  <c r="BO128" i="10"/>
  <c r="DK128" i="10" s="1"/>
  <c r="BO120" i="10"/>
  <c r="DK120" i="10" s="1"/>
  <c r="BO172" i="10"/>
  <c r="DK172" i="10" s="1"/>
  <c r="BO145" i="10"/>
  <c r="DK145" i="10" s="1"/>
  <c r="BO137" i="10"/>
  <c r="DK137" i="10" s="1"/>
  <c r="BO119" i="10"/>
  <c r="DK119" i="10" s="1"/>
  <c r="BO95" i="10"/>
  <c r="BO87" i="10"/>
  <c r="DK87" i="10" s="1"/>
  <c r="BO79" i="10"/>
  <c r="DK79" i="10" s="1"/>
  <c r="BO71" i="10"/>
  <c r="DK71" i="10" s="1"/>
  <c r="BO133" i="10"/>
  <c r="DK133" i="10" s="1"/>
  <c r="BO100" i="10"/>
  <c r="DK100" i="10" s="1"/>
  <c r="BO92" i="10"/>
  <c r="DK92" i="10" s="1"/>
  <c r="BO84" i="10"/>
  <c r="DK84" i="10" s="1"/>
  <c r="BO114" i="10"/>
  <c r="BO110" i="10"/>
  <c r="DK110" i="10" s="1"/>
  <c r="BO106" i="10"/>
  <c r="DK106" i="10" s="1"/>
  <c r="BO102" i="10"/>
  <c r="BO38" i="10"/>
  <c r="BO42" i="10"/>
  <c r="BO46" i="10"/>
  <c r="DK46" i="10" s="1"/>
  <c r="BO50" i="10"/>
  <c r="BO54" i="10"/>
  <c r="BO58" i="10"/>
  <c r="DK58" i="10" s="1"/>
  <c r="BO62" i="10"/>
  <c r="BO195" i="10"/>
  <c r="DK195" i="10" s="1"/>
  <c r="BO161" i="10"/>
  <c r="DK161" i="10" s="1"/>
  <c r="BO156" i="10"/>
  <c r="DK156" i="10" s="1"/>
  <c r="BO151" i="10"/>
  <c r="DK151" i="10" s="1"/>
  <c r="BO188" i="10"/>
  <c r="DK188" i="10" s="1"/>
  <c r="BO192" i="10"/>
  <c r="DK192" i="10" s="1"/>
  <c r="BO183" i="10"/>
  <c r="DK183" i="10" s="1"/>
  <c r="BO171" i="10"/>
  <c r="DK171" i="10" s="1"/>
  <c r="BO174" i="10"/>
  <c r="DK174" i="10" s="1"/>
  <c r="BO142" i="10"/>
  <c r="DK142" i="10" s="1"/>
  <c r="BO134" i="10"/>
  <c r="DK134" i="10" s="1"/>
  <c r="BO126" i="10"/>
  <c r="DK126" i="10" s="1"/>
  <c r="BO118" i="10"/>
  <c r="DK118" i="10" s="1"/>
  <c r="BO168" i="10"/>
  <c r="DK168" i="10" s="1"/>
  <c r="BO143" i="10"/>
  <c r="DK143" i="10" s="1"/>
  <c r="BO131" i="10"/>
  <c r="DK131" i="10" s="1"/>
  <c r="BO101" i="10"/>
  <c r="DK101" i="10" s="1"/>
  <c r="BO93" i="10"/>
  <c r="DK93" i="10" s="1"/>
  <c r="BO85" i="10"/>
  <c r="DK85" i="10" s="1"/>
  <c r="BO77" i="10"/>
  <c r="DK77" i="10" s="1"/>
  <c r="BO69" i="10"/>
  <c r="DK69" i="10" s="1"/>
  <c r="BO129" i="10"/>
  <c r="DK129" i="10" s="1"/>
  <c r="BO98" i="10"/>
  <c r="DK98" i="10" s="1"/>
  <c r="BO90" i="10"/>
  <c r="DK90" i="10" s="1"/>
  <c r="BO117" i="10"/>
  <c r="DK117" i="10" s="1"/>
  <c r="BO113" i="10"/>
  <c r="DK113" i="10" s="1"/>
  <c r="BO109" i="10"/>
  <c r="DK109" i="10" s="1"/>
  <c r="BO105" i="10"/>
  <c r="DK105" i="10" s="1"/>
  <c r="BO6" i="10"/>
  <c r="BO41" i="10"/>
  <c r="DK41" i="10" s="1"/>
  <c r="BO45" i="10"/>
  <c r="BO49" i="10"/>
  <c r="DK49" i="10" s="1"/>
  <c r="BO53" i="10"/>
  <c r="DK53" i="10" s="1"/>
  <c r="BO57" i="10"/>
  <c r="DK57" i="10" s="1"/>
  <c r="BO61" i="10"/>
  <c r="DK61" i="10" s="1"/>
  <c r="BO65" i="10"/>
  <c r="DK65" i="10" s="1"/>
  <c r="BO191" i="10"/>
  <c r="DK191" i="10" s="1"/>
  <c r="BO160" i="10"/>
  <c r="DK160" i="10" s="1"/>
  <c r="BO155" i="10"/>
  <c r="DK155" i="10" s="1"/>
  <c r="BO149" i="10"/>
  <c r="DK149" i="10" s="1"/>
  <c r="BO186" i="10"/>
  <c r="DK186" i="10" s="1"/>
  <c r="BO194" i="10"/>
  <c r="DK194" i="10" s="1"/>
  <c r="BO179" i="10"/>
  <c r="DK179" i="10" s="1"/>
  <c r="BO169" i="10"/>
  <c r="DK169" i="10" s="1"/>
  <c r="BO170" i="10"/>
  <c r="DK170" i="10" s="1"/>
  <c r="BO140" i="10"/>
  <c r="DK140" i="10" s="1"/>
  <c r="BO132" i="10"/>
  <c r="DK132" i="10" s="1"/>
  <c r="BO124" i="10"/>
  <c r="DK124" i="10" s="1"/>
  <c r="BO180" i="10"/>
  <c r="DK180" i="10" s="1"/>
  <c r="BO164" i="10"/>
  <c r="DK164" i="10" s="1"/>
  <c r="BO141" i="10"/>
  <c r="DK141" i="10" s="1"/>
  <c r="BO127" i="10"/>
  <c r="DK127" i="10" s="1"/>
  <c r="BO99" i="10"/>
  <c r="DK99" i="10" s="1"/>
  <c r="BO91" i="10"/>
  <c r="DK91" i="10" s="1"/>
  <c r="BO83" i="10"/>
  <c r="DK83" i="10" s="1"/>
  <c r="BO75" i="10"/>
  <c r="DK75" i="10" s="1"/>
  <c r="BO67" i="10"/>
  <c r="DK67" i="10" s="1"/>
  <c r="BO125" i="10"/>
  <c r="DK125" i="10" s="1"/>
  <c r="BO96" i="10"/>
  <c r="DK96" i="10" s="1"/>
  <c r="BO88" i="10"/>
  <c r="DK88" i="10" s="1"/>
  <c r="BO116" i="10"/>
  <c r="DK116" i="10" s="1"/>
  <c r="BO112" i="10"/>
  <c r="DK112" i="10" s="1"/>
  <c r="BO108" i="10"/>
  <c r="DK108" i="10" s="1"/>
  <c r="BO104" i="10"/>
  <c r="DK104" i="10" s="1"/>
  <c r="BO7" i="10"/>
  <c r="DK7" i="10" s="1"/>
  <c r="BO40" i="10"/>
  <c r="BO44" i="10"/>
  <c r="DK44" i="10" s="1"/>
  <c r="BO48" i="10"/>
  <c r="DK48" i="10" s="1"/>
  <c r="BO52" i="10"/>
  <c r="DK52" i="10" s="1"/>
  <c r="BO56" i="10"/>
  <c r="DK56" i="10" s="1"/>
  <c r="BO60" i="10"/>
  <c r="DK60" i="10" s="1"/>
  <c r="BO64" i="10"/>
  <c r="DK64" i="10" s="1"/>
  <c r="BO196" i="10"/>
  <c r="DK196" i="10" s="1"/>
  <c r="BO159" i="10"/>
  <c r="DK159" i="10" s="1"/>
  <c r="BO153" i="10"/>
  <c r="DK153" i="10" s="1"/>
  <c r="BO148" i="10"/>
  <c r="DK148" i="10" s="1"/>
  <c r="BO184" i="10"/>
  <c r="DK184" i="10" s="1"/>
  <c r="BO187" i="10"/>
  <c r="DK187" i="10" s="1"/>
  <c r="BO177" i="10"/>
  <c r="DK177" i="10" s="1"/>
  <c r="BO167" i="10"/>
  <c r="DK167" i="10" s="1"/>
  <c r="BO146" i="10"/>
  <c r="DK146" i="10" s="1"/>
  <c r="BO138" i="10"/>
  <c r="DK138" i="10" s="1"/>
  <c r="BO130" i="10"/>
  <c r="DK130" i="10" s="1"/>
  <c r="BO122" i="10"/>
  <c r="DK122" i="10" s="1"/>
  <c r="BO176" i="10"/>
  <c r="DK176" i="10" s="1"/>
  <c r="BO147" i="10"/>
  <c r="DK147" i="10" s="1"/>
  <c r="BO139" i="10"/>
  <c r="DK139" i="10" s="1"/>
  <c r="BO123" i="10"/>
  <c r="DK123" i="10" s="1"/>
  <c r="BO97" i="10"/>
  <c r="DK97" i="10" s="1"/>
  <c r="BO89" i="10"/>
  <c r="DK89" i="10" s="1"/>
  <c r="BO81" i="10"/>
  <c r="DK81" i="10" s="1"/>
  <c r="BO73" i="10"/>
  <c r="DK73" i="10" s="1"/>
  <c r="BO135" i="10"/>
  <c r="DK135" i="10" s="1"/>
  <c r="BO121" i="10"/>
  <c r="DK121" i="10" s="1"/>
  <c r="BO94" i="10"/>
  <c r="DK94" i="10" s="1"/>
  <c r="BO86" i="10"/>
  <c r="DK86" i="10" s="1"/>
  <c r="BO115" i="10"/>
  <c r="DK115" i="10" s="1"/>
  <c r="BO111" i="10"/>
  <c r="DK111" i="10" s="1"/>
  <c r="BO107" i="10"/>
  <c r="DK107" i="10" s="1"/>
  <c r="BO103" i="10"/>
  <c r="DK103" i="10" s="1"/>
  <c r="BO8" i="10"/>
  <c r="DK8" i="10" s="1"/>
  <c r="BO39" i="10"/>
  <c r="DK39" i="10" s="1"/>
  <c r="BO43" i="10"/>
  <c r="DK43" i="10" s="1"/>
  <c r="BO47" i="10"/>
  <c r="DK47" i="10" s="1"/>
  <c r="BO51" i="10"/>
  <c r="DK51" i="10" s="1"/>
  <c r="BO55" i="10"/>
  <c r="DK55" i="10" s="1"/>
  <c r="BO59" i="10"/>
  <c r="DK59" i="10" s="1"/>
  <c r="BO63" i="10"/>
  <c r="DK63" i="10" s="1"/>
  <c r="BO68" i="10"/>
  <c r="DK68" i="10" s="1"/>
  <c r="BO72" i="10"/>
  <c r="DK72" i="10" s="1"/>
  <c r="BO78" i="10"/>
  <c r="DK78" i="10" s="1"/>
  <c r="BO76" i="10"/>
  <c r="DK76" i="10" s="1"/>
  <c r="DK3" i="10"/>
  <c r="CM3" i="10"/>
  <c r="BO3" i="10"/>
  <c r="AQ3" i="10"/>
  <c r="DJ54" i="10"/>
  <c r="DJ74" i="10"/>
  <c r="DJ122" i="10"/>
  <c r="DJ11" i="10"/>
  <c r="DJ59" i="10"/>
  <c r="DJ84" i="10"/>
  <c r="DJ123" i="10"/>
  <c r="DJ161" i="10"/>
  <c r="AG24" i="4"/>
  <c r="AG130" i="4"/>
  <c r="AG141" i="4"/>
  <c r="AG142" i="4"/>
  <c r="AG119" i="4"/>
  <c r="AG10" i="4"/>
  <c r="AG120" i="4"/>
  <c r="AG23" i="4"/>
  <c r="AG108" i="4"/>
  <c r="AG140" i="4"/>
  <c r="AG22" i="4"/>
  <c r="AG118" i="4"/>
  <c r="AG131" i="4"/>
  <c r="AG11" i="4"/>
  <c r="AG109" i="4"/>
  <c r="AG113" i="4"/>
  <c r="AG112" i="4"/>
  <c r="AG16" i="4"/>
  <c r="AG134" i="4"/>
  <c r="AG17" i="4"/>
  <c r="AG135" i="4"/>
  <c r="AQ19" i="10"/>
  <c r="AQ18" i="10"/>
  <c r="AQ21" i="10"/>
  <c r="AQ23" i="10"/>
  <c r="AQ197" i="10"/>
  <c r="AQ193" i="10"/>
  <c r="AQ189" i="10"/>
  <c r="AQ185" i="10"/>
  <c r="AQ181" i="10"/>
  <c r="AQ177" i="10"/>
  <c r="AQ173" i="10"/>
  <c r="AQ169" i="10"/>
  <c r="AQ165" i="10"/>
  <c r="AQ158" i="10"/>
  <c r="AQ150" i="10"/>
  <c r="AQ163" i="10"/>
  <c r="AQ155" i="10"/>
  <c r="AQ147" i="10"/>
  <c r="AQ139" i="10"/>
  <c r="AQ136" i="10"/>
  <c r="AQ130" i="10"/>
  <c r="AQ126" i="10"/>
  <c r="AQ122" i="10"/>
  <c r="AQ118" i="10"/>
  <c r="AQ114" i="10"/>
  <c r="AQ106" i="10"/>
  <c r="AQ98" i="10"/>
  <c r="AQ90" i="10"/>
  <c r="AQ138" i="10"/>
  <c r="AQ109" i="10"/>
  <c r="AQ101" i="10"/>
  <c r="AQ72" i="10"/>
  <c r="AQ68" i="10"/>
  <c r="AQ64" i="10"/>
  <c r="AQ60" i="10"/>
  <c r="AQ56" i="10"/>
  <c r="AQ52" i="10"/>
  <c r="AQ199" i="10"/>
  <c r="AQ194" i="10"/>
  <c r="AQ188" i="10"/>
  <c r="AQ183" i="10"/>
  <c r="AQ178" i="10"/>
  <c r="AQ172" i="10"/>
  <c r="AQ167" i="10"/>
  <c r="AQ160" i="10"/>
  <c r="AQ148" i="10"/>
  <c r="AQ159" i="10"/>
  <c r="AQ149" i="10"/>
  <c r="AQ137" i="10"/>
  <c r="AQ132" i="10"/>
  <c r="AQ127" i="10"/>
  <c r="AQ121" i="10"/>
  <c r="AQ116" i="10"/>
  <c r="AQ108" i="10"/>
  <c r="AQ96" i="10"/>
  <c r="AQ86" i="10"/>
  <c r="AQ111" i="10"/>
  <c r="AQ99" i="10"/>
  <c r="AQ70" i="10"/>
  <c r="AQ65" i="10"/>
  <c r="AQ59" i="10"/>
  <c r="AQ54" i="10"/>
  <c r="AQ49" i="10"/>
  <c r="AQ85" i="10"/>
  <c r="AQ95" i="10"/>
  <c r="AQ93" i="10"/>
  <c r="AQ79" i="10"/>
  <c r="AQ44" i="10"/>
  <c r="AQ40" i="10"/>
  <c r="AQ36" i="10"/>
  <c r="AQ32" i="10"/>
  <c r="AQ28" i="10"/>
  <c r="AQ81" i="10"/>
  <c r="AQ20" i="10"/>
  <c r="AQ198" i="10"/>
  <c r="AQ192" i="10"/>
  <c r="AQ187" i="10"/>
  <c r="AQ182" i="10"/>
  <c r="AQ176" i="10"/>
  <c r="AQ171" i="10"/>
  <c r="AQ166" i="10"/>
  <c r="AQ156" i="10"/>
  <c r="AQ146" i="10"/>
  <c r="AQ157" i="10"/>
  <c r="AQ145" i="10"/>
  <c r="AQ135" i="10"/>
  <c r="AQ131" i="10"/>
  <c r="AQ125" i="10"/>
  <c r="AQ120" i="10"/>
  <c r="AQ115" i="10"/>
  <c r="AQ104" i="10"/>
  <c r="AQ94" i="10"/>
  <c r="AQ142" i="10"/>
  <c r="AQ107" i="10"/>
  <c r="AQ97" i="10"/>
  <c r="AQ69" i="10"/>
  <c r="AQ63" i="10"/>
  <c r="AQ58" i="10"/>
  <c r="AQ53" i="10"/>
  <c r="AQ48" i="10"/>
  <c r="AQ83" i="10"/>
  <c r="AQ82" i="10"/>
  <c r="AQ91" i="10"/>
  <c r="AQ76" i="10"/>
  <c r="AQ43" i="10"/>
  <c r="AQ39" i="10"/>
  <c r="AQ35" i="10"/>
  <c r="AQ31" i="10"/>
  <c r="AQ27" i="10"/>
  <c r="AQ78" i="10"/>
  <c r="AQ7" i="10"/>
  <c r="AQ9" i="10"/>
  <c r="AQ11" i="10"/>
  <c r="AQ13" i="10"/>
  <c r="AQ15" i="10"/>
  <c r="AQ17" i="10"/>
  <c r="AQ196" i="10"/>
  <c r="AQ191" i="10"/>
  <c r="AQ186" i="10"/>
  <c r="AQ180" i="10"/>
  <c r="AQ175" i="10"/>
  <c r="AQ170" i="10"/>
  <c r="AQ164" i="10"/>
  <c r="AQ154" i="10"/>
  <c r="AQ144" i="10"/>
  <c r="AQ153" i="10"/>
  <c r="AQ143" i="10"/>
  <c r="AQ140" i="10"/>
  <c r="AQ129" i="10"/>
  <c r="AQ124" i="10"/>
  <c r="AQ119" i="10"/>
  <c r="AQ112" i="10"/>
  <c r="AQ102" i="10"/>
  <c r="AQ92" i="10"/>
  <c r="AQ134" i="10"/>
  <c r="AQ105" i="10"/>
  <c r="AQ73" i="10"/>
  <c r="AQ67" i="10"/>
  <c r="AQ62" i="10"/>
  <c r="AQ57" i="10"/>
  <c r="AQ51" i="10"/>
  <c r="AQ47" i="10"/>
  <c r="AQ80" i="10"/>
  <c r="AQ77" i="10"/>
  <c r="AQ87" i="10"/>
  <c r="AQ46" i="10"/>
  <c r="AQ42" i="10"/>
  <c r="AQ38" i="10"/>
  <c r="AQ34" i="10"/>
  <c r="AQ30" i="10"/>
  <c r="AQ26" i="10"/>
  <c r="AQ24" i="10"/>
  <c r="AQ200" i="10"/>
  <c r="AQ179" i="10"/>
  <c r="AQ152" i="10"/>
  <c r="AQ133" i="10"/>
  <c r="AQ110" i="10"/>
  <c r="AQ103" i="10"/>
  <c r="AQ55" i="10"/>
  <c r="AQ74" i="10"/>
  <c r="AQ37" i="10"/>
  <c r="AQ8" i="10"/>
  <c r="AQ16" i="10"/>
  <c r="AQ195" i="10"/>
  <c r="AQ174" i="10"/>
  <c r="AQ161" i="10"/>
  <c r="AQ128" i="10"/>
  <c r="AQ100" i="10"/>
  <c r="AQ71" i="10"/>
  <c r="AQ50" i="10"/>
  <c r="AQ84" i="10"/>
  <c r="AQ33" i="10"/>
  <c r="AQ6" i="10"/>
  <c r="AQ14" i="10"/>
  <c r="AQ22" i="10"/>
  <c r="AQ184" i="10"/>
  <c r="AQ190" i="10"/>
  <c r="AQ168" i="10"/>
  <c r="AQ151" i="10"/>
  <c r="AQ123" i="10"/>
  <c r="AQ88" i="10"/>
  <c r="AQ66" i="10"/>
  <c r="AQ89" i="10"/>
  <c r="AQ45" i="10"/>
  <c r="AQ29" i="10"/>
  <c r="AQ12" i="10"/>
  <c r="AQ162" i="10"/>
  <c r="AQ141" i="10"/>
  <c r="AQ117" i="10"/>
  <c r="AQ113" i="10"/>
  <c r="AQ61" i="10"/>
  <c r="AQ75" i="10"/>
  <c r="AQ41" i="10"/>
  <c r="AQ25" i="10"/>
  <c r="AQ10" i="10"/>
  <c r="AF27" i="4"/>
  <c r="AF143" i="4"/>
  <c r="AF26" i="4"/>
  <c r="AW3" i="28"/>
  <c r="AE136" i="4"/>
  <c r="AE114" i="4"/>
  <c r="AI5" i="4"/>
  <c r="AI12" i="4"/>
  <c r="AF145" i="4"/>
  <c r="AF121" i="4"/>
  <c r="AF144" i="4"/>
  <c r="AF122" i="4"/>
  <c r="AF123" i="4"/>
  <c r="AY4" i="28"/>
  <c r="AZ4" i="28"/>
  <c r="AI3" i="4"/>
  <c r="AI4" i="4"/>
  <c r="AF114" i="4"/>
  <c r="AF136" i="4"/>
  <c r="AF18" i="4"/>
  <c r="AF25" i="4"/>
  <c r="DK40" i="10" l="1"/>
  <c r="DK95" i="10"/>
  <c r="DK163" i="10"/>
  <c r="DK16" i="10"/>
  <c r="DK54" i="10"/>
  <c r="DK50" i="10"/>
  <c r="DK102" i="10"/>
  <c r="DK198" i="10"/>
  <c r="DK6" i="10"/>
  <c r="DK154" i="10"/>
  <c r="DK150" i="10"/>
  <c r="DK70" i="10"/>
  <c r="DK74" i="10"/>
  <c r="DK62" i="10"/>
  <c r="DK66" i="10"/>
  <c r="DK42" i="10"/>
  <c r="DK158" i="10"/>
  <c r="DK9" i="10"/>
  <c r="DK28" i="10"/>
  <c r="AR3" i="10"/>
  <c r="DL3" i="10"/>
  <c r="CN3" i="10"/>
  <c r="BP3" i="10"/>
  <c r="DK45" i="10"/>
  <c r="DK182" i="10"/>
  <c r="DK32" i="10"/>
  <c r="DK13" i="10"/>
  <c r="DK31" i="10"/>
  <c r="CN46" i="10"/>
  <c r="BP10" i="10"/>
  <c r="BP18" i="10"/>
  <c r="BP26" i="10"/>
  <c r="BP34" i="10"/>
  <c r="BP37" i="10"/>
  <c r="BP16" i="10"/>
  <c r="BP24" i="10"/>
  <c r="BP28" i="10"/>
  <c r="BP14" i="10"/>
  <c r="BP22" i="10"/>
  <c r="BP30" i="10"/>
  <c r="BP32" i="10"/>
  <c r="BP12" i="10"/>
  <c r="BP20" i="10"/>
  <c r="BP36" i="10"/>
  <c r="CN6" i="10"/>
  <c r="CN8" i="10"/>
  <c r="CN10" i="10"/>
  <c r="CN12" i="10"/>
  <c r="CN14" i="10"/>
  <c r="CN16" i="10"/>
  <c r="CN18" i="10"/>
  <c r="CN20" i="10"/>
  <c r="CN22" i="10"/>
  <c r="CN24" i="10"/>
  <c r="CN26" i="10"/>
  <c r="CN28" i="10"/>
  <c r="CN30" i="10"/>
  <c r="CN32" i="10"/>
  <c r="CN34" i="10"/>
  <c r="CN36" i="10"/>
  <c r="CN38" i="10"/>
  <c r="CN40" i="10"/>
  <c r="CN42" i="10"/>
  <c r="CN44" i="10"/>
  <c r="CN7" i="10"/>
  <c r="CN9" i="10"/>
  <c r="CN11" i="10"/>
  <c r="CN13" i="10"/>
  <c r="CN15" i="10"/>
  <c r="CN17" i="10"/>
  <c r="CN19" i="10"/>
  <c r="CN21" i="10"/>
  <c r="CN23" i="10"/>
  <c r="CN25" i="10"/>
  <c r="CN27" i="10"/>
  <c r="CN29" i="10"/>
  <c r="CN31" i="10"/>
  <c r="CN33" i="10"/>
  <c r="CN35" i="10"/>
  <c r="CN37" i="10"/>
  <c r="CN39" i="10"/>
  <c r="CN41" i="10"/>
  <c r="CN43" i="10"/>
  <c r="CN45" i="10"/>
  <c r="CN200" i="10"/>
  <c r="CN196" i="10"/>
  <c r="CN192" i="10"/>
  <c r="CN188" i="10"/>
  <c r="CN184" i="10"/>
  <c r="CN180" i="10"/>
  <c r="CN176" i="10"/>
  <c r="CN172" i="10"/>
  <c r="CN168" i="10"/>
  <c r="CN166" i="10"/>
  <c r="CN160" i="10"/>
  <c r="CN156" i="10"/>
  <c r="CN152" i="10"/>
  <c r="CN148" i="10"/>
  <c r="CN144" i="10"/>
  <c r="CN140" i="10"/>
  <c r="CN136" i="10"/>
  <c r="CN132" i="10"/>
  <c r="CN128" i="10"/>
  <c r="CN124" i="10"/>
  <c r="CN120" i="10"/>
  <c r="CN116" i="10"/>
  <c r="CN112" i="10"/>
  <c r="CN108" i="10"/>
  <c r="CN104" i="10"/>
  <c r="CN100" i="10"/>
  <c r="CN96" i="10"/>
  <c r="CN92" i="10"/>
  <c r="CN88" i="10"/>
  <c r="CN84" i="10"/>
  <c r="CN80" i="10"/>
  <c r="CN76" i="10"/>
  <c r="CN72" i="10"/>
  <c r="CN68" i="10"/>
  <c r="CN64" i="10"/>
  <c r="CN60" i="10"/>
  <c r="CN56" i="10"/>
  <c r="CN52" i="10"/>
  <c r="CN48" i="10"/>
  <c r="CN199" i="10"/>
  <c r="CN195" i="10"/>
  <c r="CN191" i="10"/>
  <c r="CN187" i="10"/>
  <c r="CN183" i="10"/>
  <c r="CN179" i="10"/>
  <c r="CN175" i="10"/>
  <c r="CN171" i="10"/>
  <c r="CN167" i="10"/>
  <c r="CN164" i="10"/>
  <c r="CN159" i="10"/>
  <c r="CN155" i="10"/>
  <c r="CN151" i="10"/>
  <c r="CN147" i="10"/>
  <c r="CN143" i="10"/>
  <c r="CN139" i="10"/>
  <c r="CN135" i="10"/>
  <c r="CN131" i="10"/>
  <c r="CN127" i="10"/>
  <c r="CN123" i="10"/>
  <c r="CN119" i="10"/>
  <c r="CN115" i="10"/>
  <c r="CN111" i="10"/>
  <c r="CN107" i="10"/>
  <c r="CN103" i="10"/>
  <c r="CN99" i="10"/>
  <c r="CN95" i="10"/>
  <c r="CN91" i="10"/>
  <c r="CN87" i="10"/>
  <c r="CN83" i="10"/>
  <c r="CN79" i="10"/>
  <c r="CN75" i="10"/>
  <c r="CN71" i="10"/>
  <c r="CN67" i="10"/>
  <c r="CN63" i="10"/>
  <c r="CN59" i="10"/>
  <c r="CN55" i="10"/>
  <c r="CN51" i="10"/>
  <c r="CN47" i="10"/>
  <c r="CN198" i="10"/>
  <c r="CN194" i="10"/>
  <c r="CN190" i="10"/>
  <c r="CN186" i="10"/>
  <c r="CN182" i="10"/>
  <c r="CN178" i="10"/>
  <c r="CN174" i="10"/>
  <c r="CN170" i="10"/>
  <c r="CN165" i="10"/>
  <c r="CN162" i="10"/>
  <c r="CN158" i="10"/>
  <c r="CN154" i="10"/>
  <c r="CN150" i="10"/>
  <c r="CN146" i="10"/>
  <c r="CN142" i="10"/>
  <c r="CN138" i="10"/>
  <c r="CN134" i="10"/>
  <c r="CN130" i="10"/>
  <c r="CN126" i="10"/>
  <c r="CN122" i="10"/>
  <c r="CN118" i="10"/>
  <c r="CN114" i="10"/>
  <c r="CN110" i="10"/>
  <c r="CN106" i="10"/>
  <c r="CN102" i="10"/>
  <c r="CN98" i="10"/>
  <c r="CN94" i="10"/>
  <c r="CN90" i="10"/>
  <c r="CN86" i="10"/>
  <c r="CN82" i="10"/>
  <c r="CN78" i="10"/>
  <c r="CN74" i="10"/>
  <c r="CN70" i="10"/>
  <c r="CN66" i="10"/>
  <c r="CN62" i="10"/>
  <c r="CN58" i="10"/>
  <c r="CN54" i="10"/>
  <c r="CN50" i="10"/>
  <c r="CN197" i="10"/>
  <c r="CN193" i="10"/>
  <c r="CN189" i="10"/>
  <c r="CN185" i="10"/>
  <c r="CN181" i="10"/>
  <c r="CN177" i="10"/>
  <c r="CN173" i="10"/>
  <c r="CN169" i="10"/>
  <c r="CN163" i="10"/>
  <c r="CN161" i="10"/>
  <c r="CN157" i="10"/>
  <c r="CN153" i="10"/>
  <c r="CN149" i="10"/>
  <c r="CN145" i="10"/>
  <c r="CN141" i="10"/>
  <c r="CN137" i="10"/>
  <c r="CN133" i="10"/>
  <c r="CN129" i="10"/>
  <c r="CN125" i="10"/>
  <c r="CN121" i="10"/>
  <c r="CN117" i="10"/>
  <c r="CN113" i="10"/>
  <c r="CN109" i="10"/>
  <c r="CN105" i="10"/>
  <c r="CN101" i="10"/>
  <c r="CN97" i="10"/>
  <c r="CN93" i="10"/>
  <c r="CN89" i="10"/>
  <c r="CN85" i="10"/>
  <c r="CN81" i="10"/>
  <c r="CN77" i="10"/>
  <c r="CN73" i="10"/>
  <c r="CN69" i="10"/>
  <c r="CN65" i="10"/>
  <c r="CN61" i="10"/>
  <c r="CN57" i="10"/>
  <c r="CN53" i="10"/>
  <c r="CN49" i="10"/>
  <c r="BP198" i="10"/>
  <c r="DL198" i="10" s="1"/>
  <c r="DM198" i="10" s="1"/>
  <c r="BP186" i="10"/>
  <c r="BP178" i="10"/>
  <c r="BP170" i="10"/>
  <c r="DL170" i="10" s="1"/>
  <c r="DM170" i="10" s="1"/>
  <c r="BP200" i="10"/>
  <c r="DL200" i="10" s="1"/>
  <c r="DM200" i="10" s="1"/>
  <c r="BP194" i="10"/>
  <c r="DL194" i="10" s="1"/>
  <c r="DM194" i="10" s="1"/>
  <c r="BP191" i="10"/>
  <c r="BP160" i="10"/>
  <c r="DL160" i="10" s="1"/>
  <c r="DM160" i="10" s="1"/>
  <c r="BP156" i="10"/>
  <c r="DL156" i="10" s="1"/>
  <c r="DM156" i="10" s="1"/>
  <c r="BP152" i="10"/>
  <c r="DL152" i="10" s="1"/>
  <c r="DM152" i="10" s="1"/>
  <c r="BP148" i="10"/>
  <c r="DL148" i="10" s="1"/>
  <c r="DM148" i="10" s="1"/>
  <c r="BP144" i="10"/>
  <c r="DL144" i="10" s="1"/>
  <c r="DM144" i="10" s="1"/>
  <c r="BP140" i="10"/>
  <c r="DL140" i="10" s="1"/>
  <c r="DM140" i="10" s="1"/>
  <c r="BP136" i="10"/>
  <c r="DL136" i="10" s="1"/>
  <c r="DM136" i="10" s="1"/>
  <c r="BP132" i="10"/>
  <c r="DL132" i="10" s="1"/>
  <c r="DM132" i="10" s="1"/>
  <c r="BP128" i="10"/>
  <c r="DL128" i="10" s="1"/>
  <c r="DM128" i="10" s="1"/>
  <c r="BP124" i="10"/>
  <c r="DL124" i="10" s="1"/>
  <c r="DM124" i="10" s="1"/>
  <c r="BP120" i="10"/>
  <c r="DL120" i="10" s="1"/>
  <c r="DM120" i="10" s="1"/>
  <c r="BP117" i="10"/>
  <c r="DL117" i="10" s="1"/>
  <c r="DM117" i="10" s="1"/>
  <c r="BP113" i="10"/>
  <c r="DL113" i="10" s="1"/>
  <c r="DM113" i="10" s="1"/>
  <c r="BP109" i="10"/>
  <c r="DL109" i="10" s="1"/>
  <c r="DM109" i="10" s="1"/>
  <c r="BP105" i="10"/>
  <c r="DL105" i="10" s="1"/>
  <c r="DM105" i="10" s="1"/>
  <c r="BP181" i="10"/>
  <c r="DL181" i="10" s="1"/>
  <c r="DM181" i="10" s="1"/>
  <c r="BP165" i="10"/>
  <c r="DL165" i="10" s="1"/>
  <c r="DM165" i="10" s="1"/>
  <c r="BP175" i="10"/>
  <c r="DL175" i="10" s="1"/>
  <c r="DM175" i="10" s="1"/>
  <c r="BP98" i="10"/>
  <c r="DL98" i="10" s="1"/>
  <c r="DM98" i="10" s="1"/>
  <c r="BP90" i="10"/>
  <c r="DL90" i="10" s="1"/>
  <c r="DM90" i="10" s="1"/>
  <c r="BP82" i="10"/>
  <c r="BP101" i="10"/>
  <c r="BP93" i="10"/>
  <c r="BP85" i="10"/>
  <c r="DL85" i="10" s="1"/>
  <c r="DM85" i="10" s="1"/>
  <c r="BP77" i="10"/>
  <c r="DL77" i="10" s="1"/>
  <c r="DM77" i="10" s="1"/>
  <c r="BP69" i="10"/>
  <c r="BP38" i="10"/>
  <c r="DL38" i="10" s="1"/>
  <c r="BP42" i="10"/>
  <c r="DL42" i="10" s="1"/>
  <c r="DM42" i="10" s="1"/>
  <c r="BP46" i="10"/>
  <c r="DL46" i="10" s="1"/>
  <c r="DM46" i="10" s="1"/>
  <c r="BP50" i="10"/>
  <c r="DL50" i="10" s="1"/>
  <c r="DM50" i="10" s="1"/>
  <c r="BP54" i="10"/>
  <c r="DL54" i="10" s="1"/>
  <c r="DM54" i="10" s="1"/>
  <c r="BP58" i="10"/>
  <c r="DL58" i="10" s="1"/>
  <c r="DM58" i="10" s="1"/>
  <c r="BP62" i="10"/>
  <c r="DL62" i="10" s="1"/>
  <c r="DM62" i="10" s="1"/>
  <c r="BP193" i="10"/>
  <c r="DL193" i="10" s="1"/>
  <c r="DM193" i="10" s="1"/>
  <c r="BP184" i="10"/>
  <c r="DL184" i="10" s="1"/>
  <c r="DM184" i="10" s="1"/>
  <c r="BP176" i="10"/>
  <c r="DL176" i="10" s="1"/>
  <c r="DM176" i="10" s="1"/>
  <c r="BP168" i="10"/>
  <c r="DL168" i="10" s="1"/>
  <c r="DM168" i="10" s="1"/>
  <c r="BP195" i="10"/>
  <c r="DL195" i="10" s="1"/>
  <c r="DM195" i="10" s="1"/>
  <c r="BP189" i="10"/>
  <c r="DL189" i="10" s="1"/>
  <c r="DM189" i="10" s="1"/>
  <c r="BP163" i="10"/>
  <c r="DL163" i="10" s="1"/>
  <c r="DM163" i="10" s="1"/>
  <c r="BP159" i="10"/>
  <c r="DL159" i="10" s="1"/>
  <c r="DM159" i="10" s="1"/>
  <c r="BP155" i="10"/>
  <c r="DL155" i="10" s="1"/>
  <c r="DM155" i="10" s="1"/>
  <c r="BP151" i="10"/>
  <c r="DL151" i="10" s="1"/>
  <c r="DM151" i="10" s="1"/>
  <c r="BP147" i="10"/>
  <c r="DL147" i="10" s="1"/>
  <c r="DM147" i="10" s="1"/>
  <c r="BP143" i="10"/>
  <c r="DL143" i="10" s="1"/>
  <c r="DM143" i="10" s="1"/>
  <c r="BP139" i="10"/>
  <c r="DL139" i="10" s="1"/>
  <c r="DM139" i="10" s="1"/>
  <c r="BP135" i="10"/>
  <c r="DL135" i="10" s="1"/>
  <c r="DM135" i="10" s="1"/>
  <c r="BP131" i="10"/>
  <c r="DL131" i="10" s="1"/>
  <c r="DM131" i="10" s="1"/>
  <c r="BP127" i="10"/>
  <c r="DL127" i="10" s="1"/>
  <c r="DM127" i="10" s="1"/>
  <c r="BP123" i="10"/>
  <c r="DL123" i="10" s="1"/>
  <c r="DM123" i="10" s="1"/>
  <c r="BP119" i="10"/>
  <c r="DL119" i="10" s="1"/>
  <c r="DM119" i="10" s="1"/>
  <c r="BP116" i="10"/>
  <c r="DL116" i="10" s="1"/>
  <c r="DM116" i="10" s="1"/>
  <c r="BP112" i="10"/>
  <c r="DL112" i="10" s="1"/>
  <c r="DM112" i="10" s="1"/>
  <c r="BP108" i="10"/>
  <c r="DL108" i="10" s="1"/>
  <c r="DM108" i="10" s="1"/>
  <c r="BP104" i="10"/>
  <c r="DL104" i="10" s="1"/>
  <c r="DM104" i="10" s="1"/>
  <c r="BP177" i="10"/>
  <c r="DL177" i="10" s="1"/>
  <c r="DM177" i="10" s="1"/>
  <c r="BP187" i="10"/>
  <c r="DL187" i="10" s="1"/>
  <c r="DM187" i="10" s="1"/>
  <c r="BP171" i="10"/>
  <c r="DL171" i="10" s="1"/>
  <c r="DM171" i="10" s="1"/>
  <c r="BP96" i="10"/>
  <c r="DL96" i="10" s="1"/>
  <c r="DM96" i="10" s="1"/>
  <c r="BP88" i="10"/>
  <c r="DL88" i="10" s="1"/>
  <c r="DM88" i="10" s="1"/>
  <c r="BP80" i="10"/>
  <c r="DL80" i="10" s="1"/>
  <c r="DM80" i="10" s="1"/>
  <c r="BP99" i="10"/>
  <c r="DL99" i="10" s="1"/>
  <c r="DM99" i="10" s="1"/>
  <c r="BP91" i="10"/>
  <c r="DL91" i="10" s="1"/>
  <c r="DM91" i="10" s="1"/>
  <c r="BP83" i="10"/>
  <c r="DL83" i="10" s="1"/>
  <c r="DM83" i="10" s="1"/>
  <c r="BP75" i="10"/>
  <c r="DL75" i="10" s="1"/>
  <c r="DM75" i="10" s="1"/>
  <c r="BP67" i="10"/>
  <c r="DL67" i="10" s="1"/>
  <c r="DM67" i="10" s="1"/>
  <c r="BP7" i="10"/>
  <c r="DL7" i="10" s="1"/>
  <c r="DM7" i="10" s="1"/>
  <c r="BP41" i="10"/>
  <c r="DL41" i="10" s="1"/>
  <c r="DM41" i="10" s="1"/>
  <c r="BP45" i="10"/>
  <c r="DL45" i="10" s="1"/>
  <c r="DM45" i="10" s="1"/>
  <c r="BP49" i="10"/>
  <c r="DL49" i="10" s="1"/>
  <c r="DM49" i="10" s="1"/>
  <c r="BP53" i="10"/>
  <c r="DL53" i="10" s="1"/>
  <c r="DM53" i="10" s="1"/>
  <c r="BP57" i="10"/>
  <c r="DL57" i="10" s="1"/>
  <c r="DM57" i="10" s="1"/>
  <c r="BP61" i="10"/>
  <c r="DL61" i="10" s="1"/>
  <c r="DM61" i="10" s="1"/>
  <c r="BP65" i="10"/>
  <c r="DL65" i="10" s="1"/>
  <c r="DM65" i="10" s="1"/>
  <c r="BP190" i="10"/>
  <c r="DL190" i="10" s="1"/>
  <c r="DM190" i="10" s="1"/>
  <c r="BP182" i="10"/>
  <c r="DL182" i="10" s="1"/>
  <c r="DM182" i="10" s="1"/>
  <c r="BP174" i="10"/>
  <c r="DL174" i="10" s="1"/>
  <c r="DM174" i="10" s="1"/>
  <c r="BP166" i="10"/>
  <c r="DL166" i="10" s="1"/>
  <c r="DM166" i="10" s="1"/>
  <c r="BP192" i="10"/>
  <c r="DL192" i="10" s="1"/>
  <c r="DM192" i="10" s="1"/>
  <c r="BP199" i="10"/>
  <c r="DL199" i="10" s="1"/>
  <c r="DM199" i="10" s="1"/>
  <c r="BP162" i="10"/>
  <c r="DL162" i="10" s="1"/>
  <c r="BP158" i="10"/>
  <c r="DL158" i="10" s="1"/>
  <c r="DM158" i="10" s="1"/>
  <c r="BP154" i="10"/>
  <c r="DL154" i="10" s="1"/>
  <c r="DM154" i="10" s="1"/>
  <c r="BP150" i="10"/>
  <c r="DL150" i="10" s="1"/>
  <c r="DM150" i="10" s="1"/>
  <c r="BP146" i="10"/>
  <c r="DL146" i="10" s="1"/>
  <c r="DM146" i="10" s="1"/>
  <c r="BP142" i="10"/>
  <c r="DL142" i="10" s="1"/>
  <c r="DM142" i="10" s="1"/>
  <c r="BP138" i="10"/>
  <c r="DL138" i="10" s="1"/>
  <c r="DM138" i="10" s="1"/>
  <c r="BP134" i="10"/>
  <c r="DL134" i="10" s="1"/>
  <c r="DM134" i="10" s="1"/>
  <c r="BP130" i="10"/>
  <c r="DL130" i="10" s="1"/>
  <c r="DM130" i="10" s="1"/>
  <c r="BP126" i="10"/>
  <c r="DL126" i="10" s="1"/>
  <c r="DM126" i="10" s="1"/>
  <c r="BP122" i="10"/>
  <c r="DL122" i="10" s="1"/>
  <c r="DM122" i="10" s="1"/>
  <c r="BP118" i="10"/>
  <c r="DL118" i="10" s="1"/>
  <c r="DM118" i="10" s="1"/>
  <c r="BP115" i="10"/>
  <c r="DL115" i="10" s="1"/>
  <c r="DM115" i="10" s="1"/>
  <c r="BP111" i="10"/>
  <c r="DL111" i="10" s="1"/>
  <c r="DM111" i="10" s="1"/>
  <c r="BP107" i="10"/>
  <c r="DL107" i="10" s="1"/>
  <c r="DM107" i="10" s="1"/>
  <c r="BP103" i="10"/>
  <c r="DL103" i="10" s="1"/>
  <c r="DM103" i="10" s="1"/>
  <c r="BP173" i="10"/>
  <c r="DL173" i="10" s="1"/>
  <c r="DM173" i="10" s="1"/>
  <c r="BP185" i="10"/>
  <c r="DL185" i="10" s="1"/>
  <c r="DM185" i="10" s="1"/>
  <c r="BP167" i="10"/>
  <c r="DL167" i="10" s="1"/>
  <c r="DM167" i="10" s="1"/>
  <c r="BP94" i="10"/>
  <c r="DL94" i="10" s="1"/>
  <c r="DM94" i="10" s="1"/>
  <c r="BP86" i="10"/>
  <c r="DL86" i="10" s="1"/>
  <c r="DM86" i="10" s="1"/>
  <c r="BP78" i="10"/>
  <c r="DL78" i="10" s="1"/>
  <c r="DM78" i="10" s="1"/>
  <c r="BP97" i="10"/>
  <c r="DL97" i="10" s="1"/>
  <c r="DM97" i="10" s="1"/>
  <c r="BP89" i="10"/>
  <c r="DL89" i="10" s="1"/>
  <c r="DM89" i="10" s="1"/>
  <c r="BP81" i="10"/>
  <c r="DL81" i="10" s="1"/>
  <c r="DM81" i="10" s="1"/>
  <c r="BP73" i="10"/>
  <c r="DL73" i="10" s="1"/>
  <c r="DM73" i="10" s="1"/>
  <c r="BP40" i="10"/>
  <c r="DL40" i="10" s="1"/>
  <c r="DM40" i="10" s="1"/>
  <c r="BP44" i="10"/>
  <c r="DL44" i="10" s="1"/>
  <c r="DM44" i="10" s="1"/>
  <c r="BP48" i="10"/>
  <c r="DL48" i="10" s="1"/>
  <c r="DM48" i="10" s="1"/>
  <c r="BP52" i="10"/>
  <c r="DL52" i="10" s="1"/>
  <c r="DM52" i="10" s="1"/>
  <c r="BP56" i="10"/>
  <c r="DL56" i="10" s="1"/>
  <c r="DM56" i="10" s="1"/>
  <c r="BP60" i="10"/>
  <c r="DL60" i="10" s="1"/>
  <c r="DM60" i="10" s="1"/>
  <c r="BP64" i="10"/>
  <c r="DL64" i="10" s="1"/>
  <c r="DM64" i="10" s="1"/>
  <c r="BP68" i="10"/>
  <c r="DL68" i="10" s="1"/>
  <c r="DM68" i="10" s="1"/>
  <c r="BP9" i="10"/>
  <c r="DL9" i="10" s="1"/>
  <c r="DM9" i="10" s="1"/>
  <c r="BP11" i="10"/>
  <c r="DL11" i="10" s="1"/>
  <c r="DM11" i="10" s="1"/>
  <c r="BP13" i="10"/>
  <c r="DL13" i="10" s="1"/>
  <c r="DM13" i="10" s="1"/>
  <c r="BP15" i="10"/>
  <c r="DL15" i="10" s="1"/>
  <c r="DM15" i="10" s="1"/>
  <c r="BP17" i="10"/>
  <c r="DL17" i="10" s="1"/>
  <c r="DM17" i="10" s="1"/>
  <c r="BP19" i="10"/>
  <c r="DL19" i="10" s="1"/>
  <c r="DM19" i="10" s="1"/>
  <c r="BP21" i="10"/>
  <c r="DL21" i="10" s="1"/>
  <c r="BP23" i="10"/>
  <c r="DL23" i="10" s="1"/>
  <c r="BP25" i="10"/>
  <c r="DL25" i="10" s="1"/>
  <c r="DM25" i="10" s="1"/>
  <c r="BP27" i="10"/>
  <c r="DL27" i="10" s="1"/>
  <c r="DM27" i="10" s="1"/>
  <c r="BP29" i="10"/>
  <c r="DL29" i="10" s="1"/>
  <c r="DM29" i="10" s="1"/>
  <c r="BP31" i="10"/>
  <c r="DL31" i="10" s="1"/>
  <c r="DM31" i="10" s="1"/>
  <c r="BP33" i="10"/>
  <c r="DL33" i="10" s="1"/>
  <c r="BP35" i="10"/>
  <c r="DL35" i="10" s="1"/>
  <c r="BP188" i="10"/>
  <c r="DL188" i="10" s="1"/>
  <c r="DM188" i="10" s="1"/>
  <c r="BP180" i="10"/>
  <c r="DL180" i="10" s="1"/>
  <c r="DM180" i="10" s="1"/>
  <c r="BP172" i="10"/>
  <c r="DL172" i="10" s="1"/>
  <c r="DM172" i="10" s="1"/>
  <c r="BP164" i="10"/>
  <c r="DL164" i="10" s="1"/>
  <c r="DM164" i="10" s="1"/>
  <c r="BP197" i="10"/>
  <c r="DL197" i="10" s="1"/>
  <c r="DM197" i="10" s="1"/>
  <c r="BP196" i="10"/>
  <c r="DL196" i="10" s="1"/>
  <c r="DM196" i="10" s="1"/>
  <c r="BP161" i="10"/>
  <c r="DL161" i="10" s="1"/>
  <c r="DM161" i="10" s="1"/>
  <c r="BP157" i="10"/>
  <c r="DL157" i="10" s="1"/>
  <c r="DM157" i="10" s="1"/>
  <c r="BP153" i="10"/>
  <c r="DL153" i="10" s="1"/>
  <c r="DM153" i="10" s="1"/>
  <c r="BP149" i="10"/>
  <c r="DL149" i="10" s="1"/>
  <c r="DM149" i="10" s="1"/>
  <c r="BP145" i="10"/>
  <c r="DL145" i="10" s="1"/>
  <c r="DM145" i="10" s="1"/>
  <c r="BP141" i="10"/>
  <c r="DL141" i="10" s="1"/>
  <c r="DM141" i="10" s="1"/>
  <c r="BP137" i="10"/>
  <c r="DL137" i="10" s="1"/>
  <c r="DM137" i="10" s="1"/>
  <c r="BP133" i="10"/>
  <c r="DL133" i="10" s="1"/>
  <c r="DM133" i="10" s="1"/>
  <c r="BP129" i="10"/>
  <c r="DL129" i="10" s="1"/>
  <c r="DM129" i="10" s="1"/>
  <c r="BP125" i="10"/>
  <c r="DL125" i="10" s="1"/>
  <c r="DM125" i="10" s="1"/>
  <c r="BP121" i="10"/>
  <c r="DL121" i="10" s="1"/>
  <c r="DM121" i="10" s="1"/>
  <c r="BP183" i="10"/>
  <c r="DL183" i="10" s="1"/>
  <c r="DM183" i="10" s="1"/>
  <c r="BP114" i="10"/>
  <c r="DL114" i="10" s="1"/>
  <c r="BP110" i="10"/>
  <c r="DL110" i="10" s="1"/>
  <c r="DM110" i="10" s="1"/>
  <c r="BP106" i="10"/>
  <c r="DL106" i="10" s="1"/>
  <c r="DM106" i="10" s="1"/>
  <c r="BP102" i="10"/>
  <c r="DL102" i="10" s="1"/>
  <c r="DM102" i="10" s="1"/>
  <c r="BP169" i="10"/>
  <c r="DL169" i="10" s="1"/>
  <c r="DM169" i="10" s="1"/>
  <c r="BP179" i="10"/>
  <c r="DL179" i="10" s="1"/>
  <c r="DM179" i="10" s="1"/>
  <c r="BP100" i="10"/>
  <c r="DL100" i="10" s="1"/>
  <c r="DM100" i="10" s="1"/>
  <c r="BP92" i="10"/>
  <c r="DL92" i="10" s="1"/>
  <c r="DM92" i="10" s="1"/>
  <c r="BP84" i="10"/>
  <c r="DL84" i="10" s="1"/>
  <c r="DM84" i="10" s="1"/>
  <c r="BP76" i="10"/>
  <c r="DL76" i="10" s="1"/>
  <c r="DM76" i="10" s="1"/>
  <c r="BP95" i="10"/>
  <c r="DL95" i="10" s="1"/>
  <c r="DM95" i="10" s="1"/>
  <c r="BP87" i="10"/>
  <c r="DL87" i="10" s="1"/>
  <c r="DM87" i="10" s="1"/>
  <c r="BP79" i="10"/>
  <c r="DL79" i="10" s="1"/>
  <c r="DM79" i="10" s="1"/>
  <c r="BP71" i="10"/>
  <c r="DL71" i="10" s="1"/>
  <c r="DM71" i="10" s="1"/>
  <c r="BP6" i="10"/>
  <c r="DL6" i="10" s="1"/>
  <c r="DM6" i="10" s="1"/>
  <c r="BP8" i="10"/>
  <c r="DL8" i="10" s="1"/>
  <c r="DM8" i="10" s="1"/>
  <c r="BP39" i="10"/>
  <c r="DL39" i="10" s="1"/>
  <c r="DM39" i="10" s="1"/>
  <c r="BP43" i="10"/>
  <c r="DL43" i="10" s="1"/>
  <c r="DM43" i="10" s="1"/>
  <c r="BP47" i="10"/>
  <c r="DL47" i="10" s="1"/>
  <c r="DM47" i="10" s="1"/>
  <c r="BP51" i="10"/>
  <c r="DL51" i="10" s="1"/>
  <c r="DM51" i="10" s="1"/>
  <c r="BP55" i="10"/>
  <c r="DL55" i="10" s="1"/>
  <c r="DM55" i="10" s="1"/>
  <c r="BP59" i="10"/>
  <c r="DL59" i="10" s="1"/>
  <c r="DM59" i="10" s="1"/>
  <c r="BP63" i="10"/>
  <c r="DL63" i="10" s="1"/>
  <c r="DM63" i="10" s="1"/>
  <c r="BP72" i="10"/>
  <c r="DL72" i="10" s="1"/>
  <c r="DM72" i="10" s="1"/>
  <c r="BP66" i="10"/>
  <c r="DL66" i="10" s="1"/>
  <c r="DM66" i="10" s="1"/>
  <c r="BP74" i="10"/>
  <c r="DL74" i="10" s="1"/>
  <c r="DM74" i="10" s="1"/>
  <c r="BP70" i="10"/>
  <c r="DL70" i="10" s="1"/>
  <c r="DM70" i="10" s="1"/>
  <c r="AH120" i="4"/>
  <c r="AH119" i="4"/>
  <c r="AH10" i="4"/>
  <c r="AH24" i="4"/>
  <c r="AH23" i="4"/>
  <c r="AH108" i="4"/>
  <c r="AH130" i="4"/>
  <c r="AH142" i="4"/>
  <c r="AH141" i="4"/>
  <c r="AH140" i="4"/>
  <c r="AH22" i="4"/>
  <c r="AH118" i="4"/>
  <c r="AH109" i="4"/>
  <c r="AH131" i="4"/>
  <c r="AH11" i="4"/>
  <c r="AH134" i="4"/>
  <c r="AH112" i="4"/>
  <c r="AH17" i="4"/>
  <c r="AH113" i="4"/>
  <c r="AH135" i="4"/>
  <c r="AH16" i="4"/>
  <c r="DK38" i="10"/>
  <c r="DK114" i="10"/>
  <c r="DK162" i="10"/>
  <c r="DK30" i="10"/>
  <c r="DK35" i="10"/>
  <c r="DK23" i="10"/>
  <c r="DK12" i="10"/>
  <c r="DK22" i="10"/>
  <c r="DK82" i="10"/>
  <c r="DK14" i="10"/>
  <c r="DK21" i="10"/>
  <c r="DK37" i="10"/>
  <c r="DK33" i="10"/>
  <c r="AR18" i="10"/>
  <c r="AR199" i="10"/>
  <c r="AR195" i="10"/>
  <c r="AR191" i="10"/>
  <c r="AR187" i="10"/>
  <c r="AR183" i="10"/>
  <c r="AR179" i="10"/>
  <c r="AR175" i="10"/>
  <c r="AR171" i="10"/>
  <c r="AR167" i="10"/>
  <c r="AR163" i="10"/>
  <c r="AR159" i="10"/>
  <c r="AR155" i="10"/>
  <c r="AR151" i="10"/>
  <c r="AR147" i="10"/>
  <c r="AR143" i="10"/>
  <c r="AR139" i="10"/>
  <c r="AR135" i="10"/>
  <c r="AR131" i="10"/>
  <c r="AR127" i="10"/>
  <c r="AR123" i="10"/>
  <c r="AR119" i="10"/>
  <c r="AR115" i="10"/>
  <c r="AR109" i="10"/>
  <c r="AR101" i="10"/>
  <c r="AR93" i="10"/>
  <c r="AR106" i="10"/>
  <c r="AR98" i="10"/>
  <c r="AR90" i="10"/>
  <c r="AR82" i="10"/>
  <c r="AR74" i="10"/>
  <c r="AR68" i="10"/>
  <c r="AR60" i="10"/>
  <c r="AR52" i="10"/>
  <c r="AR87" i="10"/>
  <c r="AR44" i="10"/>
  <c r="AR40" i="10"/>
  <c r="AR36" i="10"/>
  <c r="AR32" i="10"/>
  <c r="AR28" i="10"/>
  <c r="AR24" i="10"/>
  <c r="AR20" i="10"/>
  <c r="AR69" i="10"/>
  <c r="AR61" i="10"/>
  <c r="AR53" i="10"/>
  <c r="AR89" i="10"/>
  <c r="AR6" i="10"/>
  <c r="AR19" i="10"/>
  <c r="AR198" i="10"/>
  <c r="AR194" i="10"/>
  <c r="AR190" i="10"/>
  <c r="AR186" i="10"/>
  <c r="AR182" i="10"/>
  <c r="AR178" i="10"/>
  <c r="AR174" i="10"/>
  <c r="AR170" i="10"/>
  <c r="AR166" i="10"/>
  <c r="AR162" i="10"/>
  <c r="AR158" i="10"/>
  <c r="AR154" i="10"/>
  <c r="AR150" i="10"/>
  <c r="AR146" i="10"/>
  <c r="AR142" i="10"/>
  <c r="AR138" i="10"/>
  <c r="AR134" i="10"/>
  <c r="AR130" i="10"/>
  <c r="AR126" i="10"/>
  <c r="AR122" i="10"/>
  <c r="AR118" i="10"/>
  <c r="AR114" i="10"/>
  <c r="AR107" i="10"/>
  <c r="AR99" i="10"/>
  <c r="AR112" i="10"/>
  <c r="AR104" i="10"/>
  <c r="AR96" i="10"/>
  <c r="AR88" i="10"/>
  <c r="AR80" i="10"/>
  <c r="AR77" i="10"/>
  <c r="AR66" i="10"/>
  <c r="AR58" i="10"/>
  <c r="AR50" i="10"/>
  <c r="AR79" i="10"/>
  <c r="AR43" i="10"/>
  <c r="AR39" i="10"/>
  <c r="AR35" i="10"/>
  <c r="AR31" i="10"/>
  <c r="AR27" i="10"/>
  <c r="AR23" i="10"/>
  <c r="AR81" i="10"/>
  <c r="AR67" i="10"/>
  <c r="AR59" i="10"/>
  <c r="AR51" i="10"/>
  <c r="AR85" i="10"/>
  <c r="AR8" i="10"/>
  <c r="AR10" i="10"/>
  <c r="AR12" i="10"/>
  <c r="AR14" i="10"/>
  <c r="AR16" i="10"/>
  <c r="AR197" i="10"/>
  <c r="AR193" i="10"/>
  <c r="AR189" i="10"/>
  <c r="AR185" i="10"/>
  <c r="AR181" i="10"/>
  <c r="AR177" i="10"/>
  <c r="AR173" i="10"/>
  <c r="AR169" i="10"/>
  <c r="AR165" i="10"/>
  <c r="AR161" i="10"/>
  <c r="AR157" i="10"/>
  <c r="AR153" i="10"/>
  <c r="AR149" i="10"/>
  <c r="AR145" i="10"/>
  <c r="AR141" i="10"/>
  <c r="AR137" i="10"/>
  <c r="AR133" i="10"/>
  <c r="AR129" i="10"/>
  <c r="AR125" i="10"/>
  <c r="AR121" i="10"/>
  <c r="AR117" i="10"/>
  <c r="AR113" i="10"/>
  <c r="AR105" i="10"/>
  <c r="AR97" i="10"/>
  <c r="AR110" i="10"/>
  <c r="AR102" i="10"/>
  <c r="AR94" i="10"/>
  <c r="AR86" i="10"/>
  <c r="AR78" i="10"/>
  <c r="AR72" i="10"/>
  <c r="AR64" i="10"/>
  <c r="AR56" i="10"/>
  <c r="AR48" i="10"/>
  <c r="AR46" i="10"/>
  <c r="AR42" i="10"/>
  <c r="AR38" i="10"/>
  <c r="AR34" i="10"/>
  <c r="AR30" i="10"/>
  <c r="AR26" i="10"/>
  <c r="AR22" i="10"/>
  <c r="AR73" i="10"/>
  <c r="AR65" i="10"/>
  <c r="AR57" i="10"/>
  <c r="AR49" i="10"/>
  <c r="AR83" i="10"/>
  <c r="AR192" i="10"/>
  <c r="AR176" i="10"/>
  <c r="AR160" i="10"/>
  <c r="AR144" i="10"/>
  <c r="AR128" i="10"/>
  <c r="AR111" i="10"/>
  <c r="AR100" i="10"/>
  <c r="AR70" i="10"/>
  <c r="AR45" i="10"/>
  <c r="AR29" i="10"/>
  <c r="AR63" i="10"/>
  <c r="AR9" i="10"/>
  <c r="AR17" i="10"/>
  <c r="AR188" i="10"/>
  <c r="AR172" i="10"/>
  <c r="AR156" i="10"/>
  <c r="AR140" i="10"/>
  <c r="AR124" i="10"/>
  <c r="AR103" i="10"/>
  <c r="AR92" i="10"/>
  <c r="AR62" i="10"/>
  <c r="AR41" i="10"/>
  <c r="AR25" i="10"/>
  <c r="AR55" i="10"/>
  <c r="AR15" i="10"/>
  <c r="AR180" i="10"/>
  <c r="AR108" i="10"/>
  <c r="AR91" i="10"/>
  <c r="AR75" i="10"/>
  <c r="AR11" i="10"/>
  <c r="AR7" i="10"/>
  <c r="AR200" i="10"/>
  <c r="AR184" i="10"/>
  <c r="AR168" i="10"/>
  <c r="AR152" i="10"/>
  <c r="AR136" i="10"/>
  <c r="AR120" i="10"/>
  <c r="AR95" i="10"/>
  <c r="AR84" i="10"/>
  <c r="AR54" i="10"/>
  <c r="AR37" i="10"/>
  <c r="AR21" i="10"/>
  <c r="AR47" i="10"/>
  <c r="AR13" i="10"/>
  <c r="AR196" i="10"/>
  <c r="AR164" i="10"/>
  <c r="AR148" i="10"/>
  <c r="AR132" i="10"/>
  <c r="AR116" i="10"/>
  <c r="AR76" i="10"/>
  <c r="AR33" i="10"/>
  <c r="AR71" i="10"/>
  <c r="AG18" i="4"/>
  <c r="AG143" i="4"/>
  <c r="AG25" i="4"/>
  <c r="AG121" i="4"/>
  <c r="AG123" i="4"/>
  <c r="AY3" i="28"/>
  <c r="AG122" i="4"/>
  <c r="AG26" i="4"/>
  <c r="AG145" i="4"/>
  <c r="AG144" i="4"/>
  <c r="AG27" i="4"/>
  <c r="DL191" i="10" l="1"/>
  <c r="DM191" i="10" s="1"/>
  <c r="DL93" i="10"/>
  <c r="DM93" i="10" s="1"/>
  <c r="DL186" i="10"/>
  <c r="DM186" i="10" s="1"/>
  <c r="DM23" i="10"/>
  <c r="DL24" i="10"/>
  <c r="DM24" i="10" s="1"/>
  <c r="DL26" i="10"/>
  <c r="DM26" i="10" s="1"/>
  <c r="DL178" i="10"/>
  <c r="DM178" i="10" s="1"/>
  <c r="DL32" i="10"/>
  <c r="DM32" i="10" s="1"/>
  <c r="DL34" i="10"/>
  <c r="DM34" i="10" s="1"/>
  <c r="DL82" i="10"/>
  <c r="DM82" i="10" s="1"/>
  <c r="AI131" i="4"/>
  <c r="AI11" i="4"/>
  <c r="AI109" i="4"/>
  <c r="AI16" i="4"/>
  <c r="F76" i="4" s="1"/>
  <c r="G76" i="4" s="1"/>
  <c r="AI134" i="4"/>
  <c r="AI112" i="4"/>
  <c r="AI17" i="4"/>
  <c r="AI113" i="4"/>
  <c r="AI135" i="4"/>
  <c r="DL69" i="10"/>
  <c r="DM69" i="10" s="1"/>
  <c r="DL101" i="10"/>
  <c r="DM101" i="10" s="1"/>
  <c r="DL20" i="10"/>
  <c r="DM20" i="10" s="1"/>
  <c r="DL22" i="10"/>
  <c r="DM22" i="10" s="1"/>
  <c r="DL16" i="10"/>
  <c r="DM16" i="10" s="1"/>
  <c r="DL18" i="10"/>
  <c r="DM18" i="10" s="1"/>
  <c r="AI119" i="4"/>
  <c r="AI130" i="4"/>
  <c r="AI142" i="4"/>
  <c r="AI23" i="4"/>
  <c r="AI120" i="4"/>
  <c r="AI10" i="4"/>
  <c r="AI24" i="4"/>
  <c r="AI141" i="4"/>
  <c r="AI108" i="4"/>
  <c r="AI22" i="4"/>
  <c r="F75" i="4" s="1"/>
  <c r="AI140" i="4"/>
  <c r="AI118" i="4"/>
  <c r="DM21" i="10"/>
  <c r="DM162" i="10"/>
  <c r="DL12" i="10"/>
  <c r="DM12" i="10" s="1"/>
  <c r="DL14" i="10"/>
  <c r="DM14" i="10" s="1"/>
  <c r="DL37" i="10"/>
  <c r="DM37" i="10" s="1"/>
  <c r="DL10" i="10"/>
  <c r="DM10" i="10" s="1"/>
  <c r="DM35" i="10"/>
  <c r="DL28" i="10"/>
  <c r="DM28" i="10" s="1"/>
  <c r="DM114" i="10"/>
  <c r="DM33" i="10"/>
  <c r="DM38" i="10"/>
  <c r="DL36" i="10"/>
  <c r="DM36" i="10" s="1"/>
  <c r="DL30" i="10"/>
  <c r="DM30" i="10" s="1"/>
  <c r="AH121" i="4"/>
  <c r="AH25" i="4"/>
  <c r="AH143" i="4"/>
  <c r="AG114" i="4"/>
  <c r="AG136" i="4"/>
  <c r="AH145" i="4"/>
  <c r="AH144" i="4"/>
  <c r="AH122" i="4"/>
  <c r="AH123" i="4"/>
  <c r="AH27" i="4"/>
  <c r="AH26" i="4"/>
  <c r="AH18" i="4"/>
  <c r="G75" i="4" l="1"/>
  <c r="F79" i="4"/>
  <c r="G79" i="4" s="1"/>
  <c r="AI121" i="4"/>
  <c r="A124" i="4" s="1"/>
  <c r="S124" i="4" s="1"/>
  <c r="AI143" i="4"/>
  <c r="A146" i="4" s="1"/>
  <c r="AI123" i="4"/>
  <c r="AI122" i="4"/>
  <c r="AI27" i="4"/>
  <c r="AI144" i="4"/>
  <c r="AI145" i="4"/>
  <c r="AI26" i="4"/>
  <c r="AH114" i="4"/>
  <c r="AH136" i="4"/>
  <c r="AI25" i="4" l="1"/>
  <c r="A28" i="4" s="1"/>
  <c r="AI18" i="4"/>
  <c r="A19" i="4" s="1"/>
  <c r="AI114" i="4"/>
  <c r="A115" i="4" s="1"/>
  <c r="AI136" i="4"/>
  <c r="A137" i="4" s="1"/>
  <c r="P137" i="4" s="1"/>
  <c r="Z124" i="4"/>
  <c r="AH124" i="4"/>
  <c r="M124" i="4"/>
  <c r="AF124" i="4"/>
  <c r="AI124" i="4"/>
  <c r="AG124" i="4"/>
  <c r="P124" i="4"/>
  <c r="AE124" i="4"/>
  <c r="AC124" i="4"/>
  <c r="L124" i="4"/>
  <c r="W124" i="4"/>
  <c r="V124" i="4"/>
  <c r="Y124" i="4"/>
  <c r="X124" i="4"/>
  <c r="O124" i="4"/>
  <c r="R124" i="4"/>
  <c r="Q124" i="4"/>
  <c r="T124" i="4"/>
  <c r="L146" i="4"/>
  <c r="AA124" i="4"/>
  <c r="AD124" i="4"/>
  <c r="N124" i="4"/>
  <c r="U124" i="4"/>
  <c r="AB124" i="4"/>
  <c r="M146" i="4"/>
  <c r="Q146" i="4"/>
  <c r="U146" i="4"/>
  <c r="Y146" i="4"/>
  <c r="AC146" i="4"/>
  <c r="AG146" i="4"/>
  <c r="N146" i="4"/>
  <c r="V146" i="4"/>
  <c r="Z146" i="4"/>
  <c r="AD146" i="4"/>
  <c r="AH146" i="4"/>
  <c r="O146" i="4"/>
  <c r="W146" i="4"/>
  <c r="AE146" i="4"/>
  <c r="P146" i="4"/>
  <c r="T146" i="4"/>
  <c r="X146" i="4"/>
  <c r="AB146" i="4"/>
  <c r="AF146" i="4"/>
  <c r="R146" i="4"/>
  <c r="S146" i="4"/>
  <c r="AA146" i="4"/>
  <c r="AI146" i="4"/>
  <c r="AD76" i="4" l="1"/>
  <c r="AE76" i="4" s="1"/>
  <c r="J76" i="4"/>
  <c r="K76" i="4" s="1"/>
  <c r="F80" i="4"/>
  <c r="G80" i="4" s="1"/>
  <c r="AD75" i="4"/>
  <c r="AE75" i="4" s="1"/>
  <c r="J75" i="4"/>
  <c r="K75" i="4" s="1"/>
  <c r="AE137" i="4"/>
  <c r="Z137" i="4"/>
  <c r="AC137" i="4"/>
  <c r="AB137" i="4"/>
  <c r="L137" i="4"/>
  <c r="AA137" i="4"/>
  <c r="V137" i="4"/>
  <c r="U137" i="4"/>
  <c r="X137" i="4"/>
  <c r="S137" i="4"/>
  <c r="N137" i="4"/>
  <c r="Q137" i="4"/>
  <c r="T137" i="4"/>
  <c r="AD137" i="4"/>
  <c r="AG137" i="4"/>
  <c r="M137" i="4"/>
  <c r="O137" i="4"/>
  <c r="W137" i="4"/>
  <c r="AI137" i="4"/>
  <c r="AH137" i="4"/>
  <c r="R137" i="4"/>
  <c r="Y137" i="4"/>
  <c r="AF137" i="4"/>
  <c r="L19" i="4"/>
  <c r="L115" i="4"/>
  <c r="AH115" i="4"/>
  <c r="O115" i="4"/>
  <c r="S115" i="4"/>
  <c r="W115" i="4"/>
  <c r="AA115" i="4"/>
  <c r="AE115" i="4"/>
  <c r="AI115" i="4"/>
  <c r="P115" i="4"/>
  <c r="T115" i="4"/>
  <c r="X115" i="4"/>
  <c r="AB115" i="4"/>
  <c r="AF115" i="4"/>
  <c r="M115" i="4"/>
  <c r="Q115" i="4"/>
  <c r="U115" i="4"/>
  <c r="Y115" i="4"/>
  <c r="AC115" i="4"/>
  <c r="AG115" i="4"/>
  <c r="N115" i="4"/>
  <c r="R115" i="4"/>
  <c r="V115" i="4"/>
  <c r="Z115" i="4"/>
  <c r="AD115" i="4"/>
  <c r="AE19" i="4"/>
  <c r="R28" i="4"/>
  <c r="Q19" i="4"/>
  <c r="S19" i="4"/>
  <c r="N19" i="4"/>
  <c r="AB19" i="4"/>
  <c r="AH19" i="4"/>
  <c r="AI19" i="4"/>
  <c r="U19" i="4"/>
  <c r="S28" i="4"/>
  <c r="AH28" i="4"/>
  <c r="T28" i="4"/>
  <c r="W28" i="4"/>
  <c r="AE28" i="4"/>
  <c r="M28" i="4"/>
  <c r="AB28" i="4"/>
  <c r="AG19" i="4"/>
  <c r="X19" i="4"/>
  <c r="O19" i="4"/>
  <c r="AG28" i="4"/>
  <c r="Y28" i="4"/>
  <c r="Z28" i="4"/>
  <c r="U28" i="4"/>
  <c r="AF28" i="4"/>
  <c r="V28" i="4"/>
  <c r="AI28" i="4"/>
  <c r="L28" i="4"/>
  <c r="AD28" i="4"/>
  <c r="P28" i="4"/>
  <c r="AC28" i="4"/>
  <c r="O28" i="4"/>
  <c r="X28" i="4"/>
  <c r="N28" i="4"/>
  <c r="AA28" i="4"/>
  <c r="Q28" i="4"/>
  <c r="AD19" i="4"/>
  <c r="AC19" i="4"/>
  <c r="M19" i="4"/>
  <c r="T19" i="4"/>
  <c r="AA19" i="4"/>
  <c r="R19" i="4"/>
  <c r="V19" i="4"/>
  <c r="Y19" i="4"/>
  <c r="AF19" i="4"/>
  <c r="P19" i="4"/>
  <c r="W19" i="4"/>
  <c r="Z19" i="4"/>
  <c r="AH75" i="4" l="1"/>
  <c r="AI75" i="4" s="1"/>
  <c r="AH76" i="4"/>
  <c r="AI76" i="4" s="1"/>
  <c r="AD79" i="4"/>
  <c r="AE79" i="4" s="1"/>
  <c r="AD80" i="4"/>
  <c r="AE80" i="4" s="1"/>
</calcChain>
</file>

<file path=xl/comments1.xml><?xml version="1.0" encoding="utf-8"?>
<comments xmlns="http://schemas.openxmlformats.org/spreadsheetml/2006/main">
  <authors>
    <author>Eric Young</author>
  </authors>
  <commentList>
    <comment ref="U2" authorId="0">
      <text>
        <r>
          <rPr>
            <b/>
            <sz val="9"/>
            <color indexed="81"/>
            <rFont val="Tahoma"/>
            <family val="2"/>
          </rPr>
          <t>Eric Young:</t>
        </r>
        <r>
          <rPr>
            <sz val="9"/>
            <color indexed="81"/>
            <rFont val="Tahoma"/>
            <family val="2"/>
          </rPr>
          <t xml:space="preserve">
These columns calculate whether the resident is still in care home. It's TRUE if the resident is still admitted and has not been discharged. It's FALSE if the resident is discharged.
Formula Logic (need to update):
If (Index &gt; Now)   //Has this month passed yet?
         Return "-"    //Don't evaluate
Else
   If (Admit = blank)   //Is Admit blank? 
         Return "-"        //Don't evaluate
   Else
      And
            If (Admit &lt;= Index)   //Is admitted before this month?
            If (Discharge = blank) //Is discharge blank?
               Return TRUE   //Still in care home
            Else
               Return (Discharge &gt;= Index)   //Is discharge after this month?
</t>
        </r>
      </text>
    </comment>
    <comment ref="AS2" authorId="0">
      <text>
        <r>
          <rPr>
            <b/>
            <sz val="9"/>
            <color indexed="81"/>
            <rFont val="Tahoma"/>
            <family val="2"/>
          </rPr>
          <t>Eric Young:</t>
        </r>
        <r>
          <rPr>
            <sz val="9"/>
            <color indexed="81"/>
            <rFont val="Tahoma"/>
            <family val="2"/>
          </rPr>
          <t xml:space="preserve">
These columns calculate whether the resident has a scheduled medication in that month. It's TRUE if the Scheduled Month Start is equal to or less than Current Date and Scheduled Month Discontinued is empty.
Formula Logic (need to update):
Or   //If either condition below is met
   If (Index Sched is not blank)   //Is the scheduled med cell blank?
      Return (If Scheduled Month Start &lt;= Current Date)
   Else
      Return 0
</t>
        </r>
      </text>
    </comment>
    <comment ref="BQ2" authorId="0">
      <text>
        <r>
          <rPr>
            <b/>
            <sz val="9"/>
            <color indexed="81"/>
            <rFont val="Tahoma"/>
            <family val="2"/>
          </rPr>
          <t>Eric Young:</t>
        </r>
        <r>
          <rPr>
            <sz val="9"/>
            <color indexed="81"/>
            <rFont val="Tahoma"/>
            <family val="2"/>
          </rPr>
          <t xml:space="preserve">
These columns calculate whether the resident has a PRN medication in that month. It's TRUE if the medication has a dosage in the box. It's FALSE if it's empty or if it says "Discontinued".
Formula Logic (need to update):
If 
   Or   //If either condition below is met
      If (Index PRN = blank)   //Is the PRN med cell blank?
         Return 1
      Else
         Return 0
      If (Index PRN contains "disc")   //Does the PRN med cell contain "disc"?
         Return 1
       Else
         Return 0
      Return TRUE (go up one)   //If either statement above is satisfied
   Return 0   //No PRN med
Else
   Return 1   //PRN med here</t>
        </r>
      </text>
    </comment>
    <comment ref="CO2" authorId="0">
      <text>
        <r>
          <rPr>
            <b/>
            <sz val="9"/>
            <color indexed="81"/>
            <rFont val="Tahoma"/>
            <family val="2"/>
          </rPr>
          <t>Eric Young:</t>
        </r>
        <r>
          <rPr>
            <sz val="9"/>
            <color indexed="81"/>
            <rFont val="Tahoma"/>
            <family val="2"/>
          </rPr>
          <t xml:space="preserve">
These columns calculate whether the resident has a PRN medication in that month. It's TRUE if the medication has a dosage in the box. It's FALSE if it's empty or if it says "Discontinued".
Formula Logic (need to update):
If 
   Or   //If either condition below is met
      If (Index Sched = 1)
      If (Index PRN = 1)
      Return TRUE (go up one)   //If either statement above is satisfied
   Return 1   //There is a Sched or PRN present
Else
   Return 0   //There is no Sched or PRN present
</t>
        </r>
      </text>
    </comment>
  </commentList>
</comments>
</file>

<file path=xl/comments2.xml><?xml version="1.0" encoding="utf-8"?>
<comments xmlns="http://schemas.openxmlformats.org/spreadsheetml/2006/main">
  <authors>
    <author>Eric Young</author>
  </authors>
  <commentList>
    <comment ref="A8" authorId="0">
      <text>
        <r>
          <rPr>
            <sz val="9"/>
            <color indexed="81"/>
            <rFont val="Tahoma"/>
            <family val="2"/>
          </rPr>
          <t xml:space="preserve">These measures are based on </t>
        </r>
        <r>
          <rPr>
            <b/>
            <i/>
            <sz val="9"/>
            <color indexed="81"/>
            <rFont val="Tahoma"/>
            <family val="2"/>
          </rPr>
          <t>ResidentData</t>
        </r>
      </text>
    </comment>
    <comment ref="B9" authorId="0">
      <text>
        <r>
          <rPr>
            <b/>
            <sz val="9"/>
            <color indexed="81"/>
            <rFont val="Tahoma"/>
            <family val="2"/>
          </rPr>
          <t>Calculation:</t>
        </r>
        <r>
          <rPr>
            <sz val="9"/>
            <color indexed="81"/>
            <rFont val="Tahoma"/>
            <family val="2"/>
          </rPr>
          <t xml:space="preserve">
Manual count of residents on unit (admitted/enrolled). This can be determined by doing a manual count of residents/beds. Count permanent beds only.
</t>
        </r>
        <r>
          <rPr>
            <b/>
            <sz val="9"/>
            <color indexed="81"/>
            <rFont val="Tahoma"/>
            <family val="2"/>
          </rPr>
          <t>Exclusions:</t>
        </r>
        <r>
          <rPr>
            <sz val="9"/>
            <color indexed="81"/>
            <rFont val="Tahoma"/>
            <family val="2"/>
          </rPr>
          <t xml:space="preserve">
    - Residents in respite or convalescent beds.</t>
        </r>
      </text>
    </comment>
    <comment ref="B10" authorId="0">
      <text>
        <r>
          <rPr>
            <b/>
            <sz val="9"/>
            <color indexed="81"/>
            <rFont val="Tahoma"/>
            <family val="2"/>
          </rPr>
          <t>Calculation:</t>
        </r>
        <r>
          <rPr>
            <sz val="9"/>
            <color indexed="81"/>
            <rFont val="Tahoma"/>
            <family val="2"/>
          </rPr>
          <t xml:space="preserve">
Calculated count of residents</t>
        </r>
        <r>
          <rPr>
            <sz val="9"/>
            <color indexed="81"/>
            <rFont val="Tahoma"/>
            <family val="2"/>
          </rPr>
          <t xml:space="preserve">:
    - on unit (enrolled/admitted)
    - do not have any of the following RAI exclusion criteria:
        - End-stage disease (J5c)
        - Hospice care (P1ao)
        - Schizophrenia (I1ii)
        - Huntington's chorea (I1x)
        - Hallucinations (J1i)
        - Delusions (J1e)
</t>
        </r>
      </text>
    </comment>
    <comment ref="B11" authorId="0">
      <text>
        <r>
          <rPr>
            <b/>
            <sz val="9"/>
            <color indexed="81"/>
            <rFont val="Tahoma"/>
            <family val="2"/>
          </rPr>
          <t xml:space="preserve">Calculation:
</t>
        </r>
        <r>
          <rPr>
            <sz val="9"/>
            <color indexed="81"/>
            <rFont val="Tahoma"/>
            <family val="2"/>
          </rPr>
          <t>Calculated count of residents</t>
        </r>
        <r>
          <rPr>
            <sz val="9"/>
            <color indexed="81"/>
            <rFont val="Tahoma"/>
            <family val="2"/>
          </rPr>
          <t>:
    - on unit (enrolled/admitted)
    - has any of the following RAI exclusion criteria:
        - End-stage disease (J5c)
        - Hospice care (P1ao)
        - Schizophrenia (I1ii)
        - Huntington's chorea (I1x)
        - Hallucinations (J1i)
        - Delusions (J1e)</t>
        </r>
      </text>
    </comment>
    <comment ref="B12" authorId="0">
      <text>
        <r>
          <rPr>
            <b/>
            <sz val="9"/>
            <color indexed="81"/>
            <rFont val="Tahoma"/>
            <family val="2"/>
          </rPr>
          <t>Calculation:</t>
        </r>
        <r>
          <rPr>
            <sz val="9"/>
            <color indexed="81"/>
            <rFont val="Tahoma"/>
            <family val="2"/>
          </rPr>
          <t xml:space="preserve">
Calculated count of residents:
    - enrolled/admitted in the month</t>
        </r>
      </text>
    </comment>
    <comment ref="B13" authorId="0">
      <text>
        <r>
          <rPr>
            <b/>
            <sz val="9"/>
            <color indexed="81"/>
            <rFont val="Tahoma"/>
            <family val="2"/>
          </rPr>
          <t>Calculation:</t>
        </r>
        <r>
          <rPr>
            <sz val="9"/>
            <color indexed="81"/>
            <rFont val="Tahoma"/>
            <family val="2"/>
          </rPr>
          <t xml:space="preserve">
Calculated count of residents</t>
        </r>
        <r>
          <rPr>
            <sz val="9"/>
            <color indexed="81"/>
            <rFont val="Tahoma"/>
            <family val="2"/>
          </rPr>
          <t xml:space="preserve">:
    - enrolled/admitted in the month
    - on antipsychotics (upon enrollment/admission).
</t>
        </r>
        <r>
          <rPr>
            <b/>
            <sz val="9"/>
            <color indexed="81"/>
            <rFont val="Tahoma"/>
            <family val="2"/>
          </rPr>
          <t>Note:</t>
        </r>
        <r>
          <rPr>
            <sz val="9"/>
            <color indexed="81"/>
            <rFont val="Tahoma"/>
            <family val="2"/>
          </rPr>
          <t xml:space="preserve">
Does not count residents admitted without an antipsychotic.</t>
        </r>
      </text>
    </comment>
    <comment ref="A15" authorId="0">
      <text>
        <r>
          <rPr>
            <sz val="9"/>
            <color indexed="81"/>
            <rFont val="Tahoma"/>
            <family val="2"/>
          </rPr>
          <t xml:space="preserve">These measures are based on </t>
        </r>
        <r>
          <rPr>
            <b/>
            <i/>
            <sz val="9"/>
            <color indexed="81"/>
            <rFont val="Tahoma"/>
            <family val="2"/>
          </rPr>
          <t>ResidentData</t>
        </r>
      </text>
    </comment>
    <comment ref="B16" authorId="0">
      <text>
        <r>
          <rPr>
            <b/>
            <sz val="9"/>
            <color indexed="81"/>
            <rFont val="Tahoma"/>
            <family val="2"/>
          </rPr>
          <t>Calculation:</t>
        </r>
        <r>
          <rPr>
            <sz val="9"/>
            <color indexed="81"/>
            <rFont val="Tahoma"/>
            <family val="2"/>
          </rPr>
          <t xml:space="preserve">
Calculated count of residents</t>
        </r>
        <r>
          <rPr>
            <sz val="9"/>
            <color indexed="81"/>
            <rFont val="Tahoma"/>
            <family val="2"/>
          </rPr>
          <t>:
    - on unit (admitted/enrolled)
    - prescribed a scheduled or PRN antipsychotic</t>
        </r>
      </text>
    </comment>
    <comment ref="B17" authorId="0">
      <text>
        <r>
          <rPr>
            <b/>
            <sz val="9"/>
            <color indexed="81"/>
            <rFont val="Tahoma"/>
            <family val="2"/>
          </rPr>
          <t>Calculation:</t>
        </r>
        <r>
          <rPr>
            <sz val="9"/>
            <color indexed="81"/>
            <rFont val="Tahoma"/>
            <family val="2"/>
          </rPr>
          <t xml:space="preserve">
Calculated count of residents</t>
        </r>
        <r>
          <rPr>
            <sz val="9"/>
            <color indexed="81"/>
            <rFont val="Tahoma"/>
            <family val="2"/>
          </rPr>
          <t>:
    - on unit (admitted/enrolled)
    - not prescribed a scheduled or PRN antipsychotic</t>
        </r>
      </text>
    </comment>
    <comment ref="B18" authorId="0">
      <text>
        <r>
          <rPr>
            <b/>
            <sz val="9"/>
            <color indexed="81"/>
            <rFont val="Tahoma"/>
            <family val="2"/>
          </rPr>
          <t>Calculation:</t>
        </r>
        <r>
          <rPr>
            <sz val="9"/>
            <color indexed="81"/>
            <rFont val="Tahoma"/>
            <family val="2"/>
          </rPr>
          <t xml:space="preserve">
Calculated percent:
    - Numerator: # Residents on antipsychotics
    - Denominator: Total # of Residents</t>
        </r>
      </text>
    </comment>
    <comment ref="A21" authorId="0">
      <text>
        <r>
          <rPr>
            <sz val="9"/>
            <color indexed="81"/>
            <rFont val="Tahoma"/>
            <family val="2"/>
          </rPr>
          <t xml:space="preserve">These measures are based on </t>
        </r>
        <r>
          <rPr>
            <b/>
            <i/>
            <sz val="9"/>
            <color indexed="81"/>
            <rFont val="Tahoma"/>
            <family val="2"/>
          </rPr>
          <t>ResidentData</t>
        </r>
      </text>
    </comment>
    <comment ref="B22" authorId="0">
      <text>
        <r>
          <rPr>
            <b/>
            <sz val="9"/>
            <color indexed="81"/>
            <rFont val="Tahoma"/>
            <family val="2"/>
          </rPr>
          <t>Calculation:</t>
        </r>
        <r>
          <rPr>
            <sz val="9"/>
            <color indexed="81"/>
            <rFont val="Tahoma"/>
            <family val="2"/>
          </rPr>
          <t xml:space="preserve">
Calculated count of residents:
    - on unit (admitted/enrolled)
    - do not have any of the following RAI exclusion criteria:
        - End-stage disease (J5c)
        - Hospice care (P1ao)
        - Schizophrenia (I1ii)
        - Huntington's chorea (I1x)
        - Hallucinations (J1i)
        - Delusions (J1e)
    - prescribed a scheduled or PRN antipsychotic</t>
        </r>
      </text>
    </comment>
    <comment ref="B23" authorId="0">
      <text>
        <r>
          <rPr>
            <b/>
            <sz val="9"/>
            <color indexed="81"/>
            <rFont val="Tahoma"/>
            <family val="2"/>
          </rPr>
          <t>Calculation:</t>
        </r>
        <r>
          <rPr>
            <sz val="9"/>
            <color indexed="81"/>
            <rFont val="Tahoma"/>
            <family val="2"/>
          </rPr>
          <t xml:space="preserve">
Calculated count of residents:
    - on unit (admitted/enrolled)
    - do not have any of the following RAI exclusion criteria:
        - End-stage disease (J5c)
        - Hospice care (P1ao)
        - Schizophrenia (I1ii)
        - Huntington's chorea (I1x)
        - Hallucinations (J1i)
        - Delusions (J1e)
    - prescribed a scheduled antipsychotic</t>
        </r>
      </text>
    </comment>
    <comment ref="B24" authorId="0">
      <text>
        <r>
          <rPr>
            <b/>
            <sz val="9"/>
            <color indexed="81"/>
            <rFont val="Tahoma"/>
            <family val="2"/>
          </rPr>
          <t xml:space="preserve">Calculation:
</t>
        </r>
        <r>
          <rPr>
            <sz val="9"/>
            <color indexed="81"/>
            <rFont val="Tahoma"/>
            <family val="2"/>
          </rPr>
          <t>Calculated count of residents:
    - on unit (currently admitted/enrolled)
    - do not have any of the following RAI exclusion criteria:
        - End-stage disease (J5c)
        - Hospice care (P1ao)
        - Schizophrenia (I1ii)
        - Huntington's chorea (I1x)
        - Hallucinations (J1i)
        - Delusions (J1e)
    - prescribed a PRN antipsychotic</t>
        </r>
      </text>
    </comment>
    <comment ref="B25" authorId="0">
      <text>
        <r>
          <rPr>
            <b/>
            <sz val="9"/>
            <color indexed="81"/>
            <rFont val="Tahoma"/>
            <family val="2"/>
          </rPr>
          <t>Calculation:</t>
        </r>
        <r>
          <rPr>
            <sz val="9"/>
            <color indexed="81"/>
            <rFont val="Tahoma"/>
            <family val="2"/>
          </rPr>
          <t xml:space="preserve">
Calculated percent:
    - Numerator: # Residents on antipsychotics without a Dx
    - Denominator: # of Residents without Dx</t>
        </r>
      </text>
    </comment>
    <comment ref="B26" authorId="0">
      <text>
        <r>
          <rPr>
            <b/>
            <sz val="9"/>
            <color indexed="81"/>
            <rFont val="Tahoma"/>
            <family val="2"/>
          </rPr>
          <t>Calculation:</t>
        </r>
        <r>
          <rPr>
            <sz val="9"/>
            <color indexed="81"/>
            <rFont val="Tahoma"/>
            <family val="2"/>
          </rPr>
          <t xml:space="preserve">
Calculated percent:
    - Numerator: # Residents on scheduled antipsychotics without a Dx
    - Denominator: # of Residents without Dx</t>
        </r>
      </text>
    </comment>
    <comment ref="B27" authorId="0">
      <text>
        <r>
          <rPr>
            <b/>
            <sz val="9"/>
            <color indexed="81"/>
            <rFont val="Tahoma"/>
            <family val="2"/>
          </rPr>
          <t>Calculation:</t>
        </r>
        <r>
          <rPr>
            <sz val="9"/>
            <color indexed="81"/>
            <rFont val="Tahoma"/>
            <family val="2"/>
          </rPr>
          <t xml:space="preserve">
Calculated percent:
    - Numerator: # Residents on PRN antipsychotics without a Dx
    - Denominator: # of Residents without Dx</t>
        </r>
      </text>
    </comment>
    <comment ref="A30" authorId="0">
      <text>
        <r>
          <rPr>
            <sz val="9"/>
            <color indexed="81"/>
            <rFont val="Tahoma"/>
            <family val="2"/>
          </rPr>
          <t xml:space="preserve">These measures are based on </t>
        </r>
        <r>
          <rPr>
            <b/>
            <i/>
            <sz val="9"/>
            <color indexed="81"/>
            <rFont val="Tahoma"/>
            <family val="2"/>
          </rPr>
          <t>PDSAData</t>
        </r>
      </text>
    </comment>
    <comment ref="B31" authorId="0">
      <text>
        <r>
          <rPr>
            <b/>
            <sz val="9"/>
            <color indexed="81"/>
            <rFont val="Tahoma"/>
            <family val="2"/>
          </rPr>
          <t xml:space="preserve">Calculation:
</t>
        </r>
        <r>
          <rPr>
            <sz val="9"/>
            <color indexed="81"/>
            <rFont val="Tahoma"/>
            <family val="2"/>
          </rPr>
          <t xml:space="preserve">Calculated count of med reviews (based on </t>
        </r>
        <r>
          <rPr>
            <b/>
            <i/>
            <sz val="9"/>
            <color indexed="81"/>
            <rFont val="Tahoma"/>
            <family val="2"/>
          </rPr>
          <t>PDSAData</t>
        </r>
        <r>
          <rPr>
            <sz val="9"/>
            <color indexed="81"/>
            <rFont val="Tahoma"/>
            <family val="2"/>
          </rPr>
          <t>):
    - # of med reviews completed in the current month</t>
        </r>
      </text>
    </comment>
    <comment ref="B32" authorId="0">
      <text>
        <r>
          <rPr>
            <b/>
            <sz val="9"/>
            <color indexed="81"/>
            <rFont val="Tahoma"/>
            <family val="2"/>
          </rPr>
          <t xml:space="preserve">Calculation:
</t>
        </r>
        <r>
          <rPr>
            <sz val="9"/>
            <color indexed="81"/>
            <rFont val="Tahoma"/>
            <family val="2"/>
          </rPr>
          <t xml:space="preserve">Calculated count of Dost Reduction Trials (based on </t>
        </r>
        <r>
          <rPr>
            <b/>
            <i/>
            <sz val="9"/>
            <color indexed="81"/>
            <rFont val="Tahoma"/>
            <family val="2"/>
          </rPr>
          <t>PDSAData</t>
        </r>
        <r>
          <rPr>
            <sz val="9"/>
            <color indexed="81"/>
            <rFont val="Tahoma"/>
            <family val="2"/>
          </rPr>
          <t>):
    - # of Dose Reduction Trials completed in the current month</t>
        </r>
      </text>
    </comment>
    <comment ref="K35" authorId="0">
      <text>
        <r>
          <rPr>
            <sz val="9"/>
            <color indexed="81"/>
            <rFont val="Tahoma"/>
            <family val="2"/>
          </rPr>
          <t>Change yellow cell to select number of data points to display on chart.</t>
        </r>
      </text>
    </comment>
    <comment ref="F60" authorId="0">
      <text>
        <r>
          <rPr>
            <sz val="9"/>
            <color indexed="81"/>
            <rFont val="Tahoma"/>
            <family val="2"/>
          </rPr>
          <t>Count of unique number of residents ever enrolled/admitted prior to start of Clear.</t>
        </r>
      </text>
    </comment>
    <comment ref="I60" authorId="0">
      <text>
        <r>
          <rPr>
            <sz val="9"/>
            <color indexed="81"/>
            <rFont val="Tahoma"/>
            <family val="2"/>
          </rPr>
          <t>Count of unique number of residents ever enrolled/admitted after the start of Clear.</t>
        </r>
      </text>
    </comment>
    <comment ref="L60" authorId="0">
      <text>
        <r>
          <rPr>
            <sz val="9"/>
            <color indexed="81"/>
            <rFont val="Tahoma"/>
            <family val="2"/>
          </rPr>
          <t>Count of unique number of residents ever enrolled/admitted throughout Clear.</t>
        </r>
      </text>
    </comment>
    <comment ref="T60" authorId="0">
      <text>
        <r>
          <rPr>
            <sz val="9"/>
            <color indexed="81"/>
            <rFont val="Tahoma"/>
            <family val="2"/>
          </rPr>
          <t>Count of unique number of residents ever enrolled/admitted prior to start of Clear.</t>
        </r>
      </text>
    </comment>
    <comment ref="W60" authorId="0">
      <text>
        <r>
          <rPr>
            <sz val="9"/>
            <color indexed="81"/>
            <rFont val="Tahoma"/>
            <family val="2"/>
          </rPr>
          <t>Count of unique number of residents ever enrolled/admitted after the start of Clear.</t>
        </r>
      </text>
    </comment>
    <comment ref="Z60" authorId="0">
      <text>
        <r>
          <rPr>
            <sz val="9"/>
            <color indexed="81"/>
            <rFont val="Tahoma"/>
            <family val="2"/>
          </rPr>
          <t>Count of unique number of residents ever enrolled/admitted throughout Clear.</t>
        </r>
      </text>
    </comment>
    <comment ref="A107" authorId="0">
      <text>
        <r>
          <rPr>
            <b/>
            <sz val="9"/>
            <color indexed="81"/>
            <rFont val="Tahoma"/>
            <family val="2"/>
          </rPr>
          <t>Calculation:</t>
        </r>
        <r>
          <rPr>
            <sz val="9"/>
            <color indexed="81"/>
            <rFont val="Tahoma"/>
            <family val="2"/>
          </rPr>
          <t xml:space="preserve">
Same calculation as tables above, but now with added criteria of Original Residents only.</t>
        </r>
      </text>
    </comment>
    <comment ref="B122" authorId="0">
      <text>
        <r>
          <rPr>
            <sz val="9"/>
            <color indexed="81"/>
            <rFont val="Tahoma"/>
            <family val="2"/>
          </rPr>
          <t>Calculation:
(# Residents on AP without a Dx) / (# Residents without Dx)</t>
        </r>
      </text>
    </comment>
    <comment ref="B123" authorId="0">
      <text>
        <r>
          <rPr>
            <sz val="9"/>
            <color indexed="81"/>
            <rFont val="Tahoma"/>
            <family val="2"/>
          </rPr>
          <t>Calculation:
(# Residents on AP without a Dx) / (# Residents without Dx)</t>
        </r>
      </text>
    </comment>
    <comment ref="A129" authorId="0">
      <text>
        <r>
          <rPr>
            <b/>
            <sz val="9"/>
            <color indexed="81"/>
            <rFont val="Tahoma"/>
            <family val="2"/>
          </rPr>
          <t>Calculation:</t>
        </r>
        <r>
          <rPr>
            <sz val="9"/>
            <color indexed="81"/>
            <rFont val="Tahoma"/>
            <family val="2"/>
          </rPr>
          <t xml:space="preserve">
Same calculation as tables above, but now with added criteria of Additional Residents only.</t>
        </r>
      </text>
    </comment>
    <comment ref="B144" authorId="0">
      <text>
        <r>
          <rPr>
            <sz val="9"/>
            <color indexed="81"/>
            <rFont val="Tahoma"/>
            <family val="2"/>
          </rPr>
          <t>Calculation:
(# Residents on AP without a Dx) / (# Residents without Dx)</t>
        </r>
      </text>
    </comment>
    <comment ref="B145" authorId="0">
      <text>
        <r>
          <rPr>
            <sz val="9"/>
            <color indexed="81"/>
            <rFont val="Tahoma"/>
            <family val="2"/>
          </rPr>
          <t>Calculation:
(# Residents on AP without a Dx) / (# Residents without Dx)</t>
        </r>
      </text>
    </comment>
    <comment ref="K149" authorId="0">
      <text>
        <r>
          <rPr>
            <sz val="9"/>
            <color indexed="81"/>
            <rFont val="Tahoma"/>
            <family val="2"/>
          </rPr>
          <t>Scroll up to yellow cell to edit the number of months to display.</t>
        </r>
      </text>
    </comment>
  </commentList>
</comments>
</file>

<file path=xl/comments3.xml><?xml version="1.0" encoding="utf-8"?>
<comments xmlns="http://schemas.openxmlformats.org/spreadsheetml/2006/main">
  <authors>
    <author>Eric Young</author>
  </authors>
  <commentList>
    <comment ref="C9" authorId="0">
      <text>
        <r>
          <rPr>
            <b/>
            <sz val="9"/>
            <color indexed="81"/>
            <rFont val="Tahoma"/>
            <family val="2"/>
          </rPr>
          <t>Eric Young:</t>
        </r>
        <r>
          <rPr>
            <sz val="9"/>
            <color indexed="81"/>
            <rFont val="Tahoma"/>
            <family val="2"/>
          </rPr>
          <t xml:space="preserve">
Revise list?</t>
        </r>
      </text>
    </comment>
  </commentList>
</comments>
</file>

<file path=xl/sharedStrings.xml><?xml version="1.0" encoding="utf-8"?>
<sst xmlns="http://schemas.openxmlformats.org/spreadsheetml/2006/main" count="784" uniqueCount="521">
  <si>
    <t>% of residents on HS sedation</t>
  </si>
  <si>
    <t>number of residents  who had Gradual Dose Reduction or Dsicontinued HS sedative</t>
  </si>
  <si>
    <t xml:space="preserve"> number of residents with improved night  sleep</t>
  </si>
  <si>
    <t xml:space="preserve">number of residents with improved verbal/physical  aggression </t>
  </si>
  <si>
    <t>Cohort</t>
  </si>
  <si>
    <t>Original</t>
  </si>
  <si>
    <t>Unchanged</t>
  </si>
  <si>
    <t>Discharged</t>
  </si>
  <si>
    <t>Additional</t>
  </si>
  <si>
    <t>Increased</t>
  </si>
  <si>
    <t>Discontinued</t>
  </si>
  <si>
    <t>RESIDENT DATA</t>
  </si>
  <si>
    <t>Resident Status</t>
  </si>
  <si>
    <t>Resident Name (last, first)</t>
  </si>
  <si>
    <t>Clinical Context</t>
  </si>
  <si>
    <t>In Care Home</t>
  </si>
  <si>
    <t>MedicationStatus</t>
  </si>
  <si>
    <t>Reduced</t>
  </si>
  <si>
    <t>ResidentStatus</t>
  </si>
  <si>
    <t>MedicationName</t>
  </si>
  <si>
    <t>MonthText</t>
  </si>
  <si>
    <t>MonthDate</t>
  </si>
  <si>
    <t>ResidentNamesSorted</t>
  </si>
  <si>
    <t>MonthNum</t>
  </si>
  <si>
    <t>All Residents</t>
  </si>
  <si>
    <t>PRN Antipsychotics</t>
  </si>
  <si>
    <t>Scheduled Antipsychotics</t>
  </si>
  <si>
    <t>Antipsychotic Progress</t>
  </si>
  <si>
    <t>x</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</si>
  <si>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</si>
  <si>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</si>
  <si>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</si>
  <si>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</si>
  <si>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</si>
  <si>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</si>
  <si>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</si>
  <si>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</si>
  <si>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</si>
  <si>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</si>
  <si>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</si>
  <si>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</si>
  <si>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</si>
  <si>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</si>
  <si>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</si>
  <si>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</si>
  <si>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</si>
  <si>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</si>
  <si>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</si>
  <si>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</si>
  <si>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</si>
  <si>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</si>
  <si>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</si>
  <si>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</si>
  <si>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â</t>
  </si>
  <si>
    <t>á</t>
  </si>
  <si>
    <t>à</t>
  </si>
  <si>
    <t>DosageChange</t>
  </si>
  <si>
    <t>(1) STARTING OFF / NAVIGATION</t>
  </si>
  <si>
    <t>PRE-WORK</t>
  </si>
  <si>
    <t>INTERPRETING RUN CHARTS</t>
  </si>
  <si>
    <t>RUN CHART RULES</t>
  </si>
  <si>
    <t>WHAT IS A RUN CHART?</t>
  </si>
  <si>
    <t>FEATURES OF A RUN CHART</t>
  </si>
  <si>
    <t>PROBABILITY-BASED RULES FOR DETECTING NON-RANDOM CHANGE</t>
  </si>
  <si>
    <t>CHECKING FOR TOO MANY OR TWO FEW RUNS ON A RUN CHART</t>
  </si>
  <si>
    <t>Total number of data points on the run chart that do not fall on the median</t>
  </si>
  <si>
    <t>Lower limit for the number of runs (&lt; than this number of runs is "too few")</t>
  </si>
  <si>
    <t>Upper limit for the number of runs (&gt; this number of runs is "too many")</t>
  </si>
  <si>
    <t>SCATTER PLOT</t>
  </si>
  <si>
    <t>DATA ENTRY</t>
  </si>
  <si>
    <t>x-axis Value</t>
  </si>
  <si>
    <t>y-axis Value</t>
  </si>
  <si>
    <t>DATA DISPLAY: SCATTER PLOT</t>
  </si>
  <si>
    <t>Chart Title:</t>
  </si>
  <si>
    <t>Scatter Plot of Unit A</t>
  </si>
  <si>
    <t>HISTOGRAM</t>
  </si>
  <si>
    <t>x-axis Bins</t>
  </si>
  <si>
    <t>y-axis Frequency</t>
  </si>
  <si>
    <t>DATA DISPLAY: HISTOGRAM</t>
  </si>
  <si>
    <t>PARETO CHART</t>
  </si>
  <si>
    <t>Categories</t>
  </si>
  <si>
    <t>Numerator</t>
  </si>
  <si>
    <t>Denominator</t>
  </si>
  <si>
    <t>Percent</t>
  </si>
  <si>
    <t>Cumulative</t>
  </si>
  <si>
    <t>DATA DISPLAY: PARETO CHART</t>
  </si>
  <si>
    <t>Biggest Issues Select by Staff</t>
  </si>
  <si>
    <t>Measure</t>
  </si>
  <si>
    <t>Median</t>
  </si>
  <si>
    <t>Median:</t>
  </si>
  <si>
    <t>Categories:</t>
  </si>
  <si>
    <t>Date</t>
  </si>
  <si>
    <t>Category A</t>
  </si>
  <si>
    <t>Category B</t>
  </si>
  <si>
    <t>Category C</t>
  </si>
  <si>
    <t>Category D</t>
  </si>
  <si>
    <t>Histogram of Unit A</t>
  </si>
  <si>
    <t>Bins:</t>
  </si>
  <si>
    <t>Bin 1</t>
  </si>
  <si>
    <t>Bin 2</t>
  </si>
  <si>
    <t>Bin 3</t>
  </si>
  <si>
    <t>Bin 4</t>
  </si>
  <si>
    <t>Exclusion Flag</t>
  </si>
  <si>
    <t>End-stage disease (J5c)</t>
  </si>
  <si>
    <t>Hospice care (P1ao)</t>
  </si>
  <si>
    <t>Schizophrenia (I1ii)</t>
  </si>
  <si>
    <t>Hallucinations (J1i)</t>
  </si>
  <si>
    <t>Delusions (J1e)</t>
  </si>
  <si>
    <t>Resident Admission Status</t>
  </si>
  <si>
    <t>Scheduled Med Status</t>
  </si>
  <si>
    <t>PRN Med Status</t>
  </si>
  <si>
    <t>Sched &amp; PRN Med Status</t>
  </si>
  <si>
    <t>InterCheck</t>
  </si>
  <si>
    <t>Total Antipsychotic Use</t>
  </si>
  <si>
    <t>Restarted</t>
  </si>
  <si>
    <t>REQUIRED</t>
  </si>
  <si>
    <t>AUTO</t>
  </si>
  <si>
    <t>OPTIONAL</t>
  </si>
  <si>
    <t># Residents without Dx</t>
  </si>
  <si>
    <t># Residents on PRN AP without a Dx</t>
  </si>
  <si>
    <t># Residents on scheduled AP without a Dx</t>
  </si>
  <si>
    <t>% Residents on scheduled AP without Dx</t>
  </si>
  <si>
    <t>% Residents on PRN AP without Dx</t>
  </si>
  <si>
    <t># Residents with Dx</t>
  </si>
  <si>
    <t>Dose Reduction Trial</t>
  </si>
  <si>
    <t>FirstMonth</t>
  </si>
  <si>
    <t>Physician</t>
  </si>
  <si>
    <t>REQUIRED: LOOKUP</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</si>
  <si>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</si>
  <si>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</si>
  <si>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</si>
  <si>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</si>
  <si>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</si>
  <si>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</si>
  <si>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</si>
  <si>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</si>
  <si>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</si>
  <si>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</si>
  <si>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</si>
  <si>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</si>
  <si>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</si>
  <si>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</si>
  <si>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</si>
  <si>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</si>
  <si>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</si>
  <si>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</si>
  <si>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</si>
  <si>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</si>
  <si>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</si>
  <si>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</si>
  <si>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</si>
  <si>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</si>
  <si>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Behaviour Tracking (DOS) attached (1 week prior and 1 week post dose reduction)</t>
  </si>
  <si>
    <t>Post dose reduction behaviour:</t>
  </si>
  <si>
    <t>BASELINE MEDICATION</t>
  </si>
  <si>
    <t>PHYSICIAN:</t>
  </si>
  <si>
    <t>PDSA DATA</t>
  </si>
  <si>
    <t>Resident</t>
  </si>
  <si>
    <t>RESIDENT:</t>
  </si>
  <si>
    <t>Dementia</t>
  </si>
  <si>
    <t>Interdisciplinary Med Review completed</t>
  </si>
  <si>
    <t>DATE:</t>
  </si>
  <si>
    <t>NEW DOSE:</t>
  </si>
  <si>
    <t>IMPROVED</t>
  </si>
  <si>
    <t>NO CHANGE</t>
  </si>
  <si>
    <t>WORSENED</t>
  </si>
  <si>
    <t>Run Chart for Measure B</t>
  </si>
  <si>
    <t>Run Chart for Measure A</t>
  </si>
  <si>
    <t>Run Chart for Measure C</t>
  </si>
  <si>
    <t>Run Chart for Measure D</t>
  </si>
  <si>
    <t>DATA DISPLAY: RUN CHART</t>
  </si>
  <si>
    <t>n=</t>
  </si>
  <si>
    <t>Last Med Review</t>
  </si>
  <si>
    <t>Last MR</t>
  </si>
  <si>
    <t>Last DRT</t>
  </si>
  <si>
    <t>HOW TO USE THIS DATA COLLECTION TEMPLATE</t>
  </si>
  <si>
    <t>Diagnosis</t>
  </si>
  <si>
    <t>DOSE REDUCTION TRIAL # ___</t>
  </si>
  <si>
    <t>Other</t>
  </si>
  <si>
    <t>Haloperidol</t>
  </si>
  <si>
    <t>Loxapine</t>
  </si>
  <si>
    <t>Olanzapine</t>
  </si>
  <si>
    <t>Quetiapine</t>
  </si>
  <si>
    <t>Risperidone</t>
  </si>
  <si>
    <t>Processes</t>
  </si>
  <si>
    <t>Process Measures</t>
  </si>
  <si>
    <t>Scheduled Med Started</t>
  </si>
  <si>
    <t>PRN Med Started</t>
  </si>
  <si>
    <t>Total # of New Enrollments (Admissions)</t>
  </si>
  <si>
    <t># New Enrollments (Admissions) on AP</t>
  </si>
  <si>
    <t># Residents not on antipsychotics</t>
  </si>
  <si>
    <t>% Residents on any antipsychotics</t>
  </si>
  <si>
    <t>No Medication</t>
  </si>
  <si>
    <t>PRN:</t>
  </si>
  <si>
    <t>SCHEDULED:</t>
  </si>
  <si>
    <t>PRN Med Discontinued</t>
  </si>
  <si>
    <t>Scheduled Med Discontinued</t>
  </si>
  <si>
    <t>Resident Count</t>
  </si>
  <si>
    <t>Antipsychotic Use without Diagnosis of Psychosis</t>
  </si>
  <si>
    <t>ENROLLED:</t>
  </si>
  <si>
    <t>Diagnosis (RAI)</t>
  </si>
  <si>
    <t>Other (see clinical notes)</t>
  </si>
  <si>
    <t>Dose Reduction Trial &amp; Med Review</t>
  </si>
  <si>
    <t>INSTRUCTIONS</t>
  </si>
  <si>
    <t>DATA SUMMARY</t>
  </si>
  <si>
    <t>HOME</t>
  </si>
  <si>
    <t>To be placed in the resident chart. Recommend printing on coloured paper for visibility.</t>
  </si>
  <si>
    <t>Title:</t>
  </si>
  <si>
    <t>LIST LOOKUP</t>
  </si>
  <si>
    <t>REDUCTION FORM</t>
  </si>
  <si>
    <t>Blank Chart Templates:</t>
  </si>
  <si>
    <t>INITIATIVE START DATE:</t>
  </si>
  <si>
    <t>SITE/CARE HOME:</t>
  </si>
  <si>
    <t>UNIT:</t>
  </si>
  <si>
    <t>DATA COLLECTION BY:</t>
  </si>
  <si>
    <t>COLLECTING A FAMILY OF MEASURES</t>
  </si>
  <si>
    <t>BLANK CHART TEMPLATES</t>
  </si>
  <si>
    <t>Resident Information</t>
  </si>
  <si>
    <t>DATA ENTRY TIPS</t>
  </si>
  <si>
    <t xml:space="preserve">The run chart is a universal data analysis tool for improvement projects. It is easy to use and intuitive to interpret, making it ideal for illustrating and understanding variation. 
A run chart is useful for:
- Displaying data to make process performance visible
- Visually determining whether a change has resulted in an improvement
- Visually determining if results of the improvement effort are being sustained
The run chart is a universal data analysis tool for improvement projects. It is easy to use and intuitive to interpret, making it ideal for illustrating and understanding variation. </t>
  </si>
  <si>
    <t>- Data points are displayed in time order.
- Time is displayed along the horizontal axis (x-axis).
- Data point values are displayed along the vertical axis (y-axis).
- Each data point corresponds to one sample of data (a subset of the data for that time).
- A median line is displayed on the chart and used for analysis.
     - The median value is: "denoting or relating to a value or quantity lying at the midpoint of a frequency distribution of observed values or quantities, such that there is an equal probability of falling above or below it." (i.e. half of all data points fall above or below the median.)
- Can be used right away (i.e. use run charts when the data for the first point is available).</t>
  </si>
  <si>
    <r>
      <t xml:space="preserve">Run charts are analyzed by using probability-based rules. The rules can determine whether the data is exhibiting random fluctuation or is a non-random “signal” of change. There are four probability-based rules to determine if there is a signal, as outlined by Provost and Murray (2011):
</t>
    </r>
    <r>
      <rPr>
        <b/>
        <sz val="11"/>
        <color theme="1"/>
        <rFont val="Calibri"/>
        <family val="2"/>
        <scheme val="minor"/>
      </rPr>
      <t xml:space="preserve">Rule 1. </t>
    </r>
    <r>
      <rPr>
        <sz val="11"/>
        <color theme="1"/>
        <rFont val="Calibri"/>
        <family val="2"/>
        <scheme val="minor"/>
      </rPr>
      <t xml:space="preserve">A Shift: Six or more consecutive points either all above or all below the median. Skip any points that fall right on the median and do not add them to the count.
</t>
    </r>
    <r>
      <rPr>
        <b/>
        <sz val="11"/>
        <color theme="1"/>
        <rFont val="Calibri"/>
        <family val="2"/>
        <scheme val="minor"/>
      </rPr>
      <t xml:space="preserve">Rule 2. </t>
    </r>
    <r>
      <rPr>
        <sz val="11"/>
        <color theme="1"/>
        <rFont val="Calibri"/>
        <family val="2"/>
        <scheme val="minor"/>
      </rPr>
      <t xml:space="preserve">Trend: Five or more consecutive points all going up or all going down. Skip any points that are the same in value as the point next to them and do not add them to the count.
</t>
    </r>
    <r>
      <rPr>
        <b/>
        <sz val="11"/>
        <color theme="1"/>
        <rFont val="Calibri"/>
        <family val="2"/>
        <scheme val="minor"/>
      </rPr>
      <t xml:space="preserve">Rule 3. </t>
    </r>
    <r>
      <rPr>
        <sz val="11"/>
        <color theme="1"/>
        <rFont val="Calibri"/>
        <family val="2"/>
        <scheme val="minor"/>
      </rPr>
      <t xml:space="preserve">Runs: A run is a series of points in a row that falls on one side of the median. Having too few or too many runs signals that the fluctuation in data is non-random. Too few runs means there is less fluctuation than expected; too many runs means there are differences in the data due to other variables and may require further stratification (e.g. difference in day and night shifts). A simple way of counting runs is to count the number of times the data line crosses the median and then add one. Refer to the table on the right to determine if there are too few or too many runs (thus indicating a signal).
</t>
    </r>
    <r>
      <rPr>
        <b/>
        <sz val="11"/>
        <color theme="1"/>
        <rFont val="Calibri"/>
        <family val="2"/>
        <scheme val="minor"/>
      </rPr>
      <t xml:space="preserve">Rule 4. </t>
    </r>
    <r>
      <rPr>
        <sz val="11"/>
        <color theme="1"/>
        <rFont val="Calibri"/>
        <family val="2"/>
        <scheme val="minor"/>
      </rPr>
      <t>Astronomical Point: An obvious data point that is unusual and different than the other data points. Anyone studying the chart would agree that the value is out of place.</t>
    </r>
  </si>
  <si>
    <t xml:space="preserve">Reproduced from Provost L, Murray S. The Health Care Data Guide: Learning from Data for Improvement. Associates in Process Improvement and Corporate Transformation Concepts; 2011. Used with permission.
</t>
  </si>
  <si>
    <t>MONTHLY DATA COLLECTION</t>
  </si>
  <si>
    <t>DIAGNOSIS:</t>
  </si>
  <si>
    <t xml:space="preserve">Click on the following button to view the rules for determining if there is a signal of non-random change.
</t>
  </si>
  <si>
    <t>CHART DATA ENTRY</t>
  </si>
  <si>
    <t>This form is used for printing hard-copy (paper) forms for Dose Reduction Trials.</t>
  </si>
  <si>
    <t xml:space="preserve"> </t>
  </si>
  <si>
    <t>Clinical Notes</t>
  </si>
  <si>
    <t>NOTES: (i.e. frequency of PRN med use)</t>
  </si>
  <si>
    <t># Additional not on antipsychotics</t>
  </si>
  <si>
    <t>% Additional on any antipsychotics</t>
  </si>
  <si>
    <t># Additional on scheduled AP without a Dx</t>
  </si>
  <si>
    <t># Additional on PRN AP without a Dx</t>
  </si>
  <si>
    <t>% Additional on scheduled AP without Dx</t>
  </si>
  <si>
    <t>% Additional on PRN AP without Dx</t>
  </si>
  <si>
    <t># Original not on antipsychotics</t>
  </si>
  <si>
    <t>% Original on any antipsychotics</t>
  </si>
  <si>
    <t># Original on scheduled AP without a Dx</t>
  </si>
  <si>
    <t># Original on PRN AP without a Dx</t>
  </si>
  <si>
    <t>% Original on scheduled AP without Dx</t>
  </si>
  <si>
    <t>% Original on PRN AP without Dx</t>
  </si>
  <si>
    <t># Original without Dx</t>
  </si>
  <si>
    <t># Original with Dx</t>
  </si>
  <si>
    <t># Additional without Dx</t>
  </si>
  <si>
    <t># Additional with Dx</t>
  </si>
  <si>
    <t>ORIGINAL COHORT</t>
  </si>
  <si>
    <t>ADDITIONAL COHORT</t>
  </si>
  <si>
    <t>ALL RESIDENTS</t>
  </si>
  <si>
    <t>Display Month:</t>
  </si>
  <si>
    <t>Number of Months to Display:</t>
  </si>
  <si>
    <t>Current Month:</t>
  </si>
  <si>
    <t>COHORT LEVEL ANALYSIS</t>
  </si>
  <si>
    <t>Cumulative Number of Residents and Antipsychotic Use</t>
  </si>
  <si>
    <t>Total</t>
  </si>
  <si>
    <t>Residents Turnover</t>
  </si>
  <si>
    <t>In care home</t>
  </si>
  <si>
    <t>CALCULATING CUMULATIVE PROGRESS (AUTO)</t>
  </si>
  <si>
    <t>On antipsychotics</t>
  </si>
  <si>
    <t>Count</t>
  </si>
  <si>
    <t>Not on antipsychotics</t>
  </si>
  <si>
    <t>Dx of Psychosis</t>
  </si>
  <si>
    <t>No Dx of Psychosis</t>
  </si>
  <si>
    <t>BASELINE</t>
  </si>
  <si>
    <t>CUMULATIVE: YEAR TO DATE</t>
  </si>
  <si>
    <t>MORE DETAILS ON MEASURES</t>
  </si>
  <si>
    <t>Total # of Residents (permanent)</t>
  </si>
  <si>
    <t>Unsuccessful Trial</t>
  </si>
  <si>
    <t>NAVIGATING BETWEEN WORKSHEETS</t>
  </si>
  <si>
    <t>S</t>
  </si>
  <si>
    <t>H</t>
  </si>
  <si>
    <t>P</t>
  </si>
  <si>
    <t>R1</t>
  </si>
  <si>
    <t>R2</t>
  </si>
  <si>
    <t>R3</t>
  </si>
  <si>
    <t>R4</t>
  </si>
  <si>
    <t>RCR</t>
  </si>
  <si>
    <t>DEMENTIA:</t>
  </si>
  <si>
    <t>The blank template below can be customized.</t>
  </si>
  <si>
    <t>RUN CHART 1</t>
  </si>
  <si>
    <t>RUN CHART 2</t>
  </si>
  <si>
    <t>RUN CHART 3</t>
  </si>
  <si>
    <t>RUN CHART 4</t>
  </si>
  <si>
    <t>GETTING STARTED / REPORTING</t>
  </si>
  <si>
    <t>Navigate to the Instructions tab for a step-by-step process on completing data collection. Please contact us at clearbc@bcpsqc.ca for any questions.</t>
  </si>
  <si>
    <t>Last Dose Reduction Trial</t>
  </si>
  <si>
    <t>D</t>
  </si>
  <si>
    <t>DRTCheck</t>
  </si>
  <si>
    <t>MedCheck</t>
  </si>
  <si>
    <t>M</t>
  </si>
  <si>
    <r>
      <t>✓</t>
    </r>
    <r>
      <rPr>
        <sz val="12"/>
        <color rgb="FF545454"/>
        <rFont val="Calibri"/>
        <family val="2"/>
      </rPr>
      <t xml:space="preserve"> </t>
    </r>
  </si>
  <si>
    <t>(2) BASELINE DATA COLLECTION</t>
  </si>
  <si>
    <t>RESIDENT INFORMATION</t>
  </si>
  <si>
    <t>CLINICAL CONTEXT</t>
  </si>
  <si>
    <t>Huntington's chorea (I1x)</t>
  </si>
  <si>
    <t>LISTING ANTIPSYCHOTICS</t>
  </si>
  <si>
    <t>DOSE REDUCTION FORM</t>
  </si>
  <si>
    <r>
      <t xml:space="preserve">Attend the Leadership Preparation Webinar on measurement. A recording is available at </t>
    </r>
    <r>
      <rPr>
        <b/>
        <sz val="11"/>
        <rFont val="Calibri"/>
        <family val="2"/>
        <scheme val="minor"/>
      </rPr>
      <t>https://bcpsqc.webex.com</t>
    </r>
    <r>
      <rPr>
        <sz val="11"/>
        <rFont val="Calibri"/>
        <family val="2"/>
        <scheme val="minor"/>
      </rPr>
      <t>. There is also a Measurement Guide to refer to. These will provide the context and knowledge necessary for data collection. Please reach out to your Improvement Advisor for further support.</t>
    </r>
  </si>
  <si>
    <r>
      <t xml:space="preserve">Outcome data on residents and antipsychotic use are tracked here. Monthly data collection is mandatory. </t>
    </r>
    <r>
      <rPr>
        <b/>
        <sz val="11"/>
        <color rgb="FFC00000"/>
        <rFont val="Calibri"/>
        <family val="2"/>
        <scheme val="minor"/>
      </rPr>
      <t>We recommend tracking residents by unit/care area. If there are several units within a care home, track each unit on separate data files.</t>
    </r>
  </si>
  <si>
    <t>COMPLETING BASELINE</t>
  </si>
  <si>
    <r>
      <rPr>
        <b/>
        <u/>
        <sz val="11"/>
        <rFont val="Calibri"/>
        <family val="2"/>
        <scheme val="minor"/>
      </rPr>
      <t>Data Requirements</t>
    </r>
    <r>
      <rPr>
        <sz val="11"/>
        <rFont val="Calibri"/>
        <family val="2"/>
        <scheme val="minor"/>
      </rPr>
      <t xml:space="preserve">
Pay particular attention to columns and their type:
    - REQUIRED: must have data entered for calculations to work properly
    - OPTIONAL: not necessary for calculations, but may be helpful to you
    - AUTO: greyed out; no need fill out as they are auto-calculated
</t>
    </r>
    <r>
      <rPr>
        <b/>
        <u/>
        <sz val="11"/>
        <rFont val="Calibri"/>
        <family val="2"/>
        <scheme val="minor"/>
      </rPr>
      <t>Drop-down Lists</t>
    </r>
    <r>
      <rPr>
        <b/>
        <sz val="11"/>
        <rFont val="Calibri"/>
        <family val="2"/>
        <scheme val="minor"/>
      </rPr>
      <t xml:space="preserve">
</t>
    </r>
    <r>
      <rPr>
        <sz val="11"/>
        <rFont val="Calibri"/>
        <family val="2"/>
        <scheme val="minor"/>
      </rPr>
      <t xml:space="preserve">Entering data is made easy with drop-down lists. Many fields such as dates and statuses have pre-defined lists. Fill these in by using the drop-down lists instead of typing in them. This prevents errors (i.e. typos or non-listed options).
</t>
    </r>
    <r>
      <rPr>
        <b/>
        <u/>
        <sz val="11"/>
        <rFont val="Calibri"/>
        <family val="2"/>
        <scheme val="minor"/>
      </rPr>
      <t xml:space="preserve">Entering data into cells
</t>
    </r>
    <r>
      <rPr>
        <sz val="11"/>
        <rFont val="Calibri"/>
        <family val="2"/>
        <scheme val="minor"/>
      </rPr>
      <t>To enter information into a cell, highlight the cell and double-click. You can also press F2. You should see a cursor for text entry.</t>
    </r>
  </si>
  <si>
    <t># Residents on AP without a Dx</t>
  </si>
  <si>
    <t>% Residents on AP without Dx</t>
  </si>
  <si>
    <t>% Original on AP without Dx</t>
  </si>
  <si>
    <t># Original on AP without a Dx</t>
  </si>
  <si>
    <t># Original on antipsychotics</t>
  </si>
  <si>
    <t># Residents on antipsychotics</t>
  </si>
  <si>
    <t># Additional on antipsychotics</t>
  </si>
  <si>
    <t># Additional on AP without a Dx</t>
  </si>
  <si>
    <t>% Additional on AP without Dx</t>
  </si>
  <si>
    <t>REPORTING SUMMARY DATA</t>
  </si>
  <si>
    <t>DISCLAIMER</t>
  </si>
  <si>
    <r>
      <t xml:space="preserve">There are several worksheets (tabs) in this Excel template. Navigate between them by clicking on buttons (above) or tabs (below).  The current worksheet is always greyed out. For example, we are on </t>
    </r>
    <r>
      <rPr>
        <i/>
        <sz val="11"/>
        <rFont val="Calibri"/>
        <family val="2"/>
        <scheme val="minor"/>
      </rPr>
      <t xml:space="preserve">Instructions </t>
    </r>
    <r>
      <rPr>
        <sz val="11"/>
        <rFont val="Calibri"/>
        <family val="2"/>
        <scheme val="minor"/>
      </rPr>
      <t xml:space="preserve">tab.
</t>
    </r>
    <r>
      <rPr>
        <b/>
        <u/>
        <sz val="11"/>
        <rFont val="Calibri"/>
        <family val="2"/>
        <scheme val="minor"/>
      </rPr>
      <t xml:space="preserve">Buttons:
</t>
    </r>
    <r>
      <rPr>
        <sz val="11"/>
        <rFont val="Calibri"/>
        <family val="2"/>
        <scheme val="minor"/>
      </rPr>
      <t xml:space="preserve">
</t>
    </r>
    <r>
      <rPr>
        <b/>
        <u/>
        <sz val="11"/>
        <rFont val="Calibri"/>
        <family val="2"/>
        <scheme val="minor"/>
      </rPr>
      <t>Tabs:</t>
    </r>
  </si>
  <si>
    <t>(3) DATA COLLECTION CONTINUED</t>
  </si>
  <si>
    <t>(4) ENTERING PDSA DATA / DOSE REDUCTION FORM</t>
  </si>
  <si>
    <t>(6) REPORTING DATA</t>
  </si>
  <si>
    <t>(5) DATA ANALYSIS AND INTERPRETATION</t>
  </si>
  <si>
    <t>VIEWING SUMMARY DATA</t>
  </si>
  <si>
    <t>SUMMARY DATA</t>
  </si>
  <si>
    <r>
      <t xml:space="preserve">Congratulations on completing baseline data collection! Next steps:
</t>
    </r>
    <r>
      <rPr>
        <b/>
        <sz val="11"/>
        <rFont val="Calibri"/>
        <family val="2"/>
        <scheme val="minor"/>
      </rPr>
      <t xml:space="preserve">SECTION 5: </t>
    </r>
    <r>
      <rPr>
        <sz val="11"/>
        <rFont val="Calibri"/>
        <family val="2"/>
        <scheme val="minor"/>
      </rPr>
      <t xml:space="preserve">for PDSA Data and printing Dose Reduction Forms.
</t>
    </r>
    <r>
      <rPr>
        <b/>
        <sz val="11"/>
        <rFont val="Calibri"/>
        <family val="2"/>
        <scheme val="minor"/>
      </rPr>
      <t xml:space="preserve">SECTION 6: </t>
    </r>
    <r>
      <rPr>
        <sz val="11"/>
        <rFont val="Calibri"/>
        <family val="2"/>
        <scheme val="minor"/>
      </rPr>
      <t xml:space="preserve">for viewing summary data.
</t>
    </r>
    <r>
      <rPr>
        <b/>
        <sz val="11"/>
        <rFont val="Calibri"/>
        <family val="2"/>
        <scheme val="minor"/>
      </rPr>
      <t xml:space="preserve">SECTION 7: </t>
    </r>
    <r>
      <rPr>
        <sz val="11"/>
        <rFont val="Calibri"/>
        <family val="2"/>
        <scheme val="minor"/>
      </rPr>
      <t>for submitting data.</t>
    </r>
  </si>
  <si>
    <t>PRINTING EXCEL WORKSHEETS</t>
  </si>
  <si>
    <r>
      <t xml:space="preserve">Data collected in this template are useful for doing quality improvement work but are also used to measure progress and success. The indicators are found on the </t>
    </r>
    <r>
      <rPr>
        <b/>
        <i/>
        <sz val="11"/>
        <rFont val="Calibri"/>
        <family val="2"/>
        <scheme val="minor"/>
      </rPr>
      <t>Summary</t>
    </r>
    <r>
      <rPr>
        <i/>
        <sz val="11"/>
        <rFont val="Calibri"/>
        <family val="2"/>
        <scheme val="minor"/>
      </rPr>
      <t xml:space="preserve"> </t>
    </r>
    <r>
      <rPr>
        <sz val="11"/>
        <rFont val="Calibri"/>
        <family val="2"/>
        <scheme val="minor"/>
      </rPr>
      <t>tab.</t>
    </r>
  </si>
  <si>
    <t xml:space="preserve">Some cells have comment boxes providing additional details explaining the measure or table. These cells have little red triangles in the top-right corner. Hover the mouse over the cell to read the comment boxes. This reveals more detailed info (i.e., how the measure was calculated). </t>
  </si>
  <si>
    <t>(5) DATA ANALYSIS AND INTERPRETATION CONTINUED</t>
  </si>
  <si>
    <t>DEFINITION OF MEASURES</t>
  </si>
  <si>
    <t># Med Reviews</t>
  </si>
  <si>
    <t># Dose Reduction Trials</t>
  </si>
  <si>
    <t>Not on AP</t>
  </si>
  <si>
    <t>On AP</t>
  </si>
  <si>
    <t>Baseline</t>
  </si>
  <si>
    <t>YTD Progress</t>
  </si>
  <si>
    <t>Dx</t>
  </si>
  <si>
    <t>No Dx</t>
  </si>
  <si>
    <t>All</t>
  </si>
  <si>
    <t>Cohort Size</t>
  </si>
  <si>
    <t>Original Cohort</t>
  </si>
  <si>
    <t>Additional Cohort</t>
  </si>
  <si>
    <r>
      <rPr>
        <b/>
        <sz val="11"/>
        <color theme="1"/>
        <rFont val="Calibri"/>
        <family val="2"/>
        <scheme val="minor"/>
      </rPr>
      <t xml:space="preserve">  </t>
    </r>
    <r>
      <rPr>
        <b/>
        <u/>
        <sz val="11"/>
        <color theme="1"/>
        <rFont val="Calibri"/>
        <family val="2"/>
        <scheme val="minor"/>
      </rPr>
      <t>Baseline</t>
    </r>
  </si>
  <si>
    <t>MONTHLY DATA TABLES</t>
  </si>
  <si>
    <t>MONTHLY RUN CHARTS</t>
  </si>
  <si>
    <t>Cumulative Progress Diagram</t>
  </si>
  <si>
    <t>MONTHLY DATA TABLE: SPLIT BY COHORTS</t>
  </si>
  <si>
    <t>MONTHLY RUN CHARTS: SPLIT BY COHORTS</t>
  </si>
  <si>
    <r>
      <rPr>
        <b/>
        <sz val="11"/>
        <color theme="1"/>
        <rFont val="Calibri"/>
        <family val="2"/>
        <scheme val="minor"/>
      </rPr>
      <t xml:space="preserve">      </t>
    </r>
    <r>
      <rPr>
        <b/>
        <u/>
        <sz val="11"/>
        <color theme="1"/>
        <rFont val="Calibri"/>
        <family val="2"/>
        <scheme val="minor"/>
      </rPr>
      <t>YTD Progress</t>
    </r>
  </si>
  <si>
    <r>
      <rPr>
        <b/>
        <sz val="11"/>
        <color theme="1"/>
        <rFont val="Calibri"/>
        <family val="2"/>
        <scheme val="minor"/>
      </rPr>
      <t xml:space="preserve">        </t>
    </r>
    <r>
      <rPr>
        <b/>
        <u/>
        <sz val="11"/>
        <color theme="1"/>
        <rFont val="Calibri"/>
        <family val="2"/>
        <scheme val="minor"/>
      </rPr>
      <t>Baseline</t>
    </r>
  </si>
  <si>
    <r>
      <rPr>
        <b/>
        <sz val="11"/>
        <color theme="1"/>
        <rFont val="Calibri"/>
        <family val="2"/>
        <scheme val="minor"/>
      </rPr>
      <t xml:space="preserve">        </t>
    </r>
    <r>
      <rPr>
        <b/>
        <u/>
        <sz val="11"/>
        <color theme="1"/>
        <rFont val="Calibri"/>
        <family val="2"/>
        <scheme val="minor"/>
      </rPr>
      <t>YTD Progress</t>
    </r>
  </si>
  <si>
    <t>Note: Diagram only shows results for total residents (which includes those without a diagnosis of psychosis).</t>
  </si>
  <si>
    <t>Cumulative Progress: Baseline to Year-To-Date</t>
  </si>
  <si>
    <t>(7) BLANK CHART TEMPLATES</t>
  </si>
  <si>
    <r>
      <t xml:space="preserve">There are blank chart templates with different chart types. These may be useful for capturing and displaying data for your project. You can navigate to these by clicking the orange buttons from the </t>
    </r>
    <r>
      <rPr>
        <b/>
        <i/>
        <sz val="11"/>
        <rFont val="Calibri"/>
        <family val="2"/>
        <scheme val="minor"/>
      </rPr>
      <t>Home</t>
    </r>
    <r>
      <rPr>
        <sz val="11"/>
        <rFont val="Calibri"/>
        <family val="2"/>
        <scheme val="minor"/>
      </rPr>
      <t xml:space="preserve"> tab.</t>
    </r>
  </si>
  <si>
    <r>
      <t xml:space="preserve">To plot the data on these blank chart templates, enter data in the tables on the left. This data will automatically be displayed on the chart to the right. There are four types of charts available:
    - </t>
    </r>
    <r>
      <rPr>
        <b/>
        <sz val="11"/>
        <rFont val="Calibri"/>
        <family val="2"/>
        <scheme val="minor"/>
      </rPr>
      <t xml:space="preserve">Scatterplot: </t>
    </r>
    <r>
      <rPr>
        <sz val="11"/>
        <rFont val="Calibri"/>
        <family val="2"/>
        <scheme val="minor"/>
      </rPr>
      <t xml:space="preserve">plots two variables to look for relationships (x and y).
    - </t>
    </r>
    <r>
      <rPr>
        <b/>
        <sz val="11"/>
        <rFont val="Calibri"/>
        <family val="2"/>
        <scheme val="minor"/>
      </rPr>
      <t xml:space="preserve">Histogram: </t>
    </r>
    <r>
      <rPr>
        <sz val="11"/>
        <rFont val="Calibri"/>
        <family val="2"/>
        <scheme val="minor"/>
      </rPr>
      <t xml:space="preserve">plots distribution/frequency of a numerical variable.
    - </t>
    </r>
    <r>
      <rPr>
        <b/>
        <sz val="11"/>
        <rFont val="Calibri"/>
        <family val="2"/>
        <scheme val="minor"/>
      </rPr>
      <t xml:space="preserve">Pareto: </t>
    </r>
    <r>
      <rPr>
        <sz val="11"/>
        <rFont val="Calibri"/>
        <family val="2"/>
        <scheme val="minor"/>
      </rPr>
      <t xml:space="preserve">plots frequency of a categorical variable.
    - </t>
    </r>
    <r>
      <rPr>
        <b/>
        <sz val="11"/>
        <rFont val="Calibri"/>
        <family val="2"/>
        <scheme val="minor"/>
      </rPr>
      <t xml:space="preserve">Run Charts: </t>
    </r>
    <r>
      <rPr>
        <sz val="11"/>
        <rFont val="Calibri"/>
        <family val="2"/>
        <scheme val="minor"/>
      </rPr>
      <t>plots data over time to look for change.
R</t>
    </r>
    <r>
      <rPr>
        <b/>
        <sz val="11"/>
        <rFont val="Calibri"/>
        <family val="2"/>
        <scheme val="minor"/>
      </rPr>
      <t xml:space="preserve">un Charts:
</t>
    </r>
    <r>
      <rPr>
        <sz val="11"/>
        <rFont val="Calibri"/>
        <family val="2"/>
        <scheme val="minor"/>
      </rPr>
      <t>- x-axis (horizontal) corresponds to time (month or report period).
- y-axis (vertical) corresponds to the data value being plotted.
- Chart title can be modified by typing in the box above the chart. 
- Median line (in grey) is automatically generated.</t>
    </r>
  </si>
  <si>
    <t>(8) ADDITIONAL FUNCTIONALITY</t>
  </si>
  <si>
    <t>CLINICAL NOTES:</t>
  </si>
  <si>
    <t>SCHED START:</t>
  </si>
  <si>
    <t>PRN START:</t>
  </si>
  <si>
    <t>SCHED DOSE:</t>
  </si>
  <si>
    <t>PRN DOSE:</t>
  </si>
  <si>
    <t>SCHED MED NOTES:</t>
  </si>
  <si>
    <t>PRN MED NOTES:</t>
  </si>
  <si>
    <r>
      <t xml:space="preserve">Below are step-by-step instructions on helpful functions in the Excel template to be aware of.
</t>
    </r>
    <r>
      <rPr>
        <b/>
        <u/>
        <sz val="11"/>
        <rFont val="Calibri"/>
        <family val="2"/>
        <scheme val="minor"/>
      </rPr>
      <t xml:space="preserve">Filtering Data
</t>
    </r>
    <r>
      <rPr>
        <sz val="11"/>
        <rFont val="Calibri"/>
        <family val="2"/>
        <scheme val="minor"/>
      </rPr>
      <t xml:space="preserve">Filtering is a way of showing or hiding rows based on column data (i.e. text, date, colour). At the top of each column are filtering controls. They look like the following icon:       . Clicking on the desired column header opens the filter menu.
In the list of text or numbers, check "Select All" box at the top of the list and then tick items you want to show. Click OK. Alternatively, you can untick items you don't want to show. The ticked items will now show; unticked items are now hidden.
The filtering arrow in the table header will change to the following icon:        , indicating a filter is applied. You can apply multiple filters (one for each column).
To remove the filter and restore all of the original items, open the filter menu a gain and click on the "Clear Filters From..." button.
</t>
    </r>
    <r>
      <rPr>
        <b/>
        <u/>
        <sz val="11"/>
        <rFont val="Calibri"/>
        <family val="2"/>
        <scheme val="minor"/>
      </rPr>
      <t xml:space="preserve">Sorting Data
</t>
    </r>
    <r>
      <rPr>
        <sz val="11"/>
        <rFont val="Calibri"/>
        <family val="2"/>
        <scheme val="minor"/>
      </rPr>
      <t xml:space="preserve">Sorting records is not possible since the spreadsheet is locked and password protected.
</t>
    </r>
    <r>
      <rPr>
        <b/>
        <u/>
        <sz val="11"/>
        <rFont val="Calibri"/>
        <family val="2"/>
        <scheme val="minor"/>
      </rPr>
      <t>Searching for Text</t>
    </r>
    <r>
      <rPr>
        <sz val="11"/>
        <rFont val="Calibri"/>
        <family val="2"/>
        <scheme val="minor"/>
      </rPr>
      <t xml:space="preserve">
Search for text by pressing Ctrl+F. This opens a dialog box. You can type in a text (i.e., resident name) and the program will jump to cells matching the search text. Alternatively, you can apply filters to shrink the list.</t>
    </r>
  </si>
  <si>
    <t>Dose Reduction Trial (blank)</t>
  </si>
  <si>
    <t>Fill in resident count for each month (yellow cells).</t>
  </si>
  <si>
    <t>Change yellow cell to select number of data points to display on chart.</t>
  </si>
  <si>
    <t>CLEAR: DATA COLLECTION TOOL</t>
  </si>
  <si>
    <t>https://bcpsqc.ca/</t>
  </si>
  <si>
    <t>Developed by BC Patient Safety &amp; Quality Council:</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</si>
  <si>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</si>
  <si>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</si>
  <si>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</si>
  <si>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</si>
  <si>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</si>
  <si>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</si>
  <si>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</si>
  <si>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</si>
  <si>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</si>
  <si>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</si>
  <si>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</si>
  <si>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</si>
  <si>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</si>
  <si>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</si>
  <si>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</si>
  <si>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</si>
  <si>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</si>
  <si>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</si>
  <si>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</si>
  <si>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</si>
  <si>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</si>
  <si>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</si>
  <si>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</si>
  <si>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</si>
  <si>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</si>
  <si>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</si>
  <si>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</si>
  <si>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</si>
  <si>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</si>
  <si>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</si>
  <si>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</si>
  <si>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</si>
  <si>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</si>
  <si>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</si>
  <si>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</si>
  <si>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</si>
  <si>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</si>
  <si>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</si>
  <si>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</si>
  <si>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</si>
  <si>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</si>
  <si>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</si>
  <si>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</si>
  <si>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</si>
  <si>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</si>
  <si>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</si>
  <si>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</si>
  <si>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</si>
  <si>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Over1</t>
  </si>
  <si>
    <t>Over2</t>
  </si>
  <si>
    <t>Over3</t>
  </si>
  <si>
    <t>Over4</t>
  </si>
  <si>
    <t>Over5</t>
  </si>
  <si>
    <t>Over6</t>
  </si>
  <si>
    <t>Over7</t>
  </si>
  <si>
    <t>Over8</t>
  </si>
  <si>
    <t>Over9</t>
  </si>
  <si>
    <t>Over10</t>
  </si>
  <si>
    <t>Over11</t>
  </si>
  <si>
    <t>Over12</t>
  </si>
  <si>
    <t>Over13</t>
  </si>
  <si>
    <t>Over14</t>
  </si>
  <si>
    <t>Over15</t>
  </si>
  <si>
    <t>Over16</t>
  </si>
  <si>
    <t>Over17</t>
  </si>
  <si>
    <t>Over18</t>
  </si>
  <si>
    <t>Over19</t>
  </si>
  <si>
    <t>Over20</t>
  </si>
  <si>
    <t>Over21</t>
  </si>
  <si>
    <t>Over22</t>
  </si>
  <si>
    <t>Over23</t>
  </si>
  <si>
    <t>Over24</t>
  </si>
  <si>
    <t>MEDICATION LIST</t>
  </si>
  <si>
    <t>List of antipsychotic medications for Clear Data Collection</t>
  </si>
  <si>
    <t>Drug Category: Typical Antipsychotics</t>
  </si>
  <si>
    <t>chlorpromazine</t>
  </si>
  <si>
    <t>Largactil</t>
  </si>
  <si>
    <t>fluphenazine</t>
  </si>
  <si>
    <t>Moditen</t>
  </si>
  <si>
    <t>flupenthixol</t>
  </si>
  <si>
    <t>Fluanxol</t>
  </si>
  <si>
    <t>haloperidol</t>
  </si>
  <si>
    <t>Haldol</t>
  </si>
  <si>
    <t>loxapine</t>
  </si>
  <si>
    <t>Loxapac</t>
  </si>
  <si>
    <t>methotrimeprazine</t>
  </si>
  <si>
    <t>Nozinan</t>
  </si>
  <si>
    <t>perphenazine</t>
  </si>
  <si>
    <t>Trilafon</t>
  </si>
  <si>
    <t>pimozide</t>
  </si>
  <si>
    <t>Orap</t>
  </si>
  <si>
    <t>thiothixene</t>
  </si>
  <si>
    <t>Navane</t>
  </si>
  <si>
    <t>zuclopenthixol</t>
  </si>
  <si>
    <t>Clopixol</t>
  </si>
  <si>
    <t>zuclopenthixol acuphase</t>
  </si>
  <si>
    <t>Clopixol Acuphase</t>
  </si>
  <si>
    <t>other - ie. sulpride</t>
  </si>
  <si>
    <t>Dogmatil</t>
  </si>
  <si>
    <t>Drug Category: Atypical Antipsychotics</t>
  </si>
  <si>
    <t>aripiprazole</t>
  </si>
  <si>
    <t>Abilify</t>
  </si>
  <si>
    <t>asenapine</t>
  </si>
  <si>
    <t>Saphris</t>
  </si>
  <si>
    <t>clozapine</t>
  </si>
  <si>
    <t>Clozaril</t>
  </si>
  <si>
    <t>lurasidone</t>
  </si>
  <si>
    <t>Latuda</t>
  </si>
  <si>
    <t>olanzapine</t>
  </si>
  <si>
    <t>Zyprexa/Zydis</t>
  </si>
  <si>
    <t>paliperidone</t>
  </si>
  <si>
    <t>Invega</t>
  </si>
  <si>
    <t>quetiapine</t>
  </si>
  <si>
    <t>Seroquel</t>
  </si>
  <si>
    <t>risperidone</t>
  </si>
  <si>
    <t>Risperdal</t>
  </si>
  <si>
    <t>ziprasidone</t>
  </si>
  <si>
    <t>Geodon</t>
  </si>
  <si>
    <t>Drug Category: Antipsychotic Depots</t>
  </si>
  <si>
    <t>fluphenazine LA</t>
  </si>
  <si>
    <t>Modecate</t>
  </si>
  <si>
    <t>flupenthixol LA</t>
  </si>
  <si>
    <t>Fluanxol Depot</t>
  </si>
  <si>
    <t>haloperidol LA</t>
  </si>
  <si>
    <t>Haldol LA</t>
  </si>
  <si>
    <t>paliperidone palmitate</t>
  </si>
  <si>
    <t>Invega Sustena</t>
  </si>
  <si>
    <t>Risperdal Consta</t>
  </si>
  <si>
    <t>zuclopenthixol LA</t>
  </si>
  <si>
    <t>Clopixol Depot</t>
  </si>
  <si>
    <t>List created by Clear Faculty for the first (and subsequent) waves of the initiative (September 2013).</t>
  </si>
  <si>
    <r>
      <t xml:space="preserve">Gather data sources (resident charts, pharmacy reports, MARs, prescriptions, etc.). Go to </t>
    </r>
    <r>
      <rPr>
        <b/>
        <i/>
        <sz val="11"/>
        <rFont val="Calibri"/>
        <family val="2"/>
        <scheme val="minor"/>
      </rPr>
      <t>ResidentData</t>
    </r>
    <r>
      <rPr>
        <sz val="11"/>
        <rFont val="Calibri"/>
        <family val="2"/>
        <scheme val="minor"/>
      </rPr>
      <t xml:space="preserve"> tab.
Enter names of </t>
    </r>
    <r>
      <rPr>
        <b/>
        <i/>
        <sz val="11"/>
        <color rgb="FFC00000"/>
        <rFont val="Calibri"/>
        <family val="2"/>
        <scheme val="minor"/>
      </rPr>
      <t>all</t>
    </r>
    <r>
      <rPr>
        <sz val="11"/>
        <color rgb="FFC00000"/>
        <rFont val="Calibri"/>
        <family val="2"/>
        <scheme val="minor"/>
      </rPr>
      <t xml:space="preserve"> </t>
    </r>
    <r>
      <rPr>
        <b/>
        <i/>
        <sz val="11"/>
        <color rgb="FFC00000"/>
        <rFont val="Calibri"/>
        <family val="2"/>
        <scheme val="minor"/>
      </rPr>
      <t>residents</t>
    </r>
    <r>
      <rPr>
        <sz val="11"/>
        <color rgb="FFC00000"/>
        <rFont val="Calibri"/>
        <family val="2"/>
        <scheme val="minor"/>
      </rPr>
      <t xml:space="preserve"> </t>
    </r>
    <r>
      <rPr>
        <sz val="11"/>
        <rFont val="Calibri"/>
        <family val="2"/>
        <scheme val="minor"/>
      </rPr>
      <t>on the unit. This includes residents not on antipsychotics. Do not include residents in respite/convalescent beds (only permanent beds). The goal is to have a comprehensive record of residents. One row represents one resident (i.e., one record). Complete each row from left to right with Resident Information (</t>
    </r>
    <r>
      <rPr>
        <b/>
        <sz val="11"/>
        <rFont val="Calibri"/>
        <family val="2"/>
        <scheme val="minor"/>
      </rPr>
      <t>NAME</t>
    </r>
    <r>
      <rPr>
        <sz val="11"/>
        <rFont val="Calibri"/>
        <family val="2"/>
        <scheme val="minor"/>
      </rPr>
      <t xml:space="preserve">, </t>
    </r>
    <r>
      <rPr>
        <b/>
        <sz val="11"/>
        <rFont val="Calibri"/>
        <family val="2"/>
        <scheme val="minor"/>
      </rPr>
      <t>ENROLLMENT</t>
    </r>
    <r>
      <rPr>
        <sz val="11"/>
        <rFont val="Calibri"/>
        <family val="2"/>
        <scheme val="minor"/>
      </rPr>
      <t xml:space="preserve">, and </t>
    </r>
    <r>
      <rPr>
        <b/>
        <sz val="11"/>
        <rFont val="Calibri"/>
        <family val="2"/>
        <scheme val="minor"/>
      </rPr>
      <t>COHORT</t>
    </r>
    <r>
      <rPr>
        <sz val="11"/>
        <rFont val="Calibri"/>
        <family val="2"/>
        <scheme val="minor"/>
      </rPr>
      <t xml:space="preserve">).
</t>
    </r>
    <r>
      <rPr>
        <b/>
        <sz val="11"/>
        <rFont val="Calibri"/>
        <family val="2"/>
        <scheme val="minor"/>
      </rPr>
      <t xml:space="preserve">ENROLLMENT: </t>
    </r>
    <r>
      <rPr>
        <sz val="11"/>
        <rFont val="Calibri"/>
        <family val="2"/>
        <scheme val="minor"/>
      </rPr>
      <t xml:space="preserve">use drop-down list to pick the month and year. Choose "Feb 2018” for residents admitted prior to the start of Clear.
</t>
    </r>
    <r>
      <rPr>
        <b/>
        <sz val="11"/>
        <rFont val="Calibri"/>
        <family val="2"/>
        <scheme val="minor"/>
      </rPr>
      <t xml:space="preserve">DISCHARGE: </t>
    </r>
    <r>
      <rPr>
        <sz val="11"/>
        <rFont val="Calibri"/>
        <family val="2"/>
        <scheme val="minor"/>
      </rPr>
      <t xml:space="preserve">leave blank and fill in when resident is discharged. 
</t>
    </r>
    <r>
      <rPr>
        <b/>
        <sz val="11"/>
        <rFont val="Calibri"/>
        <family val="2"/>
        <scheme val="minor"/>
      </rPr>
      <t xml:space="preserve">COHORT: </t>
    </r>
    <r>
      <rPr>
        <sz val="11"/>
        <rFont val="Calibri"/>
        <family val="2"/>
        <scheme val="minor"/>
      </rPr>
      <t xml:space="preserve">use drop-down to pick "Original" (for residents already enrolled at start of Clear) or "Additional" (new admissions).
</t>
    </r>
    <r>
      <rPr>
        <b/>
        <u/>
        <sz val="11"/>
        <rFont val="Calibri"/>
        <family val="2"/>
        <scheme val="minor"/>
      </rPr>
      <t/>
    </r>
  </si>
  <si>
    <r>
      <t>Next, fill in Clinical Context (</t>
    </r>
    <r>
      <rPr>
        <b/>
        <sz val="11"/>
        <rFont val="Calibri"/>
        <family val="2"/>
        <scheme val="minor"/>
      </rPr>
      <t>PHYSICIAN</t>
    </r>
    <r>
      <rPr>
        <sz val="11"/>
        <rFont val="Calibri"/>
        <family val="2"/>
        <scheme val="minor"/>
      </rPr>
      <t xml:space="preserve">, </t>
    </r>
    <r>
      <rPr>
        <b/>
        <sz val="11"/>
        <rFont val="Calibri"/>
        <family val="2"/>
        <scheme val="minor"/>
      </rPr>
      <t>DIAGNOSIS</t>
    </r>
    <r>
      <rPr>
        <sz val="11"/>
        <rFont val="Calibri"/>
        <family val="2"/>
        <scheme val="minor"/>
      </rPr>
      <t xml:space="preserve">, </t>
    </r>
    <r>
      <rPr>
        <b/>
        <sz val="11"/>
        <rFont val="Calibri"/>
        <family val="2"/>
        <scheme val="minor"/>
      </rPr>
      <t>DEMENTIA</t>
    </r>
    <r>
      <rPr>
        <sz val="11"/>
        <rFont val="Calibri"/>
        <family val="2"/>
        <scheme val="minor"/>
      </rPr>
      <t xml:space="preserve">, and </t>
    </r>
    <r>
      <rPr>
        <b/>
        <sz val="11"/>
        <rFont val="Calibri"/>
        <family val="2"/>
        <scheme val="minor"/>
      </rPr>
      <t>CLINICAL NOTES</t>
    </r>
    <r>
      <rPr>
        <sz val="11"/>
        <rFont val="Calibri"/>
        <family val="2"/>
        <scheme val="minor"/>
      </rPr>
      <t xml:space="preserve">). This info will likely come from RAI assessments or clinical documentation.
</t>
    </r>
    <r>
      <rPr>
        <b/>
        <sz val="11"/>
        <rFont val="Calibri"/>
        <family val="2"/>
        <scheme val="minor"/>
      </rPr>
      <t xml:space="preserve">DIAGNOSIS: </t>
    </r>
    <r>
      <rPr>
        <sz val="11"/>
        <rFont val="Calibri"/>
        <family val="2"/>
        <scheme val="minor"/>
      </rPr>
      <t xml:space="preserve">enter exclusionary criteria for antipsychotic use based on RAI. Options include: End-stage disease (J5c), Hospice care (P1ao), Schizophrenia (I1ii), Huntington's chorea (I1x), Hallucinations (J1i), and Delusions (J1e). Only one diagnosis can be entered - choose the most important one. Enter additional diagnoses in the Clinical Notes section.
</t>
    </r>
    <r>
      <rPr>
        <b/>
        <sz val="11"/>
        <rFont val="Calibri"/>
        <family val="2"/>
        <scheme val="minor"/>
      </rPr>
      <t xml:space="preserve">DEMENTIA: </t>
    </r>
    <r>
      <rPr>
        <sz val="11"/>
        <rFont val="Calibri"/>
        <family val="2"/>
        <scheme val="minor"/>
      </rPr>
      <t xml:space="preserve">use this to indicate "Yes/No" for presence of dementia.
</t>
    </r>
    <r>
      <rPr>
        <b/>
        <sz val="11"/>
        <rFont val="Calibri"/>
        <family val="2"/>
        <scheme val="minor"/>
      </rPr>
      <t xml:space="preserve">CLINICAL NOTES: </t>
    </r>
    <r>
      <rPr>
        <sz val="11"/>
        <rFont val="Calibri"/>
        <family val="2"/>
        <scheme val="minor"/>
      </rPr>
      <t>free text field for capturing any additional information (e.g., further diagnoses, behaviours, symptoms, etc.).</t>
    </r>
  </si>
  <si>
    <t>Scheduled Med Name(s)
[free text]</t>
  </si>
  <si>
    <t>Clinical Notes
[free text]</t>
  </si>
  <si>
    <t>Enrollment [mmm-yyyy]</t>
  </si>
  <si>
    <t>Discharge [mmm-yyyy]</t>
  </si>
  <si>
    <t>PRN
Med Name(s)
[free text]</t>
  </si>
  <si>
    <t>PRN Med Notes
[free text]</t>
  </si>
  <si>
    <t>Scheduled Med Notes
[free text]</t>
  </si>
  <si>
    <t>Progress Notes
[free text]</t>
  </si>
  <si>
    <t>Resident Name [last, first]</t>
  </si>
  <si>
    <r>
      <t xml:space="preserve">For residents on antipsychotics, fill in Scheduled and PRN meds. This info will likely come from pharmacy reports or the MAR (medication administration record). Leave section blank if resident is not on antipsychotics. For both scheduled and PRN, fill in the following:
</t>
    </r>
    <r>
      <rPr>
        <b/>
        <sz val="11"/>
        <rFont val="Calibri"/>
        <family val="2"/>
        <scheme val="minor"/>
      </rPr>
      <t xml:space="preserve">MED NAME(S): </t>
    </r>
    <r>
      <rPr>
        <sz val="11"/>
        <rFont val="Calibri"/>
        <family val="2"/>
        <scheme val="minor"/>
      </rPr>
      <t xml:space="preserve">enter antipsychotic name. The drop-down list is limited to the five most common antipsychotics; it is also free text. Press F2 to edit text. Reasons for entering text are to record multiple or non-listed meds. Multiple meds can be listed on the same line. 
</t>
    </r>
    <r>
      <rPr>
        <b/>
        <sz val="11"/>
        <rFont val="Calibri"/>
        <family val="2"/>
        <scheme val="minor"/>
      </rPr>
      <t xml:space="preserve">MED STARTED: </t>
    </r>
    <r>
      <rPr>
        <sz val="11"/>
        <rFont val="Calibri"/>
        <family val="2"/>
        <scheme val="minor"/>
      </rPr>
      <t xml:space="preserve">use drop-down list to pick the month and year. Choose "Feb 2018" for meds existing before the start of Clear. 
</t>
    </r>
    <r>
      <rPr>
        <b/>
        <sz val="11"/>
        <rFont val="Calibri"/>
        <family val="2"/>
        <scheme val="minor"/>
      </rPr>
      <t xml:space="preserve">MED DISCONTINUED: </t>
    </r>
    <r>
      <rPr>
        <sz val="11"/>
        <rFont val="Calibri"/>
        <family val="2"/>
        <scheme val="minor"/>
      </rPr>
      <t xml:space="preserve">Leave blank and fill in when discontinued.
</t>
    </r>
    <r>
      <rPr>
        <b/>
        <sz val="11"/>
        <rFont val="Calibri"/>
        <family val="2"/>
        <scheme val="minor"/>
      </rPr>
      <t xml:space="preserve">MED NOTES: </t>
    </r>
    <r>
      <rPr>
        <sz val="11"/>
        <rFont val="Calibri"/>
        <family val="2"/>
        <scheme val="minor"/>
      </rPr>
      <t>free text field for notes (e.g., indication for 
med use, doses, prescriber, etc.).</t>
    </r>
  </si>
  <si>
    <r>
      <t xml:space="preserve">Baseline data collection takes the most amount of time. </t>
    </r>
    <r>
      <rPr>
        <b/>
        <sz val="11"/>
        <color rgb="FFC00000"/>
        <rFont val="Calibri"/>
        <family val="2"/>
        <scheme val="minor"/>
      </rPr>
      <t xml:space="preserve">The process for monthly data collection is similar to baseline but the focus is on updating residents and antipsychotic use. </t>
    </r>
    <r>
      <rPr>
        <sz val="11"/>
        <color theme="1"/>
        <rFont val="Calibri"/>
        <family val="2"/>
        <scheme val="minor"/>
      </rPr>
      <t xml:space="preserve">It requires less time and data entry since most residents are already entered. </t>
    </r>
    <r>
      <rPr>
        <sz val="11"/>
        <rFont val="Calibri"/>
        <family val="2"/>
        <scheme val="minor"/>
      </rPr>
      <t xml:space="preserve">On a monthly basis, you need to update and report the information below:
</t>
    </r>
    <r>
      <rPr>
        <b/>
        <u/>
        <sz val="11"/>
        <rFont val="Calibri"/>
        <family val="2"/>
        <scheme val="minor"/>
      </rPr>
      <t>Resident Information &amp; Clinical Context</t>
    </r>
    <r>
      <rPr>
        <b/>
        <sz val="11"/>
        <rFont val="Calibri"/>
        <family val="2"/>
        <scheme val="minor"/>
      </rPr>
      <t xml:space="preserve">
</t>
    </r>
    <r>
      <rPr>
        <sz val="11"/>
        <rFont val="Calibri"/>
        <family val="2"/>
        <scheme val="minor"/>
      </rPr>
      <t xml:space="preserve">Review and update list of residents. Add newly enrolled (admitted) residents and discharge residents (enter </t>
    </r>
    <r>
      <rPr>
        <b/>
        <sz val="11"/>
        <rFont val="Calibri"/>
        <family val="2"/>
        <scheme val="minor"/>
      </rPr>
      <t>DISCHARGE</t>
    </r>
    <r>
      <rPr>
        <sz val="11"/>
        <rFont val="Calibri"/>
        <family val="2"/>
        <scheme val="minor"/>
      </rPr>
      <t xml:space="preserve"> date). </t>
    </r>
    <r>
      <rPr>
        <b/>
        <sz val="11"/>
        <color rgb="FFC00000"/>
        <rFont val="Calibri"/>
        <family val="2"/>
        <scheme val="minor"/>
      </rPr>
      <t xml:space="preserve">Do not delete discharged residents from the list! </t>
    </r>
    <r>
      <rPr>
        <sz val="11"/>
        <rFont val="Calibri"/>
        <family val="2"/>
        <scheme val="minor"/>
      </rPr>
      <t xml:space="preserve">Review and update clinical info (i.e., diagnosis change or correction). For instance, symptoms or behaviours can change over time. Ensure changes are updated in RAI as well.
</t>
    </r>
    <r>
      <rPr>
        <b/>
        <u/>
        <sz val="11"/>
        <rFont val="Calibri"/>
        <family val="2"/>
        <scheme val="minor"/>
      </rPr>
      <t>Antipsychotics</t>
    </r>
    <r>
      <rPr>
        <b/>
        <sz val="11"/>
        <rFont val="Calibri"/>
        <family val="2"/>
        <scheme val="minor"/>
      </rPr>
      <t xml:space="preserve">
</t>
    </r>
    <r>
      <rPr>
        <sz val="11"/>
        <rFont val="Calibri"/>
        <family val="2"/>
        <scheme val="minor"/>
      </rPr>
      <t xml:space="preserve">Review and update existing medications. Add new meds and discontinue meds (enter </t>
    </r>
    <r>
      <rPr>
        <b/>
        <sz val="11"/>
        <rFont val="Calibri"/>
        <family val="2"/>
        <scheme val="minor"/>
      </rPr>
      <t>MONTH DISCONTINUED</t>
    </r>
    <r>
      <rPr>
        <sz val="11"/>
        <rFont val="Calibri"/>
        <family val="2"/>
        <scheme val="minor"/>
      </rPr>
      <t xml:space="preserve"> date). </t>
    </r>
    <r>
      <rPr>
        <b/>
        <sz val="11"/>
        <color rgb="FFC00000"/>
        <rFont val="Calibri"/>
        <family val="2"/>
        <scheme val="minor"/>
      </rPr>
      <t xml:space="preserve">Do not delete discontinued meds from the list! </t>
    </r>
    <r>
      <rPr>
        <sz val="11"/>
        <rFont val="Calibri"/>
        <family val="2"/>
        <scheme val="minor"/>
      </rPr>
      <t xml:space="preserve">Determine net change of Scheduled and PRN meds and update </t>
    </r>
    <r>
      <rPr>
        <b/>
        <sz val="11"/>
        <rFont val="Calibri"/>
        <family val="2"/>
        <scheme val="minor"/>
      </rPr>
      <t xml:space="preserve">ANTIPSYCHOTIC PROGRESS </t>
    </r>
    <r>
      <rPr>
        <sz val="11"/>
        <rFont val="Calibri"/>
        <family val="2"/>
        <scheme val="minor"/>
      </rPr>
      <t xml:space="preserve">accordingly. When determining net change, compare baseline dose with current dose.
</t>
    </r>
    <r>
      <rPr>
        <b/>
        <u/>
        <sz val="11"/>
        <rFont val="Calibri"/>
        <family val="2"/>
        <scheme val="minor"/>
      </rPr>
      <t xml:space="preserve">Report Data
</t>
    </r>
    <r>
      <rPr>
        <sz val="11"/>
        <rFont val="Calibri"/>
        <family val="2"/>
        <scheme val="minor"/>
      </rPr>
      <t>Report data in the same fashion as baseline data collection (</t>
    </r>
    <r>
      <rPr>
        <b/>
        <sz val="11"/>
        <rFont val="Calibri"/>
        <family val="2"/>
        <scheme val="minor"/>
      </rPr>
      <t>SECTION 6</t>
    </r>
    <r>
      <rPr>
        <sz val="11"/>
        <rFont val="Calibri"/>
        <family val="2"/>
        <scheme val="minor"/>
      </rPr>
      <t>).</t>
    </r>
  </si>
  <si>
    <r>
      <t xml:space="preserve">This template collects:
</t>
    </r>
    <r>
      <rPr>
        <b/>
        <sz val="11"/>
        <rFont val="Calibri"/>
        <family val="2"/>
        <scheme val="minor"/>
      </rPr>
      <t xml:space="preserve">Outcome Measures: </t>
    </r>
    <r>
      <rPr>
        <sz val="11"/>
        <rFont val="Calibri"/>
        <family val="2"/>
        <scheme val="minor"/>
      </rPr>
      <t xml:space="preserve">Antipsychotic use (total/potentially inappropriate)
</t>
    </r>
    <r>
      <rPr>
        <b/>
        <sz val="11"/>
        <rFont val="Calibri"/>
        <family val="2"/>
        <scheme val="minor"/>
      </rPr>
      <t xml:space="preserve">Process Measures: </t>
    </r>
    <r>
      <rPr>
        <sz val="11"/>
        <rFont val="Calibri"/>
        <family val="2"/>
        <scheme val="minor"/>
      </rPr>
      <t xml:space="preserve">Dose reduction trials and Medication Reviews
</t>
    </r>
    <r>
      <rPr>
        <b/>
        <sz val="11"/>
        <rFont val="Calibri"/>
        <family val="2"/>
        <scheme val="minor"/>
      </rPr>
      <t xml:space="preserve">Balancing Measures: </t>
    </r>
    <r>
      <rPr>
        <sz val="11"/>
        <rFont val="Calibri"/>
        <family val="2"/>
        <scheme val="minor"/>
      </rPr>
      <t>New admissions (new enrollments)
It is also possible to collect and display additional measures.</t>
    </r>
  </si>
  <si>
    <t>Process measures are tracked here. This is optional data collection (can be done on a monthly basis). Data on dose reduction trials and medication reviews are the two measures.</t>
  </si>
  <si>
    <r>
      <t xml:space="preserve">After completing data collection for </t>
    </r>
    <r>
      <rPr>
        <b/>
        <i/>
        <sz val="11"/>
        <rFont val="Calibri"/>
        <family val="2"/>
        <scheme val="minor"/>
      </rPr>
      <t>ResidentData</t>
    </r>
    <r>
      <rPr>
        <i/>
        <sz val="11"/>
        <rFont val="Calibri"/>
        <family val="2"/>
        <scheme val="minor"/>
      </rPr>
      <t>,</t>
    </r>
    <r>
      <rPr>
        <sz val="11"/>
        <rFont val="Calibri"/>
        <family val="2"/>
        <scheme val="minor"/>
      </rPr>
      <t xml:space="preserve"> consider which residents would be suitable for dose reductions trials. Track these residents on the </t>
    </r>
    <r>
      <rPr>
        <b/>
        <i/>
        <sz val="11"/>
        <rFont val="Calibri"/>
        <family val="2"/>
        <scheme val="minor"/>
      </rPr>
      <t>PDSAData</t>
    </r>
    <r>
      <rPr>
        <i/>
        <sz val="11"/>
        <rFont val="Calibri"/>
        <family val="2"/>
        <scheme val="minor"/>
      </rPr>
      <t xml:space="preserve"> </t>
    </r>
    <r>
      <rPr>
        <sz val="11"/>
        <rFont val="Calibri"/>
        <family val="2"/>
        <scheme val="minor"/>
      </rPr>
      <t xml:space="preserve">tab (for dose reduction trials and medication reviews). Think about residents that are settled, ready, and likely to have successful reductions.
</t>
    </r>
    <r>
      <rPr>
        <b/>
        <u/>
        <sz val="11"/>
        <rFont val="Calibri"/>
        <family val="2"/>
        <scheme val="minor"/>
      </rPr>
      <t>Listing Residents for Reduction</t>
    </r>
    <r>
      <rPr>
        <b/>
        <sz val="11"/>
        <rFont val="Calibri"/>
        <family val="2"/>
        <scheme val="minor"/>
      </rPr>
      <t xml:space="preserve">
</t>
    </r>
    <r>
      <rPr>
        <sz val="11"/>
        <rFont val="Calibri"/>
        <family val="2"/>
        <scheme val="minor"/>
      </rPr>
      <t>In the first column, use the drop-down list to select residents to target for reduction. Clinical Context fields (</t>
    </r>
    <r>
      <rPr>
        <b/>
        <sz val="11"/>
        <rFont val="Calibri"/>
        <family val="2"/>
        <scheme val="minor"/>
      </rPr>
      <t>PHYSICIAN</t>
    </r>
    <r>
      <rPr>
        <sz val="11"/>
        <rFont val="Calibri"/>
        <family val="2"/>
        <scheme val="minor"/>
      </rPr>
      <t xml:space="preserve">, </t>
    </r>
    <r>
      <rPr>
        <b/>
        <sz val="11"/>
        <rFont val="Calibri"/>
        <family val="2"/>
        <scheme val="minor"/>
      </rPr>
      <t xml:space="preserve">DIAGNOSIS, </t>
    </r>
    <r>
      <rPr>
        <sz val="11"/>
        <rFont val="Calibri"/>
        <family val="2"/>
        <scheme val="minor"/>
      </rPr>
      <t xml:space="preserve">and </t>
    </r>
    <r>
      <rPr>
        <b/>
        <sz val="11"/>
        <rFont val="Calibri"/>
        <family val="2"/>
        <scheme val="minor"/>
      </rPr>
      <t>CLINICAL NOTES</t>
    </r>
    <r>
      <rPr>
        <sz val="11"/>
        <rFont val="Calibri"/>
        <family val="2"/>
        <scheme val="minor"/>
      </rPr>
      <t xml:space="preserve">) are automatically filled.
</t>
    </r>
    <r>
      <rPr>
        <b/>
        <u/>
        <sz val="11"/>
        <rFont val="Calibri"/>
        <family val="2"/>
        <scheme val="minor"/>
      </rPr>
      <t>Dose Reduction Trial and Med Review</t>
    </r>
    <r>
      <rPr>
        <b/>
        <sz val="11"/>
        <rFont val="Calibri"/>
        <family val="2"/>
        <scheme val="minor"/>
      </rPr>
      <t xml:space="preserve">
</t>
    </r>
    <r>
      <rPr>
        <sz val="11"/>
        <rFont val="Calibri"/>
        <family val="2"/>
        <scheme val="minor"/>
      </rPr>
      <t>As you work with each resident over the months, check off:
- "D" in the D columns (1 to 24) if there was a filled and completed dose reduction trial.
- "M" in the M columns (1 to 24) if there was a medication review.
Remembr this is optional data collection intended to help track your progress and work. This data is not for judgment or accountability.</t>
    </r>
  </si>
  <si>
    <r>
      <t xml:space="preserve">For residents on a dose reduction trial, create and print a Reduction Form to track progress. Navigate to the </t>
    </r>
    <r>
      <rPr>
        <b/>
        <i/>
        <sz val="11"/>
        <rFont val="Calibri"/>
        <family val="2"/>
        <scheme val="minor"/>
      </rPr>
      <t>ReductionForm</t>
    </r>
    <r>
      <rPr>
        <i/>
        <sz val="11"/>
        <rFont val="Calibri"/>
        <family val="2"/>
        <scheme val="minor"/>
      </rPr>
      <t xml:space="preserve"> </t>
    </r>
    <r>
      <rPr>
        <sz val="11"/>
        <rFont val="Calibri"/>
        <family val="2"/>
        <scheme val="minor"/>
      </rPr>
      <t>tab and select  target resident from the drop-down list. This will fill out the information on the form (</t>
    </r>
    <r>
      <rPr>
        <b/>
        <sz val="11"/>
        <rFont val="Calibri"/>
        <family val="2"/>
        <scheme val="minor"/>
      </rPr>
      <t>ENROLLMENT</t>
    </r>
    <r>
      <rPr>
        <sz val="11"/>
        <rFont val="Calibri"/>
        <family val="2"/>
        <scheme val="minor"/>
      </rPr>
      <t xml:space="preserve">, </t>
    </r>
    <r>
      <rPr>
        <b/>
        <sz val="11"/>
        <rFont val="Calibri"/>
        <family val="2"/>
        <scheme val="minor"/>
      </rPr>
      <t>PHYSICIAN</t>
    </r>
    <r>
      <rPr>
        <sz val="11"/>
        <rFont val="Calibri"/>
        <family val="2"/>
        <scheme val="minor"/>
      </rPr>
      <t xml:space="preserve">, </t>
    </r>
    <r>
      <rPr>
        <b/>
        <sz val="11"/>
        <rFont val="Calibri"/>
        <family val="2"/>
        <scheme val="minor"/>
      </rPr>
      <t>DIAGNOSIS</t>
    </r>
    <r>
      <rPr>
        <sz val="11"/>
        <rFont val="Calibri"/>
        <family val="2"/>
        <scheme val="minor"/>
      </rPr>
      <t xml:space="preserve">, </t>
    </r>
    <r>
      <rPr>
        <b/>
        <sz val="11"/>
        <rFont val="Calibri"/>
        <family val="2"/>
        <scheme val="minor"/>
      </rPr>
      <t>CLINICAL NOTES</t>
    </r>
    <r>
      <rPr>
        <sz val="11"/>
        <rFont val="Calibri"/>
        <family val="2"/>
        <scheme val="minor"/>
      </rPr>
      <t xml:space="preserve">, </t>
    </r>
    <r>
      <rPr>
        <b/>
        <sz val="11"/>
        <rFont val="Calibri"/>
        <family val="2"/>
        <scheme val="minor"/>
      </rPr>
      <t>SCHEDULED MEDS</t>
    </r>
    <r>
      <rPr>
        <sz val="11"/>
        <rFont val="Calibri"/>
        <family val="2"/>
        <scheme val="minor"/>
      </rPr>
      <t xml:space="preserve">, and </t>
    </r>
    <r>
      <rPr>
        <b/>
        <sz val="11"/>
        <rFont val="Calibri"/>
        <family val="2"/>
        <scheme val="minor"/>
      </rPr>
      <t>PRN MEDS</t>
    </r>
    <r>
      <rPr>
        <sz val="11"/>
        <rFont val="Calibri"/>
        <family val="2"/>
        <scheme val="minor"/>
      </rPr>
      <t>).
Print the form (Ctrl+P) and place it on the resident chart. Moving forward, use the printed physical form on a monthly basis to update dose reductions. The concept is to use printed forms for quick tracking and progress notes. The Clear Data Collection Tool is used to record overall reductions and generate statistics and outcome data.</t>
    </r>
  </si>
  <si>
    <r>
      <t xml:space="preserve">Printing worksheets is a great idea! Each tab </t>
    </r>
    <r>
      <rPr>
        <sz val="11"/>
        <rFont val="Calibri"/>
        <family val="2"/>
        <scheme val="minor"/>
      </rPr>
      <t>is print-friendly. To print, go to the top-left corner and select “Print” (or press Ctrl+P). Use print preview to double-check formatting; it should print on letter-sized paper.
Printing worksheets is helpful when presenting data or working on it while not on the computer.</t>
    </r>
  </si>
  <si>
    <r>
      <t xml:space="preserve">There are several tables and charts on the </t>
    </r>
    <r>
      <rPr>
        <b/>
        <i/>
        <sz val="11"/>
        <rFont val="Calibri"/>
        <family val="2"/>
        <scheme val="minor"/>
      </rPr>
      <t>Summary</t>
    </r>
    <r>
      <rPr>
        <sz val="11"/>
        <rFont val="Calibri"/>
        <family val="2"/>
        <scheme val="minor"/>
      </rPr>
      <t xml:space="preserve"> tab. Use this area to analyze and interpret your data. Measures are listed down the left-hand side (rows) and months are listed across top (columns).
</t>
    </r>
    <r>
      <rPr>
        <b/>
        <u/>
        <sz val="11"/>
        <rFont val="Calibri"/>
        <family val="2"/>
        <scheme val="minor"/>
      </rPr>
      <t>Auto-Calculated Numbers</t>
    </r>
    <r>
      <rPr>
        <sz val="11"/>
        <rFont val="Calibri"/>
        <family val="2"/>
        <scheme val="minor"/>
      </rPr>
      <t xml:space="preserve">
Most measures are automatically calculated, so there is little manual input needed. Numbers that need to be inputted are shaded in yellow cells (i.e., Total # of Residents).
</t>
    </r>
    <r>
      <rPr>
        <b/>
        <u/>
        <sz val="11"/>
        <rFont val="Calibri"/>
        <family val="2"/>
        <scheme val="minor"/>
      </rPr>
      <t xml:space="preserve">Data Sections
</t>
    </r>
    <r>
      <rPr>
        <b/>
        <sz val="11"/>
        <rFont val="Calibri"/>
        <family val="2"/>
        <scheme val="minor"/>
      </rPr>
      <t xml:space="preserve">- Monthly Data Tables/Charts: </t>
    </r>
    <r>
      <rPr>
        <sz val="11"/>
        <rFont val="Calibri"/>
        <family val="2"/>
        <scheme val="minor"/>
      </rPr>
      <t xml:space="preserve">Data tables with measures for all residents over the course of Clear. There are charts below these tables. The left chart shows the total antipsychotic rate for all residents. The right chart shows the potentially inappropriate antipsychotic rate, which only looks at the prescribing rate of residents without a diagnosis of psychosis as per RAI exclusionary criteria.
- </t>
    </r>
    <r>
      <rPr>
        <b/>
        <sz val="11"/>
        <rFont val="Calibri"/>
        <family val="2"/>
        <scheme val="minor"/>
      </rPr>
      <t xml:space="preserve">Cohort Level Analysis: </t>
    </r>
    <r>
      <rPr>
        <sz val="11"/>
        <rFont val="Calibri"/>
        <family val="2"/>
        <scheme val="minor"/>
      </rPr>
      <t xml:space="preserve">Contain cumulative counts of progress throughout Clear, split by two cohorts. There are data tables comparing baseline to year-to-date, as well as a diagram for illustration.
</t>
    </r>
    <r>
      <rPr>
        <b/>
        <sz val="11"/>
        <rFont val="Calibri"/>
        <family val="2"/>
        <scheme val="minor"/>
      </rPr>
      <t xml:space="preserve">- Monthly Data Table/Charts by Cohort: </t>
    </r>
    <r>
      <rPr>
        <sz val="11"/>
        <rFont val="Calibri"/>
        <family val="2"/>
        <scheme val="minor"/>
      </rPr>
      <t>Data tables similar to first section but separated by cohort. There are charts below as well.
Summary data tables and charts print on letter-sized paper (landscape).</t>
    </r>
  </si>
  <si>
    <r>
      <t xml:space="preserve">Understanding and using measures will help in driving your improvement efforts. Below are some of the important measures and their operational definitions:
</t>
    </r>
    <r>
      <rPr>
        <b/>
        <sz val="11"/>
        <rFont val="Calibri"/>
        <family val="2"/>
        <scheme val="minor"/>
      </rPr>
      <t xml:space="preserve">- Total # of Residents: </t>
    </r>
    <r>
      <rPr>
        <sz val="11"/>
        <rFont val="Calibri"/>
        <family val="2"/>
        <scheme val="minor"/>
      </rPr>
      <t xml:space="preserve">Manual count of residents on unit. This is determined by doing a manual count of residents/beds. Count permanent beds only. Exclude residents in respite/convalescent beds.
</t>
    </r>
    <r>
      <rPr>
        <b/>
        <sz val="11"/>
        <rFont val="Calibri"/>
        <family val="2"/>
        <scheme val="minor"/>
      </rPr>
      <t xml:space="preserve">- # Residents without Dx: </t>
    </r>
    <r>
      <rPr>
        <sz val="11"/>
        <rFont val="Calibri"/>
        <family val="2"/>
        <scheme val="minor"/>
      </rPr>
      <t xml:space="preserve">Count of residents on unit who do not have any RAI exclusion criteria.
</t>
    </r>
    <r>
      <rPr>
        <b/>
        <sz val="11"/>
        <rFont val="Calibri"/>
        <family val="2"/>
        <scheme val="minor"/>
      </rPr>
      <t xml:space="preserve">- # Residents with Dx: </t>
    </r>
    <r>
      <rPr>
        <sz val="11"/>
        <rFont val="Calibri"/>
        <family val="2"/>
        <scheme val="minor"/>
      </rPr>
      <t xml:space="preserve">Count of residents on unit who have any RAI exclusion criteria.
</t>
    </r>
    <r>
      <rPr>
        <b/>
        <sz val="11"/>
        <rFont val="Calibri"/>
        <family val="2"/>
        <scheme val="minor"/>
      </rPr>
      <t>- Total # of New Enrollments (Admissions):</t>
    </r>
    <r>
      <rPr>
        <sz val="11"/>
        <rFont val="Calibri"/>
        <family val="2"/>
        <scheme val="minor"/>
      </rPr>
      <t xml:space="preserve"> Count of residents enrolled/admitted in the month.
</t>
    </r>
    <r>
      <rPr>
        <b/>
        <sz val="11"/>
        <rFont val="Calibri"/>
        <family val="2"/>
        <scheme val="minor"/>
      </rPr>
      <t>- # New Enrollments (Admissions) on AP:</t>
    </r>
    <r>
      <rPr>
        <sz val="11"/>
        <rFont val="Calibri"/>
        <family val="2"/>
        <scheme val="minor"/>
      </rPr>
      <t xml:space="preserve"> Count of residents enrolled/admitted in the month on antipsychotics upon enrollment.
</t>
    </r>
    <r>
      <rPr>
        <b/>
        <sz val="11"/>
        <rFont val="Calibri"/>
        <family val="2"/>
        <scheme val="minor"/>
      </rPr>
      <t>- # Residents on antipsychotics:</t>
    </r>
    <r>
      <rPr>
        <sz val="11"/>
        <rFont val="Calibri"/>
        <family val="2"/>
        <scheme val="minor"/>
      </rPr>
      <t xml:space="preserve"> Count of residents on unit and prescribed a scheduled or PRN antipsychotic.
</t>
    </r>
    <r>
      <rPr>
        <b/>
        <sz val="11"/>
        <rFont val="Calibri"/>
        <family val="2"/>
        <scheme val="minor"/>
      </rPr>
      <t xml:space="preserve">- # Residents not on antipsychotics: </t>
    </r>
    <r>
      <rPr>
        <sz val="11"/>
        <rFont val="Calibri"/>
        <family val="2"/>
        <scheme val="minor"/>
      </rPr>
      <t xml:space="preserve">Count of residents on unit and not prescribed a scheduled or PRN antipsychotic.
</t>
    </r>
    <r>
      <rPr>
        <b/>
        <sz val="11"/>
        <rFont val="Calibri"/>
        <family val="2"/>
        <scheme val="minor"/>
      </rPr>
      <t xml:space="preserve">- % Resident on any antipsychotics: </t>
    </r>
    <r>
      <rPr>
        <sz val="11"/>
        <rFont val="Calibri"/>
        <family val="2"/>
        <scheme val="minor"/>
      </rPr>
      <t xml:space="preserve">Percent: # Residents on antipsychotics divided by Total # of Residents.
</t>
    </r>
    <r>
      <rPr>
        <b/>
        <sz val="11"/>
        <rFont val="Calibri"/>
        <family val="2"/>
        <scheme val="minor"/>
      </rPr>
      <t xml:space="preserve">- # Residents on antipsychotics without a Dx: </t>
    </r>
    <r>
      <rPr>
        <sz val="11"/>
        <rFont val="Calibri"/>
        <family val="2"/>
        <scheme val="minor"/>
      </rPr>
      <t xml:space="preserve">Count of residents on unit, do not have any RAI exclusion criteria, and prescribed a scheduled or PRN antipsychotic.
</t>
    </r>
    <r>
      <rPr>
        <b/>
        <sz val="11"/>
        <rFont val="Calibri"/>
        <family val="2"/>
        <scheme val="minor"/>
      </rPr>
      <t xml:space="preserve">- % Residents on antipsychotics without a Dx: </t>
    </r>
    <r>
      <rPr>
        <sz val="11"/>
        <rFont val="Calibri"/>
        <family val="2"/>
        <scheme val="minor"/>
      </rPr>
      <t xml:space="preserve">Percent: # Residents on antipsychotics without a Dx divided by # of Residents without Dx.
</t>
    </r>
    <r>
      <rPr>
        <b/>
        <sz val="11"/>
        <rFont val="Calibri"/>
        <family val="2"/>
        <scheme val="minor"/>
      </rPr>
      <t>RAI Exclusion Criteria:</t>
    </r>
    <r>
      <rPr>
        <sz val="11"/>
        <rFont val="Calibri"/>
        <family val="2"/>
        <scheme val="minor"/>
      </rPr>
      <t xml:space="preserve">
    - End-stage disease (J5c)
    - Hospice care (P1ao)
    - Schizophrenia (I1ii)
    - Huntington's chorea (I1x)
    - Hallucinations (J1i)
    - Delusions (J1e)
As your Improvement Advisor if you have any questions or need any help with interpreting measures.</t>
    </r>
  </si>
  <si>
    <r>
      <t xml:space="preserve">After completing data collection for the month, send data from the </t>
    </r>
    <r>
      <rPr>
        <b/>
        <i/>
        <sz val="11"/>
        <rFont val="Calibri"/>
        <family val="2"/>
        <scheme val="minor"/>
      </rPr>
      <t>Summary</t>
    </r>
    <r>
      <rPr>
        <sz val="11"/>
        <rFont val="Calibri"/>
        <family val="2"/>
        <scheme val="minor"/>
      </rPr>
      <t xml:space="preserve"> tab to your Improvement Advisor. Navigate to the </t>
    </r>
    <r>
      <rPr>
        <b/>
        <i/>
        <sz val="11"/>
        <rFont val="Calibri"/>
        <family val="2"/>
        <scheme val="minor"/>
      </rPr>
      <t>Summary</t>
    </r>
    <r>
      <rPr>
        <sz val="11"/>
        <rFont val="Calibri"/>
        <family val="2"/>
        <scheme val="minor"/>
      </rPr>
      <t xml:space="preserve"> tab. Open the </t>
    </r>
    <r>
      <rPr>
        <i/>
        <sz val="11"/>
        <rFont val="Calibri"/>
        <family val="2"/>
        <scheme val="minor"/>
      </rPr>
      <t xml:space="preserve">Monthly Team Report </t>
    </r>
    <r>
      <rPr>
        <sz val="11"/>
        <rFont val="Calibri"/>
        <family val="2"/>
        <scheme val="minor"/>
      </rPr>
      <t xml:space="preserve">(Word doc). Copy the aggregate outcome numbers from the tables into the Monthly Team Report (on the blank page at the end). There are three ways you can do this:
Copying the data tables can be done in 3 ways:
</t>
    </r>
    <r>
      <rPr>
        <b/>
        <sz val="11"/>
        <rFont val="Calibri"/>
        <family val="2"/>
        <scheme val="minor"/>
      </rPr>
      <t xml:space="preserve">PRINTSCREEN (screenshot): </t>
    </r>
    <r>
      <rPr>
        <sz val="11"/>
        <rFont val="Calibri"/>
        <family val="2"/>
        <scheme val="minor"/>
      </rPr>
      <t xml:space="preserve">press Print Screen (next to F12 on the keyboard). This will copy a picture of your entire computer screen. Paste (Ctrl+V) into </t>
    </r>
    <r>
      <rPr>
        <i/>
        <sz val="11"/>
        <rFont val="Calibri"/>
        <family val="2"/>
        <scheme val="minor"/>
      </rPr>
      <t>Monthly Team Report</t>
    </r>
    <r>
      <rPr>
        <sz val="11"/>
        <rFont val="Calibri"/>
        <family val="2"/>
        <scheme val="minor"/>
      </rPr>
      <t xml:space="preserve">.
</t>
    </r>
    <r>
      <rPr>
        <b/>
        <sz val="11"/>
        <rFont val="Calibri"/>
        <family val="2"/>
        <scheme val="minor"/>
      </rPr>
      <t xml:space="preserve">COPY FROM EXCEL: </t>
    </r>
    <r>
      <rPr>
        <sz val="11"/>
        <rFont val="Calibri"/>
        <family val="2"/>
        <scheme val="minor"/>
      </rPr>
      <t xml:space="preserve">highlight (click and hold the mouse button) the top left cell (A1), drag down to the bottom right cell (AI32), and Copy (Ctrl+C). Paste (Ctrl+V) into </t>
    </r>
    <r>
      <rPr>
        <i/>
        <sz val="11"/>
        <rFont val="Calibri"/>
        <family val="2"/>
        <scheme val="minor"/>
      </rPr>
      <t>Monthly Team Report</t>
    </r>
    <r>
      <rPr>
        <sz val="11"/>
        <rFont val="Calibri"/>
        <family val="2"/>
        <scheme val="minor"/>
      </rPr>
      <t xml:space="preserve">. This will insert the data tables.
</t>
    </r>
    <r>
      <rPr>
        <b/>
        <sz val="11"/>
        <rFont val="Calibri"/>
        <family val="2"/>
        <scheme val="minor"/>
      </rPr>
      <t xml:space="preserve">MANUAL ENTRY: </t>
    </r>
    <r>
      <rPr>
        <sz val="11"/>
        <rFont val="Calibri"/>
        <family val="2"/>
        <scheme val="minor"/>
      </rPr>
      <t xml:space="preserve">enter numbers into data tables already pre-built in the </t>
    </r>
    <r>
      <rPr>
        <i/>
        <sz val="11"/>
        <rFont val="Calibri"/>
        <family val="2"/>
        <scheme val="minor"/>
      </rPr>
      <t>Monthly Team Report</t>
    </r>
    <r>
      <rPr>
        <sz val="11"/>
        <rFont val="Calibri"/>
        <family val="2"/>
        <scheme val="minor"/>
      </rPr>
      <t xml:space="preserve">. This should be the last page of the Word doc.
Submit the </t>
    </r>
    <r>
      <rPr>
        <i/>
        <sz val="11"/>
        <rFont val="Calibri"/>
        <family val="2"/>
        <scheme val="minor"/>
      </rPr>
      <t>Monthly Team Report</t>
    </r>
    <r>
      <rPr>
        <sz val="11"/>
        <rFont val="Calibri"/>
        <family val="2"/>
        <scheme val="minor"/>
      </rPr>
      <t xml:space="preserve"> to your Improvement Advisor at the beginning of each. Data collected for the month should be submitted during the first week of the next month. For example, data for February should be submitted in the first week of March. Please email the file to your Improvement Advisor.
Remember to save your files (both </t>
    </r>
    <r>
      <rPr>
        <i/>
        <sz val="11"/>
        <rFont val="Calibri"/>
        <family val="2"/>
        <scheme val="minor"/>
      </rPr>
      <t>Data Collection Tool</t>
    </r>
    <r>
      <rPr>
        <sz val="11"/>
        <rFont val="Calibri"/>
        <family val="2"/>
        <scheme val="minor"/>
      </rPr>
      <t xml:space="preserve"> and </t>
    </r>
    <r>
      <rPr>
        <i/>
        <sz val="11"/>
        <rFont val="Calibri"/>
        <family val="2"/>
        <scheme val="minor"/>
      </rPr>
      <t>Monthly Team Report</t>
    </r>
    <r>
      <rPr>
        <sz val="11"/>
        <rFont val="Calibri"/>
        <family val="2"/>
        <scheme val="minor"/>
      </rPr>
      <t xml:space="preserve">). Don't forget to include the current month in the title of your </t>
    </r>
    <r>
      <rPr>
        <i/>
        <sz val="11"/>
        <rFont val="Calibri"/>
        <family val="2"/>
        <scheme val="minor"/>
      </rPr>
      <t>Monthly Team Report</t>
    </r>
    <r>
      <rPr>
        <sz val="11"/>
        <rFont val="Calibri"/>
        <family val="2"/>
        <scheme val="minor"/>
      </rPr>
      <t>.</t>
    </r>
  </si>
  <si>
    <r>
      <t xml:space="preserve">The Clear team only requires data from the </t>
    </r>
    <r>
      <rPr>
        <b/>
        <i/>
        <sz val="11"/>
        <rFont val="Calibri"/>
        <family val="2"/>
        <scheme val="minor"/>
      </rPr>
      <t>Summary</t>
    </r>
    <r>
      <rPr>
        <i/>
        <sz val="11"/>
        <rFont val="Calibri"/>
        <family val="2"/>
        <scheme val="minor"/>
      </rPr>
      <t xml:space="preserve"> </t>
    </r>
    <r>
      <rPr>
        <sz val="11"/>
        <rFont val="Calibri"/>
        <family val="2"/>
        <scheme val="minor"/>
      </rPr>
      <t xml:space="preserve">tab which is aggregated and anonymous. We do not ask for resident-level data. We recommend not sending your </t>
    </r>
    <r>
      <rPr>
        <i/>
        <sz val="11"/>
        <rFont val="Calibri"/>
        <family val="2"/>
        <scheme val="minor"/>
      </rPr>
      <t xml:space="preserve">Data Colllection Tool </t>
    </r>
    <r>
      <rPr>
        <sz val="11"/>
        <rFont val="Calibri"/>
        <family val="2"/>
        <scheme val="minor"/>
      </rPr>
      <t xml:space="preserve">Excel file to your Improvement Advisor.
The data collected and stored in this template should be safeguarded (similarly to any health or medical record). It contains personal, resident-level information and </t>
    </r>
    <r>
      <rPr>
        <b/>
        <sz val="11"/>
        <color rgb="FFC00000"/>
        <rFont val="Calibri"/>
        <family val="2"/>
        <scheme val="minor"/>
      </rPr>
      <t xml:space="preserve">should only be shared with those involved in the delivery of care. </t>
    </r>
  </si>
  <si>
    <t>&lt;name here&gt;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</si>
</sst>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409]mmm\-yy;@"/>
    <numFmt numFmtId="165" formatCode="mmm\ yyyy"/>
    <numFmt numFmtId="166" formatCode="mmmmm\-yy"/>
    <numFmt numFmtId="167" formatCode="0.0"/>
    <numFmt numFmtId="168" formatCode="mmm"/>
    <numFmt numFmtId="169" formatCode="[$-409]mmmmm\-yy;@"/>
    <numFmt numFmtId="170" formatCode="[$-409]d\-mmm\-yyyy;@"/>
    <numFmt numFmtId="171" formatCode="0;\-0;"/>
    <numFmt numFmtId="172" formatCode="[$-409]mmmmm;@"/>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color theme="1"/>
      <name val="Calibri"/>
      <family val="2"/>
      <scheme val="minor"/>
    </font>
    <font>
      <sz val="11"/>
      <name val="Calibri"/>
      <family val="2"/>
      <scheme val="minor"/>
    </font>
    <font>
      <sz val="9"/>
      <color indexed="81"/>
      <name val="Tahoma"/>
      <family val="2"/>
    </font>
    <font>
      <b/>
      <sz val="9"/>
      <color indexed="81"/>
      <name val="Tahoma"/>
      <family val="2"/>
    </font>
    <font>
      <b/>
      <sz val="11"/>
      <color theme="0"/>
      <name val="Calibri"/>
      <family val="2"/>
      <scheme val="minor"/>
    </font>
    <font>
      <b/>
      <sz val="11"/>
      <name val="Calibri"/>
      <family val="2"/>
      <scheme val="minor"/>
    </font>
    <font>
      <sz val="11"/>
      <color theme="1"/>
      <name val="Wingdings"/>
      <charset val="2"/>
    </font>
    <font>
      <sz val="11"/>
      <color rgb="FF000000"/>
      <name val="Wingdings"/>
      <charset val="2"/>
    </font>
    <font>
      <sz val="10"/>
      <color theme="1"/>
      <name val="Calibri"/>
      <family val="2"/>
      <scheme val="minor"/>
    </font>
    <font>
      <b/>
      <sz val="13"/>
      <color theme="1"/>
      <name val="Calibri"/>
      <family val="2"/>
      <scheme val="minor"/>
    </font>
    <font>
      <b/>
      <sz val="13"/>
      <color theme="0"/>
      <name val="Calibri"/>
      <family val="2"/>
      <scheme val="minor"/>
    </font>
    <font>
      <b/>
      <sz val="13"/>
      <name val="Calibri"/>
      <family val="2"/>
      <scheme val="minor"/>
    </font>
    <font>
      <sz val="13"/>
      <name val="Calibri"/>
      <family val="2"/>
      <scheme val="minor"/>
    </font>
    <font>
      <sz val="13"/>
      <color theme="1"/>
      <name val="Calibri"/>
      <family val="2"/>
      <scheme val="minor"/>
    </font>
    <font>
      <sz val="12"/>
      <color rgb="FF545454"/>
      <name val="Calibri"/>
      <family val="2"/>
      <scheme val="minor"/>
    </font>
    <font>
      <sz val="14"/>
      <color theme="1"/>
      <name val="Calibri"/>
      <family val="2"/>
      <scheme val="minor"/>
    </font>
    <font>
      <b/>
      <sz val="20"/>
      <color theme="1"/>
      <name val="Calibri"/>
      <family val="2"/>
      <scheme val="minor"/>
    </font>
    <font>
      <b/>
      <sz val="9"/>
      <color theme="1"/>
      <name val="Calibri"/>
      <family val="2"/>
      <scheme val="minor"/>
    </font>
    <font>
      <sz val="11"/>
      <color theme="1" tint="0.499984740745262"/>
      <name val="Calibri"/>
      <family val="2"/>
      <scheme val="minor"/>
    </font>
    <font>
      <b/>
      <i/>
      <sz val="11"/>
      <color rgb="FFFF0000"/>
      <name val="Calibri"/>
      <family val="2"/>
      <scheme val="minor"/>
    </font>
    <font>
      <b/>
      <sz val="16"/>
      <color theme="1"/>
      <name val="Calibri"/>
      <family val="2"/>
      <scheme val="minor"/>
    </font>
    <font>
      <sz val="16"/>
      <color theme="1"/>
      <name val="Calibri"/>
      <family val="2"/>
      <scheme val="minor"/>
    </font>
    <font>
      <b/>
      <sz val="16"/>
      <name val="Calibri"/>
      <family val="2"/>
      <scheme val="minor"/>
    </font>
    <font>
      <sz val="16"/>
      <name val="Calibri"/>
      <family val="2"/>
      <scheme val="minor"/>
    </font>
    <font>
      <b/>
      <sz val="11"/>
      <name val="Calibri"/>
      <family val="2"/>
    </font>
    <font>
      <b/>
      <sz val="11"/>
      <color theme="7" tint="0.39997558519241921"/>
      <name val="Calibri"/>
      <family val="2"/>
      <scheme val="minor"/>
    </font>
    <font>
      <sz val="11"/>
      <color theme="0"/>
      <name val="Calibri"/>
      <family val="2"/>
      <scheme val="minor"/>
    </font>
    <font>
      <b/>
      <sz val="14"/>
      <color theme="0"/>
      <name val="Calibri"/>
      <family val="2"/>
      <scheme val="minor"/>
    </font>
    <font>
      <b/>
      <i/>
      <sz val="11"/>
      <color rgb="FFC00000"/>
      <name val="Calibri"/>
      <family val="2"/>
      <scheme val="minor"/>
    </font>
    <font>
      <b/>
      <i/>
      <sz val="11"/>
      <color theme="9" tint="-0.249977111117893"/>
      <name val="Calibri"/>
      <family val="2"/>
      <scheme val="minor"/>
    </font>
    <font>
      <b/>
      <sz val="11"/>
      <color rgb="FFC00000"/>
      <name val="Calibri"/>
      <family val="2"/>
      <scheme val="minor"/>
    </font>
    <font>
      <b/>
      <u/>
      <sz val="11"/>
      <name val="Calibri"/>
      <family val="2"/>
      <scheme val="minor"/>
    </font>
    <font>
      <sz val="13"/>
      <color theme="0"/>
      <name val="Calibri"/>
      <family val="2"/>
      <scheme val="minor"/>
    </font>
    <font>
      <b/>
      <i/>
      <sz val="11"/>
      <name val="Calibri"/>
      <family val="2"/>
      <scheme val="minor"/>
    </font>
    <font>
      <sz val="12"/>
      <color rgb="FF545454"/>
      <name val="Calibri"/>
      <family val="2"/>
    </font>
    <font>
      <i/>
      <sz val="11"/>
      <name val="Calibri"/>
      <family val="2"/>
      <scheme val="minor"/>
    </font>
    <font>
      <b/>
      <i/>
      <sz val="9"/>
      <color indexed="81"/>
      <name val="Tahoma"/>
      <family val="2"/>
    </font>
    <font>
      <sz val="9"/>
      <color theme="1"/>
      <name val="Calibri"/>
      <family val="2"/>
      <scheme val="minor"/>
    </font>
    <font>
      <b/>
      <u/>
      <sz val="11"/>
      <color theme="1"/>
      <name val="Calibri"/>
      <family val="2"/>
      <scheme val="minor"/>
    </font>
    <font>
      <u/>
      <sz val="11"/>
      <color theme="1"/>
      <name val="Calibri"/>
      <family val="2"/>
      <scheme val="minor"/>
    </font>
    <font>
      <b/>
      <i/>
      <sz val="14"/>
      <color rgb="FFC00000"/>
      <name val="Calibri"/>
      <family val="2"/>
      <scheme val="minor"/>
    </font>
    <font>
      <b/>
      <sz val="24"/>
      <color theme="1"/>
      <name val="Calibri"/>
      <family val="2"/>
      <scheme val="minor"/>
    </font>
    <font>
      <u/>
      <sz val="11"/>
      <color theme="10"/>
      <name val="Calibri"/>
      <family val="2"/>
      <scheme val="minor"/>
    </font>
    <font>
      <u/>
      <sz val="13"/>
      <color theme="10"/>
      <name val="Calibri"/>
      <family val="2"/>
      <scheme val="minor"/>
    </font>
    <font>
      <sz val="11"/>
      <color rgb="FFC00000"/>
      <name val="Calibri"/>
      <family val="2"/>
      <scheme val="minor"/>
    </font>
  </fonts>
  <fills count="21">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99"/>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6"/>
        <bgColor indexed="64"/>
      </patternFill>
    </fill>
    <fill>
      <patternFill patternType="solid">
        <fgColor theme="7" tint="0.59999389629810485"/>
        <bgColor indexed="64"/>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style="medium">
        <color indexed="64"/>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medium">
        <color indexed="64"/>
      </right>
      <top/>
      <bottom style="medium">
        <color indexed="64"/>
      </bottom>
      <diagonal/>
    </border>
    <border>
      <left/>
      <right style="thin">
        <color theme="0" tint="-0.249977111117893"/>
      </right>
      <top/>
      <bottom style="medium">
        <color indexed="64"/>
      </bottom>
      <diagonal/>
    </border>
    <border>
      <left style="thin">
        <color theme="0" tint="-0.249977111117893"/>
      </left>
      <right/>
      <top/>
      <bottom style="medium">
        <color indexed="64"/>
      </bottom>
      <diagonal/>
    </border>
    <border>
      <left/>
      <right style="medium">
        <color indexed="64"/>
      </right>
      <top/>
      <bottom style="thin">
        <color theme="0" tint="-0.249977111117893"/>
      </bottom>
      <diagonal/>
    </border>
    <border>
      <left/>
      <right style="medium">
        <color indexed="64"/>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diagonal/>
    </border>
    <border>
      <left style="medium">
        <color indexed="64"/>
      </left>
      <right/>
      <top/>
      <bottom style="thin">
        <color theme="0" tint="-0.249977111117893"/>
      </bottom>
      <diagonal/>
    </border>
    <border>
      <left style="medium">
        <color indexed="64"/>
      </left>
      <right/>
      <top style="thin">
        <color theme="0" tint="-0.249977111117893"/>
      </top>
      <bottom/>
      <diagonal/>
    </border>
    <border>
      <left style="medium">
        <color indexed="64"/>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bottom style="thin">
        <color theme="0" tint="-0.249977111117893"/>
      </bottom>
      <diagonal/>
    </border>
    <border>
      <left/>
      <right style="thin">
        <color indexed="64"/>
      </right>
      <top style="thin">
        <color theme="0" tint="-0.249977111117893"/>
      </top>
      <bottom style="thin">
        <color theme="0" tint="-0.249977111117893"/>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theme="0" tint="-0.249977111117893"/>
      </top>
      <bottom style="thin">
        <color theme="0" tint="-0.249977111117893"/>
      </bottom>
      <diagonal/>
    </border>
    <border>
      <left style="thin">
        <color indexed="64"/>
      </left>
      <right/>
      <top/>
      <bottom/>
      <diagonal/>
    </border>
    <border>
      <left/>
      <right/>
      <top/>
      <bottom style="thin">
        <color indexed="64"/>
      </bottom>
      <diagonal/>
    </border>
    <border>
      <left style="thin">
        <color indexed="64"/>
      </left>
      <right style="thin">
        <color theme="0" tint="-0.249977111117893"/>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46" fillId="0" borderId="0" applyNumberFormat="0" applyFill="0" applyBorder="0" applyAlignment="0" applyProtection="0"/>
  </cellStyleXfs>
  <cellXfs count="658">
    <xf numFmtId="0" fontId="0" fillId="0" borderId="0" xfId="0"/>
    <xf numFmtId="0" fontId="0" fillId="0" borderId="0" xfId="0"/>
    <xf numFmtId="9" fontId="0" fillId="0" borderId="1" xfId="1" applyFont="1" applyBorder="1"/>
    <xf numFmtId="17" fontId="0" fillId="0" borderId="1" xfId="0" applyNumberFormat="1" applyBorder="1" applyAlignment="1">
      <alignment wrapText="1"/>
    </xf>
    <xf numFmtId="164" fontId="0" fillId="0" borderId="1" xfId="0" applyNumberFormat="1" applyBorder="1"/>
    <xf numFmtId="164" fontId="0" fillId="0" borderId="1" xfId="0" applyNumberFormat="1" applyBorder="1" applyAlignment="1">
      <alignment horizontal="left"/>
    </xf>
    <xf numFmtId="9" fontId="0" fillId="0" borderId="1" xfId="0" applyNumberFormat="1" applyBorder="1"/>
    <xf numFmtId="0" fontId="0" fillId="0" borderId="1" xfId="0" applyBorder="1"/>
    <xf numFmtId="0" fontId="0" fillId="0" borderId="0" xfId="0" applyAlignment="1">
      <alignment wrapText="1"/>
    </xf>
    <xf numFmtId="0" fontId="0" fillId="0" borderId="1" xfId="0" applyBorder="1" applyAlignment="1">
      <alignment horizontal="center" vertical="top" wrapText="1"/>
    </xf>
    <xf numFmtId="0" fontId="0" fillId="0" borderId="1" xfId="0" applyBorder="1" applyAlignment="1">
      <alignment vertical="top" wrapText="1"/>
    </xf>
    <xf numFmtId="0" fontId="0" fillId="0" borderId="1" xfId="0" applyBorder="1" applyAlignment="1">
      <alignment wrapText="1"/>
    </xf>
    <xf numFmtId="165" fontId="0" fillId="0" borderId="0" xfId="0" applyNumberFormat="1"/>
    <xf numFmtId="0" fontId="0" fillId="0" borderId="0" xfId="0"/>
    <xf numFmtId="0" fontId="5" fillId="0" borderId="0" xfId="0" applyFont="1" applyFill="1" applyBorder="1"/>
    <xf numFmtId="0" fontId="2" fillId="0" borderId="0" xfId="0" applyFont="1"/>
    <xf numFmtId="0" fontId="4" fillId="0" borderId="0" xfId="0" applyFont="1"/>
    <xf numFmtId="0" fontId="0" fillId="0" borderId="0" xfId="0" applyBorder="1"/>
    <xf numFmtId="165" fontId="2" fillId="0" borderId="0" xfId="0" applyNumberFormat="1" applyFont="1"/>
    <xf numFmtId="164" fontId="10" fillId="0" borderId="0" xfId="0" applyNumberFormat="1" applyFont="1"/>
    <xf numFmtId="0" fontId="11" fillId="0" borderId="0" xfId="0" applyFont="1"/>
    <xf numFmtId="0" fontId="0" fillId="0" borderId="4" xfId="0" applyBorder="1"/>
    <xf numFmtId="0" fontId="14" fillId="10" borderId="0" xfId="0" applyFont="1" applyFill="1" applyBorder="1"/>
    <xf numFmtId="0" fontId="14" fillId="10" borderId="0" xfId="0" applyFont="1" applyFill="1"/>
    <xf numFmtId="0" fontId="17" fillId="0" borderId="32" xfId="0" applyFont="1" applyBorder="1" applyAlignment="1">
      <alignment horizontal="center"/>
    </xf>
    <xf numFmtId="0" fontId="17" fillId="0" borderId="25" xfId="0" applyFont="1" applyBorder="1" applyAlignment="1">
      <alignment horizontal="center"/>
    </xf>
    <xf numFmtId="165" fontId="17" fillId="0" borderId="0" xfId="0" applyNumberFormat="1" applyFont="1"/>
    <xf numFmtId="165" fontId="17" fillId="0" borderId="0" xfId="0" applyNumberFormat="1" applyFont="1" applyAlignment="1"/>
    <xf numFmtId="0" fontId="13" fillId="0" borderId="25" xfId="0" applyFont="1" applyBorder="1"/>
    <xf numFmtId="0" fontId="13" fillId="0" borderId="8" xfId="0" applyFont="1" applyBorder="1"/>
    <xf numFmtId="0" fontId="13" fillId="0" borderId="0" xfId="0" applyFont="1"/>
    <xf numFmtId="0" fontId="17" fillId="0" borderId="0" xfId="0" applyFont="1"/>
    <xf numFmtId="0" fontId="2" fillId="0" borderId="5" xfId="0" applyFont="1" applyBorder="1" applyAlignment="1">
      <alignment horizontal="left"/>
    </xf>
    <xf numFmtId="0" fontId="2" fillId="0" borderId="5" xfId="0" applyFont="1" applyBorder="1"/>
    <xf numFmtId="0" fontId="17" fillId="0" borderId="0" xfId="0" applyFont="1" applyFill="1"/>
    <xf numFmtId="2" fontId="17" fillId="0" borderId="0" xfId="0" applyNumberFormat="1" applyFont="1" applyFill="1"/>
    <xf numFmtId="0" fontId="0" fillId="0" borderId="23" xfId="0" applyBorder="1" applyProtection="1">
      <protection locked="0"/>
    </xf>
    <xf numFmtId="0" fontId="0" fillId="0" borderId="24" xfId="0" applyBorder="1" applyProtection="1">
      <protection locked="0"/>
    </xf>
    <xf numFmtId="0" fontId="0" fillId="0" borderId="19" xfId="0" applyBorder="1" applyProtection="1">
      <protection locked="0"/>
    </xf>
    <xf numFmtId="0" fontId="0" fillId="0" borderId="13" xfId="0" applyBorder="1" applyProtection="1">
      <protection locked="0"/>
    </xf>
    <xf numFmtId="0" fontId="2" fillId="0" borderId="5" xfId="0" applyFont="1" applyBorder="1"/>
    <xf numFmtId="167" fontId="5" fillId="0" borderId="7" xfId="0" applyNumberFormat="1" applyFont="1" applyFill="1" applyBorder="1" applyAlignment="1"/>
    <xf numFmtId="164" fontId="9" fillId="2" borderId="8" xfId="0" applyNumberFormat="1" applyFont="1" applyFill="1" applyBorder="1" applyAlignment="1"/>
    <xf numFmtId="0" fontId="0" fillId="0" borderId="0" xfId="0"/>
    <xf numFmtId="0" fontId="16" fillId="0" borderId="0" xfId="0" applyFont="1" applyFill="1" applyBorder="1" applyAlignment="1">
      <alignment horizontal="right"/>
    </xf>
    <xf numFmtId="0" fontId="9" fillId="0" borderId="5" xfId="0" applyFont="1" applyFill="1" applyBorder="1" applyAlignment="1"/>
    <xf numFmtId="167" fontId="5" fillId="0" borderId="7" xfId="0" applyNumberFormat="1" applyFont="1" applyFill="1" applyBorder="1" applyAlignment="1"/>
    <xf numFmtId="1" fontId="0" fillId="0" borderId="12" xfId="0" applyNumberFormat="1" applyBorder="1" applyProtection="1">
      <protection locked="0"/>
    </xf>
    <xf numFmtId="1" fontId="0" fillId="0" borderId="14" xfId="0" applyNumberFormat="1" applyBorder="1" applyProtection="1">
      <protection locked="0"/>
    </xf>
    <xf numFmtId="1" fontId="0" fillId="0" borderId="9" xfId="0" applyNumberFormat="1" applyBorder="1" applyProtection="1">
      <protection locked="0"/>
    </xf>
    <xf numFmtId="1" fontId="0" fillId="0" borderId="15" xfId="0" applyNumberFormat="1" applyBorder="1" applyProtection="1">
      <protection locked="0"/>
    </xf>
    <xf numFmtId="1" fontId="0" fillId="0" borderId="16" xfId="0" applyNumberFormat="1" applyBorder="1" applyProtection="1">
      <protection locked="0"/>
    </xf>
    <xf numFmtId="1" fontId="0" fillId="0" borderId="17" xfId="0" applyNumberFormat="1" applyBorder="1" applyProtection="1">
      <protection locked="0"/>
    </xf>
    <xf numFmtId="167" fontId="0" fillId="0" borderId="12" xfId="0" applyNumberFormat="1" applyFont="1" applyBorder="1" applyAlignment="1" applyProtection="1">
      <alignment horizontal="right"/>
      <protection locked="0"/>
    </xf>
    <xf numFmtId="0" fontId="0" fillId="0" borderId="14" xfId="0" applyFont="1" applyBorder="1" applyProtection="1">
      <protection locked="0"/>
    </xf>
    <xf numFmtId="167" fontId="0" fillId="0" borderId="9" xfId="0" applyNumberFormat="1" applyBorder="1" applyAlignment="1" applyProtection="1">
      <alignment horizontal="right"/>
      <protection locked="0"/>
    </xf>
    <xf numFmtId="0" fontId="0" fillId="0" borderId="15" xfId="0" applyBorder="1" applyProtection="1">
      <protection locked="0"/>
    </xf>
    <xf numFmtId="167" fontId="0" fillId="0" borderId="16" xfId="0" applyNumberFormat="1" applyBorder="1" applyAlignment="1" applyProtection="1">
      <alignment horizontal="right"/>
      <protection locked="0"/>
    </xf>
    <xf numFmtId="0" fontId="0" fillId="0" borderId="17" xfId="0" applyBorder="1" applyProtection="1">
      <protection locked="0"/>
    </xf>
    <xf numFmtId="0" fontId="0" fillId="0" borderId="19" xfId="0" applyBorder="1" applyProtection="1">
      <protection locked="0"/>
    </xf>
    <xf numFmtId="0" fontId="0" fillId="0" borderId="13" xfId="0" applyBorder="1" applyProtection="1">
      <protection locked="0"/>
    </xf>
    <xf numFmtId="1" fontId="5" fillId="0" borderId="11" xfId="0" applyNumberFormat="1" applyFont="1" applyFill="1" applyBorder="1" applyAlignment="1" applyProtection="1">
      <alignment horizontal="right"/>
      <protection locked="0"/>
    </xf>
    <xf numFmtId="1" fontId="5" fillId="0" borderId="10" xfId="0" applyNumberFormat="1" applyFont="1" applyFill="1" applyBorder="1" applyAlignment="1" applyProtection="1">
      <alignment horizontal="right"/>
      <protection locked="0"/>
    </xf>
    <xf numFmtId="164" fontId="9" fillId="2" borderId="8" xfId="0" applyNumberFormat="1" applyFont="1" applyFill="1" applyBorder="1" applyAlignment="1"/>
    <xf numFmtId="1" fontId="5" fillId="0" borderId="20" xfId="0" applyNumberFormat="1" applyFont="1" applyFill="1" applyBorder="1" applyAlignment="1" applyProtection="1">
      <alignment horizontal="right"/>
      <protection locked="0"/>
    </xf>
    <xf numFmtId="0" fontId="0" fillId="0" borderId="28" xfId="0" applyBorder="1" applyAlignment="1" applyProtection="1">
      <alignment wrapText="1"/>
      <protection locked="0"/>
    </xf>
    <xf numFmtId="0" fontId="0" fillId="0" borderId="21" xfId="0" applyBorder="1" applyAlignment="1" applyProtection="1">
      <alignment wrapText="1"/>
      <protection locked="0"/>
    </xf>
    <xf numFmtId="0" fontId="0" fillId="0" borderId="29" xfId="0" applyBorder="1" applyAlignment="1" applyProtection="1">
      <alignment wrapText="1"/>
      <protection locked="0"/>
    </xf>
    <xf numFmtId="0" fontId="0" fillId="0" borderId="34" xfId="0" applyBorder="1" applyProtection="1">
      <protection locked="0"/>
    </xf>
    <xf numFmtId="0" fontId="0" fillId="0" borderId="30" xfId="0" applyBorder="1" applyProtection="1">
      <protection locked="0"/>
    </xf>
    <xf numFmtId="0" fontId="2" fillId="6" borderId="0" xfId="0" applyFont="1" applyFill="1" applyBorder="1" applyAlignment="1">
      <alignment wrapText="1"/>
    </xf>
    <xf numFmtId="165" fontId="2" fillId="6" borderId="0" xfId="0" applyNumberFormat="1" applyFont="1" applyFill="1" applyBorder="1" applyAlignment="1">
      <alignment wrapText="1"/>
    </xf>
    <xf numFmtId="0" fontId="0" fillId="0" borderId="0" xfId="0" applyFont="1" applyBorder="1" applyAlignment="1">
      <alignment wrapText="1"/>
    </xf>
    <xf numFmtId="0" fontId="18" fillId="0" borderId="0" xfId="0" applyFont="1"/>
    <xf numFmtId="0" fontId="0" fillId="0" borderId="0" xfId="0" applyFont="1"/>
    <xf numFmtId="0" fontId="8" fillId="8" borderId="4" xfId="0" applyFont="1" applyFill="1" applyBorder="1" applyAlignment="1">
      <alignment wrapText="1"/>
    </xf>
    <xf numFmtId="0" fontId="0" fillId="0" borderId="0" xfId="0" applyBorder="1"/>
    <xf numFmtId="0" fontId="2" fillId="6" borderId="0" xfId="0" applyFont="1" applyFill="1" applyBorder="1"/>
    <xf numFmtId="165" fontId="2" fillId="6" borderId="0" xfId="0" applyNumberFormat="1" applyFont="1" applyFill="1" applyBorder="1"/>
    <xf numFmtId="0" fontId="2" fillId="8" borderId="4" xfId="0" applyFont="1" applyFill="1" applyBorder="1"/>
    <xf numFmtId="0" fontId="2" fillId="0" borderId="0" xfId="0" applyFont="1" applyBorder="1"/>
    <xf numFmtId="0" fontId="0" fillId="12" borderId="0" xfId="0" applyFill="1"/>
    <xf numFmtId="0" fontId="0" fillId="0" borderId="3" xfId="0" applyBorder="1"/>
    <xf numFmtId="0" fontId="0" fillId="0" borderId="8" xfId="0" applyBorder="1"/>
    <xf numFmtId="0" fontId="0" fillId="0" borderId="49" xfId="0" applyBorder="1"/>
    <xf numFmtId="0" fontId="2" fillId="6" borderId="17" xfId="0" applyFont="1" applyFill="1" applyBorder="1" applyAlignment="1">
      <alignment wrapText="1"/>
    </xf>
    <xf numFmtId="0" fontId="0" fillId="0" borderId="0" xfId="0" applyAlignment="1">
      <alignment horizontal="right"/>
    </xf>
    <xf numFmtId="0" fontId="2" fillId="14" borderId="0" xfId="0" applyFont="1" applyFill="1" applyBorder="1"/>
    <xf numFmtId="0" fontId="2" fillId="14" borderId="0" xfId="0" applyFont="1" applyFill="1" applyBorder="1" applyAlignment="1">
      <alignment wrapText="1"/>
    </xf>
    <xf numFmtId="0" fontId="2" fillId="14" borderId="0" xfId="0" applyFont="1" applyFill="1" applyBorder="1" applyAlignment="1">
      <alignment horizontal="left" wrapText="1"/>
    </xf>
    <xf numFmtId="0" fontId="12" fillId="0" borderId="0" xfId="0" applyFont="1"/>
    <xf numFmtId="165" fontId="12" fillId="0" borderId="0" xfId="0" applyNumberFormat="1" applyFont="1"/>
    <xf numFmtId="0" fontId="12" fillId="0" borderId="0" xfId="0" applyFont="1" applyBorder="1"/>
    <xf numFmtId="169" fontId="12" fillId="0" borderId="0" xfId="0" applyNumberFormat="1" applyFont="1" applyBorder="1"/>
    <xf numFmtId="0" fontId="2" fillId="14" borderId="4" xfId="0" applyFont="1" applyFill="1" applyBorder="1"/>
    <xf numFmtId="0" fontId="2" fillId="14" borderId="4" xfId="0" applyFont="1" applyFill="1" applyBorder="1" applyAlignment="1">
      <alignment wrapText="1"/>
    </xf>
    <xf numFmtId="0" fontId="8" fillId="8" borderId="4" xfId="0" applyFont="1" applyFill="1" applyBorder="1"/>
    <xf numFmtId="168" fontId="0" fillId="0" borderId="0" xfId="0" applyNumberFormat="1" applyFont="1"/>
    <xf numFmtId="168" fontId="2" fillId="14" borderId="0" xfId="0" applyNumberFormat="1" applyFont="1" applyFill="1" applyAlignment="1">
      <alignment horizontal="left"/>
    </xf>
    <xf numFmtId="168" fontId="2" fillId="6" borderId="0" xfId="0" applyNumberFormat="1" applyFont="1" applyFill="1" applyAlignment="1">
      <alignment horizontal="left"/>
    </xf>
    <xf numFmtId="0" fontId="19" fillId="0" borderId="0" xfId="0" applyFont="1"/>
    <xf numFmtId="0" fontId="0" fillId="6" borderId="0" xfId="0" applyFont="1" applyFill="1"/>
    <xf numFmtId="0" fontId="0" fillId="14" borderId="0" xfId="0" applyFont="1" applyFill="1" applyAlignment="1">
      <alignment horizontal="right"/>
    </xf>
    <xf numFmtId="0" fontId="0" fillId="0" borderId="0" xfId="0" applyFont="1" applyBorder="1"/>
    <xf numFmtId="0" fontId="2" fillId="0" borderId="49" xfId="0" applyFont="1" applyBorder="1"/>
    <xf numFmtId="0" fontId="4" fillId="4" borderId="46" xfId="0" applyFont="1" applyFill="1" applyBorder="1"/>
    <xf numFmtId="0" fontId="19" fillId="4" borderId="47" xfId="0" applyFont="1" applyFill="1" applyBorder="1"/>
    <xf numFmtId="170" fontId="5" fillId="0" borderId="28" xfId="0" applyNumberFormat="1" applyFont="1" applyFill="1" applyBorder="1" applyAlignment="1" applyProtection="1">
      <protection locked="0"/>
    </xf>
    <xf numFmtId="170" fontId="5" fillId="0" borderId="21" xfId="0" applyNumberFormat="1" applyFont="1" applyFill="1" applyBorder="1" applyAlignment="1" applyProtection="1">
      <protection locked="0"/>
    </xf>
    <xf numFmtId="170" fontId="5" fillId="0" borderId="22" xfId="0" applyNumberFormat="1" applyFont="1" applyFill="1" applyBorder="1" applyAlignment="1" applyProtection="1">
      <protection locked="0"/>
    </xf>
    <xf numFmtId="1" fontId="17" fillId="0" borderId="0" xfId="0" applyNumberFormat="1" applyFont="1" applyFill="1" applyAlignment="1">
      <alignment horizontal="left"/>
    </xf>
    <xf numFmtId="0" fontId="17" fillId="0" borderId="0" xfId="0" applyFont="1" applyFill="1" applyAlignment="1">
      <alignment horizontal="right"/>
    </xf>
    <xf numFmtId="0" fontId="17" fillId="0" borderId="0" xfId="0" applyFont="1" applyAlignment="1">
      <alignment horizontal="left"/>
    </xf>
    <xf numFmtId="1" fontId="0" fillId="0" borderId="0" xfId="0" applyNumberFormat="1" applyBorder="1" applyProtection="1">
      <protection locked="0"/>
    </xf>
    <xf numFmtId="169" fontId="2" fillId="7" borderId="0" xfId="0" applyNumberFormat="1" applyFont="1" applyFill="1" applyBorder="1"/>
    <xf numFmtId="169" fontId="8" fillId="9" borderId="0" xfId="0" applyNumberFormat="1" applyFont="1" applyFill="1" applyBorder="1"/>
    <xf numFmtId="165" fontId="12" fillId="0" borderId="0" xfId="0" applyNumberFormat="1" applyFont="1" applyBorder="1"/>
    <xf numFmtId="0" fontId="21" fillId="4" borderId="0" xfId="0" applyFont="1" applyFill="1" applyBorder="1"/>
    <xf numFmtId="0" fontId="21" fillId="4" borderId="4" xfId="0" applyFont="1" applyFill="1" applyBorder="1"/>
    <xf numFmtId="0" fontId="0" fillId="0" borderId="9" xfId="0" applyFont="1" applyBorder="1" applyAlignment="1">
      <alignment vertical="center"/>
    </xf>
    <xf numFmtId="0" fontId="0" fillId="0" borderId="1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165" fontId="0" fillId="0" borderId="43" xfId="0" applyNumberFormat="1" applyFont="1" applyBorder="1" applyAlignment="1">
      <alignment horizontal="center" vertical="center"/>
    </xf>
    <xf numFmtId="0" fontId="21" fillId="4" borderId="0" xfId="0" applyFont="1" applyFill="1" applyBorder="1" applyAlignment="1">
      <alignment textRotation="90" wrapText="1"/>
    </xf>
    <xf numFmtId="0" fontId="21" fillId="4" borderId="4" xfId="0" applyFont="1" applyFill="1" applyBorder="1" applyAlignment="1">
      <alignment textRotation="90" wrapText="1"/>
    </xf>
    <xf numFmtId="169" fontId="2" fillId="7" borderId="0" xfId="0" applyNumberFormat="1" applyFont="1" applyFill="1" applyBorder="1" applyAlignment="1">
      <alignment wrapText="1"/>
    </xf>
    <xf numFmtId="169" fontId="8" fillId="9" borderId="0" xfId="0" applyNumberFormat="1" applyFont="1" applyFill="1" applyBorder="1" applyAlignment="1">
      <alignment wrapText="1"/>
    </xf>
    <xf numFmtId="0" fontId="0" fillId="0" borderId="39" xfId="0" applyNumberFormat="1" applyFont="1" applyBorder="1" applyAlignment="1">
      <alignment vertical="center"/>
    </xf>
    <xf numFmtId="0" fontId="0" fillId="0" borderId="40"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22" fillId="11" borderId="40" xfId="0" applyFont="1" applyFill="1" applyBorder="1" applyAlignment="1">
      <alignment vertical="center"/>
    </xf>
    <xf numFmtId="0" fontId="22" fillId="11" borderId="39" xfId="0" applyNumberFormat="1" applyFont="1" applyFill="1" applyBorder="1" applyAlignment="1">
      <alignment vertical="center"/>
    </xf>
    <xf numFmtId="165" fontId="22" fillId="11" borderId="39" xfId="0" applyNumberFormat="1" applyFont="1" applyFill="1" applyBorder="1"/>
    <xf numFmtId="0" fontId="22" fillId="11" borderId="39" xfId="0" applyFont="1" applyFill="1" applyBorder="1" applyAlignment="1">
      <alignment horizontal="left" vertical="center" wrapText="1"/>
    </xf>
    <xf numFmtId="0" fontId="22" fillId="11" borderId="12" xfId="0" applyFont="1" applyFill="1" applyBorder="1" applyAlignment="1">
      <alignment horizontal="left" vertical="center" wrapText="1"/>
    </xf>
    <xf numFmtId="0" fontId="0" fillId="0" borderId="0" xfId="0" applyFont="1" applyAlignment="1">
      <alignment vertical="center"/>
    </xf>
    <xf numFmtId="0" fontId="22" fillId="11" borderId="9" xfId="0" applyFont="1" applyFill="1" applyBorder="1" applyAlignment="1">
      <alignment horizontal="left" vertical="center" wrapText="1"/>
    </xf>
    <xf numFmtId="0" fontId="0" fillId="0" borderId="53" xfId="0" applyBorder="1"/>
    <xf numFmtId="165" fontId="0" fillId="0" borderId="0" xfId="0" applyNumberFormat="1" applyBorder="1"/>
    <xf numFmtId="0" fontId="0" fillId="0" borderId="45" xfId="0" applyBorder="1"/>
    <xf numFmtId="0" fontId="0" fillId="0" borderId="2" xfId="0" applyBorder="1"/>
    <xf numFmtId="0" fontId="19" fillId="4" borderId="48" xfId="0" applyFont="1" applyFill="1" applyBorder="1"/>
    <xf numFmtId="0" fontId="0" fillId="0" borderId="45" xfId="0" applyFont="1" applyBorder="1"/>
    <xf numFmtId="0" fontId="22" fillId="11" borderId="18" xfId="0" applyFont="1" applyFill="1" applyBorder="1" applyAlignment="1">
      <alignment horizontal="left" vertical="center" wrapText="1"/>
    </xf>
    <xf numFmtId="165" fontId="22" fillId="11" borderId="39" xfId="0" applyNumberFormat="1" applyFont="1" applyFill="1" applyBorder="1" applyAlignment="1">
      <alignment horizontal="center" vertical="center" wrapText="1"/>
    </xf>
    <xf numFmtId="0" fontId="23" fillId="0" borderId="0" xfId="0" applyFont="1"/>
    <xf numFmtId="0" fontId="2" fillId="0" borderId="47" xfId="0" applyFont="1" applyBorder="1"/>
    <xf numFmtId="0" fontId="0" fillId="0" borderId="47" xfId="0" applyFont="1" applyBorder="1"/>
    <xf numFmtId="165" fontId="19" fillId="0" borderId="0" xfId="0" applyNumberFormat="1" applyFont="1"/>
    <xf numFmtId="0" fontId="24" fillId="0" borderId="0" xfId="0" applyFont="1"/>
    <xf numFmtId="165" fontId="25" fillId="0" borderId="0" xfId="0" applyNumberFormat="1" applyFont="1"/>
    <xf numFmtId="0" fontId="25" fillId="0" borderId="0" xfId="0" applyFont="1"/>
    <xf numFmtId="165" fontId="24" fillId="0" borderId="0" xfId="0" applyNumberFormat="1" applyFont="1"/>
    <xf numFmtId="0" fontId="24" fillId="0" borderId="0" xfId="0" applyFont="1" applyFill="1" applyBorder="1"/>
    <xf numFmtId="0" fontId="24" fillId="0" borderId="0" xfId="0" applyFont="1" applyFill="1"/>
    <xf numFmtId="0" fontId="24" fillId="0" borderId="4" xfId="0" applyFont="1" applyBorder="1"/>
    <xf numFmtId="17" fontId="24" fillId="0" borderId="4" xfId="0" applyNumberFormat="1" applyFont="1" applyBorder="1" applyAlignment="1">
      <alignment horizontal="left"/>
    </xf>
    <xf numFmtId="166" fontId="24" fillId="0" borderId="0" xfId="0" applyNumberFormat="1" applyFont="1"/>
    <xf numFmtId="166" fontId="24" fillId="0" borderId="4" xfId="0" applyNumberFormat="1" applyFont="1" applyBorder="1"/>
    <xf numFmtId="166" fontId="24" fillId="0" borderId="0" xfId="0" applyNumberFormat="1" applyFont="1" applyBorder="1"/>
    <xf numFmtId="165" fontId="24" fillId="0" borderId="4" xfId="0" applyNumberFormat="1" applyFont="1" applyBorder="1"/>
    <xf numFmtId="17" fontId="24" fillId="0" borderId="0" xfId="0" applyNumberFormat="1" applyFont="1" applyAlignment="1">
      <alignment horizontal="left"/>
    </xf>
    <xf numFmtId="169" fontId="24" fillId="0" borderId="0" xfId="0" applyNumberFormat="1" applyFont="1" applyBorder="1"/>
    <xf numFmtId="0" fontId="24" fillId="0" borderId="0" xfId="0" applyNumberFormat="1" applyFont="1"/>
    <xf numFmtId="0" fontId="25" fillId="0" borderId="0" xfId="0" applyNumberFormat="1" applyFont="1" applyAlignment="1">
      <alignment horizontal="right"/>
    </xf>
    <xf numFmtId="0" fontId="25" fillId="0" borderId="0" xfId="0" applyNumberFormat="1" applyFont="1" applyAlignment="1">
      <alignment horizontal="left"/>
    </xf>
    <xf numFmtId="0" fontId="25" fillId="0" borderId="0" xfId="0" applyNumberFormat="1" applyFont="1" applyBorder="1" applyAlignment="1">
      <alignment horizontal="left"/>
    </xf>
    <xf numFmtId="0" fontId="25" fillId="0" borderId="0" xfId="0" applyNumberFormat="1" applyFont="1"/>
    <xf numFmtId="164" fontId="26" fillId="0" borderId="0" xfId="0" applyNumberFormat="1" applyFont="1" applyFill="1" applyBorder="1" applyAlignment="1"/>
    <xf numFmtId="0" fontId="27" fillId="0" borderId="0" xfId="0" applyFont="1" applyFill="1" applyBorder="1" applyAlignment="1"/>
    <xf numFmtId="0" fontId="27" fillId="0" borderId="0" xfId="0" applyFont="1" applyFill="1" applyBorder="1" applyAlignment="1">
      <alignment horizontal="right"/>
    </xf>
    <xf numFmtId="0" fontId="25" fillId="0" borderId="0" xfId="0" applyFont="1" applyFill="1"/>
    <xf numFmtId="2" fontId="25" fillId="0" borderId="0" xfId="0" applyNumberFormat="1" applyFont="1" applyFill="1"/>
    <xf numFmtId="0" fontId="17" fillId="0" borderId="0" xfId="0" applyFont="1" applyFill="1" applyBorder="1" applyAlignment="1">
      <alignment horizontal="right"/>
    </xf>
    <xf numFmtId="1" fontId="17" fillId="0" borderId="0" xfId="0" applyNumberFormat="1" applyFont="1" applyFill="1" applyBorder="1" applyAlignment="1">
      <alignment horizontal="left"/>
    </xf>
    <xf numFmtId="0" fontId="17" fillId="0" borderId="0" xfId="0" applyFont="1" applyAlignment="1">
      <alignment horizontal="right"/>
    </xf>
    <xf numFmtId="0" fontId="0" fillId="0" borderId="12" xfId="0" applyFont="1" applyBorder="1" applyAlignment="1" applyProtection="1">
      <alignment vertical="center"/>
      <protection locked="0"/>
    </xf>
    <xf numFmtId="165" fontId="0" fillId="0" borderId="40" xfId="0" applyNumberFormat="1" applyFont="1" applyBorder="1" applyAlignment="1" applyProtection="1">
      <alignment vertical="center"/>
      <protection locked="0"/>
    </xf>
    <xf numFmtId="0" fontId="0" fillId="0" borderId="9" xfId="0" applyFont="1" applyBorder="1" applyAlignment="1" applyProtection="1">
      <alignment vertical="center"/>
      <protection locked="0"/>
    </xf>
    <xf numFmtId="165" fontId="0" fillId="0" borderId="39" xfId="0" applyNumberFormat="1" applyFont="1" applyBorder="1" applyAlignment="1" applyProtection="1">
      <alignment vertical="center"/>
      <protection locked="0"/>
    </xf>
    <xf numFmtId="0" fontId="0" fillId="0" borderId="39" xfId="0" applyFont="1" applyBorder="1" applyAlignment="1" applyProtection="1">
      <alignment vertical="center"/>
      <protection locked="0"/>
    </xf>
    <xf numFmtId="0" fontId="0" fillId="0" borderId="4" xfId="0" applyFont="1" applyBorder="1" applyAlignment="1" applyProtection="1">
      <alignment vertical="center" wrapText="1"/>
      <protection locked="0"/>
    </xf>
    <xf numFmtId="0" fontId="2" fillId="4" borderId="4" xfId="0" applyFont="1" applyFill="1" applyBorder="1"/>
    <xf numFmtId="165" fontId="2" fillId="4" borderId="4" xfId="0" applyNumberFormat="1" applyFont="1" applyFill="1" applyBorder="1" applyAlignment="1">
      <alignment wrapText="1"/>
    </xf>
    <xf numFmtId="0" fontId="0" fillId="0" borderId="12" xfId="0" applyFont="1" applyBorder="1" applyAlignment="1" applyProtection="1">
      <alignment horizontal="left" vertical="center" wrapText="1"/>
      <protection locked="0"/>
    </xf>
    <xf numFmtId="169" fontId="0" fillId="0" borderId="12" xfId="0" applyNumberFormat="1" applyFont="1" applyBorder="1" applyAlignment="1" applyProtection="1">
      <alignment horizontal="left" vertical="center" wrapText="1"/>
      <protection locked="0"/>
    </xf>
    <xf numFmtId="165" fontId="0" fillId="0" borderId="12" xfId="0" applyNumberFormat="1" applyFont="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39" xfId="0" applyFont="1" applyBorder="1" applyProtection="1">
      <protection locked="0"/>
    </xf>
    <xf numFmtId="0" fontId="0" fillId="0" borderId="15"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13" fillId="0" borderId="0" xfId="0" applyFont="1" applyBorder="1"/>
    <xf numFmtId="165" fontId="17" fillId="0" borderId="0" xfId="0" applyNumberFormat="1" applyFont="1" applyBorder="1" applyAlignment="1" applyProtection="1">
      <alignment horizontal="center"/>
      <protection locked="0"/>
    </xf>
    <xf numFmtId="0" fontId="13" fillId="3" borderId="0" xfId="0" applyFont="1" applyFill="1" applyBorder="1" applyAlignment="1"/>
    <xf numFmtId="0" fontId="2" fillId="3" borderId="26" xfId="0" applyFont="1" applyFill="1" applyBorder="1"/>
    <xf numFmtId="167" fontId="2" fillId="3" borderId="27" xfId="0" applyNumberFormat="1" applyFont="1" applyFill="1" applyBorder="1"/>
    <xf numFmtId="167" fontId="2" fillId="3" borderId="26" xfId="0" applyNumberFormat="1" applyFont="1" applyFill="1" applyBorder="1" applyAlignment="1">
      <alignment horizontal="left"/>
    </xf>
    <xf numFmtId="0" fontId="2" fillId="3" borderId="27" xfId="0" applyFont="1" applyFill="1" applyBorder="1" applyAlignment="1">
      <alignment horizontal="left" wrapText="1"/>
    </xf>
    <xf numFmtId="0" fontId="2" fillId="3" borderId="2" xfId="0" applyFont="1" applyFill="1" applyBorder="1"/>
    <xf numFmtId="0" fontId="2" fillId="3" borderId="37" xfId="0" applyFont="1" applyFill="1" applyBorder="1"/>
    <xf numFmtId="0" fontId="2" fillId="3" borderId="38" xfId="0" applyFont="1" applyFill="1" applyBorder="1"/>
    <xf numFmtId="0" fontId="2" fillId="3" borderId="27" xfId="0" applyFont="1" applyFill="1" applyBorder="1"/>
    <xf numFmtId="9" fontId="0" fillId="3" borderId="23" xfId="1" applyFont="1" applyFill="1" applyBorder="1"/>
    <xf numFmtId="9" fontId="0" fillId="3" borderId="14" xfId="0" applyNumberFormat="1" applyFill="1" applyBorder="1"/>
    <xf numFmtId="164" fontId="9" fillId="3" borderId="7" xfId="0" applyNumberFormat="1" applyFont="1" applyFill="1" applyBorder="1" applyAlignment="1">
      <alignment horizontal="left" wrapText="1"/>
    </xf>
    <xf numFmtId="0" fontId="9" fillId="3" borderId="8" xfId="0" applyFont="1" applyFill="1" applyBorder="1" applyAlignment="1">
      <alignment horizontal="left" wrapText="1"/>
    </xf>
    <xf numFmtId="167" fontId="9" fillId="3" borderId="18" xfId="0" applyNumberFormat="1" applyFont="1" applyFill="1" applyBorder="1" applyAlignment="1">
      <alignment horizontal="left" wrapText="1"/>
    </xf>
    <xf numFmtId="0" fontId="2" fillId="15" borderId="0" xfId="0" applyFont="1" applyFill="1" applyBorder="1"/>
    <xf numFmtId="0" fontId="2" fillId="15" borderId="0" xfId="0" applyFont="1" applyFill="1" applyBorder="1" applyAlignment="1">
      <alignment wrapText="1"/>
    </xf>
    <xf numFmtId="0" fontId="13" fillId="0" borderId="5" xfId="0" applyFont="1" applyBorder="1"/>
    <xf numFmtId="0" fontId="15" fillId="4" borderId="0" xfId="0" applyFont="1" applyFill="1"/>
    <xf numFmtId="0" fontId="16" fillId="4" borderId="0" xfId="0" applyFont="1" applyFill="1"/>
    <xf numFmtId="0" fontId="13" fillId="4" borderId="0" xfId="0" applyFont="1" applyFill="1"/>
    <xf numFmtId="0" fontId="0" fillId="4" borderId="0" xfId="0" applyFill="1"/>
    <xf numFmtId="0" fontId="2" fillId="6" borderId="4" xfId="0" applyFont="1" applyFill="1" applyBorder="1"/>
    <xf numFmtId="0" fontId="2" fillId="6" borderId="4" xfId="0" applyFont="1" applyFill="1" applyBorder="1" applyAlignment="1">
      <alignment wrapText="1"/>
    </xf>
    <xf numFmtId="0" fontId="0" fillId="0" borderId="41" xfId="0" applyFont="1" applyBorder="1" applyAlignment="1" applyProtection="1">
      <alignment vertical="center"/>
      <protection locked="0"/>
    </xf>
    <xf numFmtId="0" fontId="0" fillId="0" borderId="42" xfId="0" applyFont="1" applyBorder="1" applyAlignment="1" applyProtection="1">
      <alignment vertical="center"/>
      <protection locked="0"/>
    </xf>
    <xf numFmtId="169" fontId="24" fillId="0" borderId="4" xfId="0" applyNumberFormat="1" applyFont="1" applyBorder="1"/>
    <xf numFmtId="169" fontId="2" fillId="7" borderId="4" xfId="0" applyNumberFormat="1" applyFont="1" applyFill="1" applyBorder="1"/>
    <xf numFmtId="169" fontId="2" fillId="7" borderId="4" xfId="0" applyNumberFormat="1" applyFont="1" applyFill="1" applyBorder="1" applyAlignment="1">
      <alignment wrapText="1"/>
    </xf>
    <xf numFmtId="165" fontId="22" fillId="11" borderId="9" xfId="0" applyNumberFormat="1" applyFont="1" applyFill="1" applyBorder="1"/>
    <xf numFmtId="169" fontId="8" fillId="9" borderId="4" xfId="0" applyNumberFormat="1" applyFont="1" applyFill="1" applyBorder="1"/>
    <xf numFmtId="169" fontId="8" fillId="9" borderId="4" xfId="0" applyNumberFormat="1" applyFont="1" applyFill="1" applyBorder="1" applyAlignment="1">
      <alignment wrapText="1"/>
    </xf>
    <xf numFmtId="0" fontId="13" fillId="6" borderId="0" xfId="0" applyFont="1" applyFill="1" applyBorder="1"/>
    <xf numFmtId="165" fontId="13" fillId="6" borderId="0" xfId="0" applyNumberFormat="1" applyFont="1" applyFill="1" applyBorder="1"/>
    <xf numFmtId="0" fontId="13" fillId="6" borderId="4" xfId="0" applyFont="1" applyFill="1" applyBorder="1"/>
    <xf numFmtId="0" fontId="13" fillId="14" borderId="0" xfId="0" applyFont="1" applyFill="1" applyBorder="1"/>
    <xf numFmtId="0" fontId="13" fillId="14" borderId="4" xfId="0" applyFont="1" applyFill="1" applyBorder="1"/>
    <xf numFmtId="0" fontId="14" fillId="8" borderId="4" xfId="0" applyFont="1" applyFill="1" applyBorder="1"/>
    <xf numFmtId="0" fontId="13" fillId="4" borderId="0" xfId="0" applyFont="1" applyFill="1" applyBorder="1"/>
    <xf numFmtId="0" fontId="13" fillId="4" borderId="4" xfId="0" applyFont="1" applyFill="1" applyBorder="1"/>
    <xf numFmtId="165" fontId="13" fillId="4" borderId="4" xfId="0" applyNumberFormat="1" applyFont="1" applyFill="1" applyBorder="1"/>
    <xf numFmtId="0" fontId="13" fillId="7" borderId="0" xfId="0" applyFont="1" applyFill="1" applyBorder="1"/>
    <xf numFmtId="169" fontId="13" fillId="7" borderId="0" xfId="0" applyNumberFormat="1" applyFont="1" applyFill="1" applyBorder="1"/>
    <xf numFmtId="169" fontId="13" fillId="7" borderId="4" xfId="0" applyNumberFormat="1" applyFont="1" applyFill="1" applyBorder="1"/>
    <xf numFmtId="0" fontId="14" fillId="9" borderId="0" xfId="0" applyFont="1" applyFill="1" applyBorder="1"/>
    <xf numFmtId="169" fontId="14" fillId="9" borderId="0" xfId="0" applyNumberFormat="1" applyFont="1" applyFill="1" applyBorder="1"/>
    <xf numFmtId="169" fontId="14" fillId="9" borderId="4" xfId="0" applyNumberFormat="1" applyFont="1" applyFill="1" applyBorder="1"/>
    <xf numFmtId="0" fontId="13" fillId="15" borderId="0" xfId="0" applyFont="1" applyFill="1" applyBorder="1"/>
    <xf numFmtId="0" fontId="0" fillId="0" borderId="0" xfId="0" applyBorder="1" applyAlignment="1">
      <alignment horizontal="left"/>
    </xf>
    <xf numFmtId="0" fontId="5" fillId="6" borderId="0" xfId="0" applyFont="1" applyFill="1"/>
    <xf numFmtId="0" fontId="9" fillId="0" borderId="0" xfId="0" applyFont="1" applyFill="1"/>
    <xf numFmtId="0" fontId="5" fillId="0" borderId="0" xfId="0" applyFont="1"/>
    <xf numFmtId="0" fontId="5" fillId="0" borderId="0" xfId="0" applyFont="1" applyFill="1" applyBorder="1" applyAlignment="1">
      <alignment vertical="top" wrapText="1"/>
    </xf>
    <xf numFmtId="0" fontId="9" fillId="4" borderId="0" xfId="0" applyFont="1" applyFill="1"/>
    <xf numFmtId="0" fontId="5" fillId="4" borderId="0" xfId="0" applyFont="1" applyFill="1"/>
    <xf numFmtId="0" fontId="9" fillId="6" borderId="0" xfId="0" applyFont="1" applyFill="1"/>
    <xf numFmtId="0" fontId="5" fillId="0" borderId="0" xfId="0" applyFont="1" applyBorder="1" applyAlignment="1">
      <alignment vertical="top"/>
    </xf>
    <xf numFmtId="0" fontId="9" fillId="16" borderId="0" xfId="0" applyFont="1" applyFill="1"/>
    <xf numFmtId="0" fontId="5" fillId="16" borderId="0" xfId="0" applyFont="1" applyFill="1"/>
    <xf numFmtId="0" fontId="27" fillId="0" borderId="0" xfId="0" applyNumberFormat="1" applyFont="1" applyFill="1" applyBorder="1"/>
    <xf numFmtId="0" fontId="27" fillId="0" borderId="0" xfId="0" applyNumberFormat="1" applyFont="1" applyFill="1" applyBorder="1" applyAlignment="1">
      <alignment horizontal="left"/>
    </xf>
    <xf numFmtId="0" fontId="9" fillId="5" borderId="0" xfId="0" applyFont="1" applyFill="1"/>
    <xf numFmtId="0" fontId="5" fillId="5" borderId="0" xfId="0" applyFont="1" applyFill="1"/>
    <xf numFmtId="0" fontId="22" fillId="11" borderId="51" xfId="0" applyFont="1" applyFill="1" applyBorder="1" applyAlignment="1">
      <alignment horizontal="left" vertical="center" wrapText="1"/>
    </xf>
    <xf numFmtId="0" fontId="0" fillId="0" borderId="9" xfId="0" applyFont="1" applyFill="1" applyBorder="1" applyAlignment="1" applyProtection="1">
      <alignment vertical="center"/>
      <protection locked="0"/>
    </xf>
    <xf numFmtId="0" fontId="24" fillId="0" borderId="0" xfId="0" applyFont="1" applyBorder="1" applyProtection="1"/>
    <xf numFmtId="0" fontId="25" fillId="0" borderId="0" xfId="0" applyFont="1" applyBorder="1" applyProtection="1"/>
    <xf numFmtId="0" fontId="25" fillId="0" borderId="0" xfId="0" applyFont="1" applyBorder="1" applyAlignment="1" applyProtection="1">
      <alignment horizontal="right"/>
    </xf>
    <xf numFmtId="0" fontId="25" fillId="0" borderId="0" xfId="0" applyNumberFormat="1" applyFont="1" applyBorder="1" applyProtection="1"/>
    <xf numFmtId="0" fontId="25" fillId="0" borderId="0" xfId="0" applyNumberFormat="1" applyFont="1" applyFill="1" applyBorder="1" applyProtection="1"/>
    <xf numFmtId="0" fontId="2" fillId="0" borderId="0" xfId="0" applyFont="1" applyBorder="1" applyProtection="1"/>
    <xf numFmtId="0" fontId="0" fillId="0" borderId="0" xfId="0" applyFont="1" applyBorder="1" applyProtection="1"/>
    <xf numFmtId="0" fontId="0" fillId="0" borderId="0" xfId="0" applyFont="1" applyBorder="1" applyAlignment="1" applyProtection="1">
      <alignment horizontal="right"/>
    </xf>
    <xf numFmtId="0" fontId="0" fillId="0" borderId="0" xfId="0" applyNumberFormat="1" applyFont="1" applyBorder="1" applyProtection="1"/>
    <xf numFmtId="0" fontId="0" fillId="0" borderId="0" xfId="0" applyBorder="1" applyProtection="1"/>
    <xf numFmtId="0" fontId="2" fillId="2" borderId="0" xfId="0" applyNumberFormat="1" applyFont="1" applyFill="1" applyBorder="1" applyProtection="1"/>
    <xf numFmtId="0" fontId="0" fillId="2" borderId="0" xfId="0" applyNumberFormat="1" applyFill="1" applyBorder="1" applyProtection="1"/>
    <xf numFmtId="0" fontId="0" fillId="2" borderId="0" xfId="0" applyFill="1" applyBorder="1" applyProtection="1"/>
    <xf numFmtId="168" fontId="2" fillId="2" borderId="0" xfId="0" applyNumberFormat="1" applyFont="1" applyFill="1" applyBorder="1" applyProtection="1"/>
    <xf numFmtId="0" fontId="19" fillId="0" borderId="0" xfId="0" applyFont="1" applyBorder="1" applyProtection="1"/>
    <xf numFmtId="0" fontId="0" fillId="0" borderId="49" xfId="0" applyBorder="1" applyProtection="1"/>
    <xf numFmtId="0" fontId="2" fillId="0" borderId="0" xfId="0" applyNumberFormat="1" applyFont="1" applyFill="1" applyBorder="1" applyAlignment="1" applyProtection="1">
      <alignment wrapText="1"/>
    </xf>
    <xf numFmtId="0" fontId="0" fillId="0" borderId="0" xfId="0" applyNumberFormat="1" applyFill="1" applyBorder="1" applyProtection="1"/>
    <xf numFmtId="0" fontId="0" fillId="0" borderId="50" xfId="0" applyBorder="1" applyProtection="1"/>
    <xf numFmtId="0" fontId="2" fillId="0" borderId="3" xfId="0" applyNumberFormat="1" applyFont="1" applyFill="1" applyBorder="1" applyAlignment="1" applyProtection="1">
      <alignment wrapText="1"/>
    </xf>
    <xf numFmtId="0" fontId="0" fillId="0" borderId="0" xfId="0" applyNumberFormat="1" applyBorder="1" applyProtection="1"/>
    <xf numFmtId="0" fontId="0" fillId="0" borderId="0" xfId="0" applyBorder="1" applyAlignment="1" applyProtection="1">
      <alignment horizontal="right"/>
    </xf>
    <xf numFmtId="0" fontId="0" fillId="0" borderId="0" xfId="0" applyNumberFormat="1" applyFill="1" applyBorder="1" applyAlignment="1" applyProtection="1">
      <alignment horizontal="right"/>
    </xf>
    <xf numFmtId="0" fontId="2" fillId="0" borderId="0" xfId="0" applyFont="1" applyFill="1" applyBorder="1" applyAlignment="1" applyProtection="1">
      <alignment wrapText="1"/>
    </xf>
    <xf numFmtId="0" fontId="2" fillId="0" borderId="3" xfId="0" applyFont="1" applyFill="1" applyBorder="1" applyAlignment="1" applyProtection="1">
      <alignment wrapText="1"/>
    </xf>
    <xf numFmtId="0" fontId="0" fillId="0" borderId="0" xfId="0" applyFill="1" applyBorder="1" applyProtection="1"/>
    <xf numFmtId="0" fontId="4" fillId="0" borderId="0" xfId="0" applyFont="1" applyBorder="1" applyProtection="1"/>
    <xf numFmtId="0" fontId="2" fillId="0" borderId="6" xfId="0" applyFont="1" applyBorder="1" applyProtection="1"/>
    <xf numFmtId="0" fontId="0" fillId="0" borderId="47" xfId="0" applyBorder="1" applyAlignment="1" applyProtection="1">
      <alignment horizontal="right"/>
    </xf>
    <xf numFmtId="0" fontId="0" fillId="0" borderId="48" xfId="0" applyBorder="1" applyAlignment="1" applyProtection="1">
      <alignment horizontal="right"/>
    </xf>
    <xf numFmtId="0" fontId="0" fillId="0" borderId="46" xfId="0" applyBorder="1" applyProtection="1"/>
    <xf numFmtId="0" fontId="0" fillId="0" borderId="47" xfId="0" applyNumberFormat="1" applyBorder="1" applyProtection="1"/>
    <xf numFmtId="165" fontId="2" fillId="17" borderId="0" xfId="0" applyNumberFormat="1" applyFont="1" applyFill="1" applyBorder="1" applyAlignment="1">
      <alignment horizontal="left"/>
    </xf>
    <xf numFmtId="168" fontId="2" fillId="17" borderId="0" xfId="0" applyNumberFormat="1" applyFont="1" applyFill="1" applyBorder="1" applyAlignment="1">
      <alignment horizontal="left"/>
    </xf>
    <xf numFmtId="165" fontId="2" fillId="17" borderId="0" xfId="0" applyNumberFormat="1" applyFont="1" applyFill="1" applyBorder="1" applyAlignment="1">
      <alignment horizontal="left" vertical="top" wrapText="1"/>
    </xf>
    <xf numFmtId="168" fontId="29" fillId="17" borderId="0" xfId="0" applyNumberFormat="1" applyFont="1" applyFill="1" applyBorder="1" applyAlignment="1">
      <alignment horizontal="left"/>
    </xf>
    <xf numFmtId="0" fontId="9" fillId="17" borderId="0" xfId="0" applyFont="1" applyFill="1"/>
    <xf numFmtId="0" fontId="5" fillId="17" borderId="0" xfId="0" applyFont="1" applyFill="1"/>
    <xf numFmtId="0" fontId="9" fillId="13" borderId="0" xfId="0" applyFont="1" applyFill="1"/>
    <xf numFmtId="0" fontId="5" fillId="13" borderId="0" xfId="0" applyFont="1" applyFill="1"/>
    <xf numFmtId="1" fontId="5" fillId="4" borderId="35" xfId="0" applyNumberFormat="1" applyFont="1" applyFill="1" applyBorder="1" applyAlignment="1" applyProtection="1">
      <alignment horizontal="right"/>
      <protection locked="0"/>
    </xf>
    <xf numFmtId="1" fontId="5" fillId="4" borderId="33" xfId="0" applyNumberFormat="1" applyFont="1" applyFill="1" applyBorder="1" applyAlignment="1" applyProtection="1">
      <alignment horizontal="right"/>
      <protection locked="0"/>
    </xf>
    <xf numFmtId="1" fontId="5" fillId="4" borderId="36" xfId="0" applyNumberFormat="1" applyFont="1" applyFill="1" applyBorder="1" applyAlignment="1" applyProtection="1">
      <alignment horizontal="right"/>
      <protection locked="0"/>
    </xf>
    <xf numFmtId="9" fontId="0" fillId="0" borderId="0" xfId="0" applyNumberFormat="1" applyBorder="1" applyProtection="1"/>
    <xf numFmtId="0" fontId="2" fillId="0" borderId="47" xfId="0" applyFont="1" applyFill="1" applyBorder="1" applyAlignment="1" applyProtection="1">
      <alignment wrapText="1"/>
    </xf>
    <xf numFmtId="0" fontId="0" fillId="0" borderId="48" xfId="0" applyNumberFormat="1" applyBorder="1" applyProtection="1"/>
    <xf numFmtId="0" fontId="19" fillId="0" borderId="0" xfId="0" applyFont="1" applyBorder="1" applyAlignment="1" applyProtection="1">
      <alignment horizontal="right"/>
    </xf>
    <xf numFmtId="0" fontId="0" fillId="15" borderId="0" xfId="0" applyNumberFormat="1" applyFont="1" applyFill="1" applyBorder="1" applyAlignment="1" applyProtection="1">
      <alignment horizontal="right"/>
      <protection locked="0"/>
    </xf>
    <xf numFmtId="0" fontId="0" fillId="15" borderId="45" xfId="0" applyNumberFormat="1" applyFont="1" applyFill="1" applyBorder="1" applyAlignment="1" applyProtection="1">
      <alignment horizontal="right"/>
      <protection locked="0"/>
    </xf>
    <xf numFmtId="0" fontId="0" fillId="0" borderId="45" xfId="0" applyNumberFormat="1" applyFill="1" applyBorder="1" applyAlignment="1" applyProtection="1">
      <alignment horizontal="right"/>
    </xf>
    <xf numFmtId="0" fontId="0" fillId="0" borderId="3" xfId="0" applyNumberFormat="1" applyFill="1" applyBorder="1" applyAlignment="1" applyProtection="1">
      <alignment horizontal="right"/>
    </xf>
    <xf numFmtId="0" fontId="0" fillId="0" borderId="2" xfId="0" applyNumberFormat="1" applyFill="1" applyBorder="1" applyAlignment="1" applyProtection="1">
      <alignment horizontal="right"/>
    </xf>
    <xf numFmtId="0" fontId="0" fillId="0" borderId="0" xfId="0" applyNumberFormat="1" applyBorder="1" applyAlignment="1" applyProtection="1">
      <alignment horizontal="right"/>
    </xf>
    <xf numFmtId="0" fontId="0" fillId="0" borderId="45" xfId="0" applyNumberFormat="1" applyBorder="1" applyAlignment="1" applyProtection="1">
      <alignment horizontal="right"/>
    </xf>
    <xf numFmtId="9" fontId="0" fillId="0" borderId="3" xfId="1" applyFont="1" applyBorder="1" applyAlignment="1" applyProtection="1">
      <alignment horizontal="right"/>
    </xf>
    <xf numFmtId="9" fontId="0" fillId="0" borderId="2" xfId="1" applyFont="1" applyBorder="1" applyAlignment="1" applyProtection="1">
      <alignment horizontal="right"/>
    </xf>
    <xf numFmtId="9" fontId="0" fillId="0" borderId="0" xfId="1" applyFont="1" applyBorder="1" applyAlignment="1" applyProtection="1">
      <alignment horizontal="right"/>
    </xf>
    <xf numFmtId="9" fontId="0" fillId="0" borderId="45" xfId="1" applyFont="1" applyBorder="1" applyAlignment="1" applyProtection="1">
      <alignment horizontal="right"/>
    </xf>
    <xf numFmtId="0" fontId="0" fillId="0" borderId="3" xfId="0" applyNumberFormat="1" applyBorder="1" applyAlignment="1" applyProtection="1">
      <alignment horizontal="right"/>
    </xf>
    <xf numFmtId="0" fontId="0" fillId="0" borderId="2" xfId="0" applyNumberFormat="1" applyBorder="1" applyAlignment="1" applyProtection="1">
      <alignment horizontal="right"/>
    </xf>
    <xf numFmtId="0" fontId="0" fillId="0" borderId="47" xfId="0" applyNumberFormat="1" applyBorder="1" applyAlignment="1" applyProtection="1">
      <alignment horizontal="right"/>
    </xf>
    <xf numFmtId="0" fontId="0" fillId="0" borderId="48" xfId="0" applyNumberFormat="1" applyBorder="1" applyAlignment="1" applyProtection="1">
      <alignment horizontal="right"/>
    </xf>
    <xf numFmtId="168" fontId="4" fillId="2" borderId="0" xfId="0" applyNumberFormat="1" applyFont="1" applyFill="1" applyBorder="1" applyProtection="1"/>
    <xf numFmtId="168" fontId="4" fillId="0" borderId="0" xfId="0" applyNumberFormat="1" applyFont="1" applyBorder="1" applyProtection="1"/>
    <xf numFmtId="0" fontId="2" fillId="7" borderId="0" xfId="0" applyNumberFormat="1" applyFont="1" applyFill="1" applyBorder="1" applyProtection="1"/>
    <xf numFmtId="0" fontId="4" fillId="7" borderId="0" xfId="0" applyFont="1" applyFill="1" applyBorder="1" applyProtection="1"/>
    <xf numFmtId="168" fontId="2" fillId="7" borderId="0" xfId="0" applyNumberFormat="1" applyFont="1" applyFill="1" applyBorder="1" applyProtection="1"/>
    <xf numFmtId="0" fontId="30" fillId="9" borderId="0" xfId="0" applyFont="1" applyFill="1" applyBorder="1" applyProtection="1"/>
    <xf numFmtId="0" fontId="8" fillId="9" borderId="0" xfId="0" applyNumberFormat="1" applyFont="1" applyFill="1" applyBorder="1" applyProtection="1"/>
    <xf numFmtId="0" fontId="30" fillId="9" borderId="0" xfId="0" applyNumberFormat="1" applyFont="1" applyFill="1" applyBorder="1" applyProtection="1"/>
    <xf numFmtId="0" fontId="31" fillId="9" borderId="0" xfId="0" applyFont="1" applyFill="1" applyBorder="1" applyProtection="1"/>
    <xf numFmtId="0" fontId="8" fillId="9" borderId="0" xfId="0" applyNumberFormat="1" applyFont="1" applyFill="1" applyBorder="1" applyAlignment="1" applyProtection="1">
      <alignment wrapText="1"/>
    </xf>
    <xf numFmtId="168" fontId="8" fillId="9" borderId="0" xfId="0" applyNumberFormat="1" applyFont="1" applyFill="1" applyBorder="1" applyProtection="1"/>
    <xf numFmtId="0" fontId="0" fillId="7" borderId="0" xfId="0" applyFont="1" applyFill="1" applyBorder="1" applyProtection="1"/>
    <xf numFmtId="0" fontId="0" fillId="7" borderId="0" xfId="0" applyNumberFormat="1" applyFont="1" applyFill="1" applyBorder="1" applyProtection="1"/>
    <xf numFmtId="0" fontId="19" fillId="7" borderId="0" xfId="0" applyFont="1" applyFill="1" applyBorder="1" applyProtection="1"/>
    <xf numFmtId="0" fontId="2" fillId="0" borderId="0" xfId="0" applyFont="1" applyBorder="1" applyAlignment="1" applyProtection="1">
      <alignment horizontal="right"/>
    </xf>
    <xf numFmtId="0" fontId="32" fillId="0" borderId="0" xfId="0" applyNumberFormat="1" applyFont="1" applyBorder="1" applyProtection="1"/>
    <xf numFmtId="0" fontId="0" fillId="0" borderId="5" xfId="0" applyBorder="1" applyProtection="1"/>
    <xf numFmtId="0" fontId="0" fillId="0" borderId="7" xfId="0" applyBorder="1" applyProtection="1"/>
    <xf numFmtId="0" fontId="0" fillId="0" borderId="6" xfId="0" applyBorder="1" applyProtection="1"/>
    <xf numFmtId="1" fontId="0" fillId="0" borderId="7" xfId="1" applyNumberFormat="1" applyFont="1" applyBorder="1" applyProtection="1"/>
    <xf numFmtId="0" fontId="0" fillId="0" borderId="49" xfId="0" applyNumberFormat="1" applyFill="1" applyBorder="1" applyProtection="1"/>
    <xf numFmtId="0" fontId="2" fillId="0" borderId="49" xfId="0" applyNumberFormat="1" applyFont="1" applyFill="1" applyBorder="1" applyProtection="1"/>
    <xf numFmtId="0" fontId="2" fillId="0" borderId="5" xfId="0" applyNumberFormat="1" applyFont="1" applyFill="1" applyBorder="1" applyProtection="1"/>
    <xf numFmtId="0" fontId="0" fillId="0" borderId="0" xfId="0"/>
    <xf numFmtId="0" fontId="2" fillId="0" borderId="0" xfId="0" applyFont="1"/>
    <xf numFmtId="0" fontId="0" fillId="0" borderId="50" xfId="0" applyBorder="1"/>
    <xf numFmtId="0" fontId="9" fillId="4" borderId="31" xfId="0" applyFont="1" applyFill="1" applyBorder="1" applyAlignment="1">
      <alignment horizontal="center" vertical="center" wrapText="1"/>
    </xf>
    <xf numFmtId="0" fontId="5" fillId="0" borderId="25" xfId="0" applyFont="1" applyBorder="1" applyAlignment="1">
      <alignment horizontal="center"/>
    </xf>
    <xf numFmtId="0" fontId="5" fillId="0" borderId="50" xfId="0" applyFont="1" applyBorder="1" applyAlignment="1">
      <alignment horizontal="center"/>
    </xf>
    <xf numFmtId="0" fontId="9" fillId="7" borderId="49" xfId="0" applyFont="1" applyFill="1" applyBorder="1" applyAlignment="1">
      <alignment horizontal="center"/>
    </xf>
    <xf numFmtId="0" fontId="9" fillId="7" borderId="45" xfId="0" applyFont="1" applyFill="1" applyBorder="1" applyAlignment="1">
      <alignment horizontal="center"/>
    </xf>
    <xf numFmtId="9" fontId="5" fillId="0" borderId="2" xfId="1" applyFont="1" applyFill="1" applyBorder="1" applyAlignment="1">
      <alignment horizontal="center"/>
    </xf>
    <xf numFmtId="0" fontId="5" fillId="0" borderId="0" xfId="0" applyFont="1" applyBorder="1"/>
    <xf numFmtId="0" fontId="5" fillId="0" borderId="0" xfId="0" applyFont="1" applyBorder="1" applyAlignment="1">
      <alignment horizontal="center"/>
    </xf>
    <xf numFmtId="0" fontId="5" fillId="0" borderId="0" xfId="0" applyFont="1" applyBorder="1" applyAlignment="1">
      <alignment horizontal="center" vertical="center" wrapText="1"/>
    </xf>
    <xf numFmtId="0" fontId="9" fillId="14" borderId="45" xfId="0" applyFont="1" applyFill="1" applyBorder="1" applyAlignment="1">
      <alignment horizontal="center"/>
    </xf>
    <xf numFmtId="0" fontId="9" fillId="13" borderId="49" xfId="0" applyFont="1" applyFill="1" applyBorder="1" applyAlignment="1">
      <alignment horizontal="center"/>
    </xf>
    <xf numFmtId="0" fontId="9" fillId="13" borderId="45" xfId="0" applyFont="1" applyFill="1" applyBorder="1" applyAlignment="1">
      <alignment horizontal="center"/>
    </xf>
    <xf numFmtId="0" fontId="5" fillId="0" borderId="0" xfId="0" applyFont="1" applyBorder="1" applyAlignment="1">
      <alignment vertical="center"/>
    </xf>
    <xf numFmtId="0" fontId="9" fillId="18" borderId="49" xfId="0" applyFont="1" applyFill="1" applyBorder="1" applyAlignment="1">
      <alignment horizontal="center"/>
    </xf>
    <xf numFmtId="0" fontId="9" fillId="18" borderId="45" xfId="0" applyFont="1" applyFill="1" applyBorder="1" applyAlignment="1">
      <alignment horizontal="center"/>
    </xf>
    <xf numFmtId="0" fontId="33" fillId="0" borderId="0" xfId="0" applyFont="1" applyBorder="1" applyAlignment="1">
      <alignment horizontal="left"/>
    </xf>
    <xf numFmtId="0" fontId="5" fillId="0" borderId="50" xfId="0" applyFont="1" applyFill="1" applyBorder="1" applyAlignment="1" applyProtection="1">
      <alignment horizontal="center"/>
      <protection locked="0"/>
    </xf>
    <xf numFmtId="0" fontId="9" fillId="7" borderId="49" xfId="0" applyFont="1" applyFill="1" applyBorder="1" applyAlignment="1" applyProtection="1">
      <alignment horizontal="center"/>
    </xf>
    <xf numFmtId="0" fontId="9" fillId="14" borderId="49" xfId="0" applyFont="1" applyFill="1" applyBorder="1" applyAlignment="1" applyProtection="1">
      <alignment horizontal="center"/>
    </xf>
    <xf numFmtId="0" fontId="2" fillId="7" borderId="46" xfId="0" applyFont="1" applyFill="1" applyBorder="1"/>
    <xf numFmtId="0" fontId="0" fillId="7" borderId="48" xfId="0" applyFill="1" applyBorder="1"/>
    <xf numFmtId="0" fontId="2" fillId="7" borderId="49" xfId="0" applyFont="1" applyFill="1" applyBorder="1"/>
    <xf numFmtId="0" fontId="2" fillId="7" borderId="45" xfId="0" applyFont="1" applyFill="1" applyBorder="1"/>
    <xf numFmtId="0" fontId="2" fillId="14" borderId="46" xfId="0" applyFont="1" applyFill="1" applyBorder="1"/>
    <xf numFmtId="0" fontId="0" fillId="14" borderId="48" xfId="0" applyFill="1" applyBorder="1"/>
    <xf numFmtId="0" fontId="9" fillId="14" borderId="49" xfId="0" applyFont="1" applyFill="1" applyBorder="1" applyAlignment="1">
      <alignment horizontal="center"/>
    </xf>
    <xf numFmtId="0" fontId="2" fillId="14" borderId="49" xfId="0" applyFont="1" applyFill="1" applyBorder="1"/>
    <xf numFmtId="0" fontId="2" fillId="14" borderId="45" xfId="0" applyFont="1" applyFill="1" applyBorder="1"/>
    <xf numFmtId="0" fontId="0" fillId="15" borderId="0" xfId="0" applyFill="1" applyBorder="1" applyProtection="1">
      <protection locked="0"/>
    </xf>
    <xf numFmtId="0" fontId="0" fillId="0" borderId="44" xfId="0" applyFont="1" applyBorder="1" applyAlignment="1" applyProtection="1">
      <alignment vertical="center" wrapText="1"/>
      <protection locked="0"/>
    </xf>
    <xf numFmtId="0" fontId="0" fillId="0" borderId="39" xfId="0" applyFont="1" applyFill="1" applyBorder="1" applyAlignment="1" applyProtection="1">
      <alignment vertical="center"/>
      <protection locked="0"/>
    </xf>
    <xf numFmtId="165" fontId="0" fillId="0" borderId="47" xfId="0" applyNumberFormat="1" applyFont="1" applyBorder="1" applyAlignment="1"/>
    <xf numFmtId="165" fontId="0" fillId="0" borderId="48" xfId="0" applyNumberFormat="1" applyFont="1" applyBorder="1" applyAlignment="1"/>
    <xf numFmtId="165" fontId="2" fillId="0" borderId="47" xfId="0" applyNumberFormat="1" applyFont="1" applyBorder="1" applyAlignment="1"/>
    <xf numFmtId="0" fontId="2" fillId="0" borderId="49" xfId="0" applyFont="1" applyBorder="1" applyProtection="1">
      <protection locked="0"/>
    </xf>
    <xf numFmtId="0" fontId="0" fillId="0" borderId="0" xfId="0" applyBorder="1" applyProtection="1">
      <protection locked="0"/>
    </xf>
    <xf numFmtId="0" fontId="2" fillId="0" borderId="0" xfId="0" applyFont="1" applyBorder="1" applyProtection="1">
      <protection locked="0"/>
    </xf>
    <xf numFmtId="0" fontId="0" fillId="0" borderId="49" xfId="0" applyBorder="1" applyProtection="1">
      <protection locked="0"/>
    </xf>
    <xf numFmtId="0" fontId="0" fillId="0" borderId="50" xfId="0" applyBorder="1" applyProtection="1">
      <protection locked="0"/>
    </xf>
    <xf numFmtId="0" fontId="0" fillId="0" borderId="3" xfId="0" applyBorder="1" applyProtection="1">
      <protection locked="0"/>
    </xf>
    <xf numFmtId="165" fontId="0" fillId="0" borderId="18" xfId="0" applyNumberFormat="1" applyFont="1" applyBorder="1" applyAlignment="1" applyProtection="1">
      <alignment vertical="center"/>
      <protection locked="0"/>
    </xf>
    <xf numFmtId="165" fontId="0" fillId="0" borderId="14" xfId="0" applyNumberFormat="1" applyFont="1" applyBorder="1" applyAlignment="1" applyProtection="1">
      <alignment vertical="center"/>
      <protection locked="0"/>
    </xf>
    <xf numFmtId="49" fontId="0" fillId="0" borderId="43" xfId="0" applyNumberFormat="1" applyFont="1" applyBorder="1" applyAlignment="1" applyProtection="1">
      <alignment vertical="center" wrapText="1"/>
      <protection locked="0"/>
    </xf>
    <xf numFmtId="17" fontId="24" fillId="0" borderId="52" xfId="0" applyNumberFormat="1" applyFont="1" applyBorder="1" applyAlignment="1">
      <alignment horizontal="left"/>
    </xf>
    <xf numFmtId="0" fontId="14" fillId="8" borderId="52" xfId="0" applyFont="1" applyFill="1" applyBorder="1"/>
    <xf numFmtId="0" fontId="2" fillId="8" borderId="52" xfId="0" applyFont="1" applyFill="1" applyBorder="1"/>
    <xf numFmtId="0" fontId="8" fillId="8" borderId="52" xfId="0" applyFont="1" applyFill="1" applyBorder="1"/>
    <xf numFmtId="0" fontId="8" fillId="8" borderId="52" xfId="0" applyFont="1" applyFill="1" applyBorder="1" applyAlignment="1">
      <alignment wrapText="1"/>
    </xf>
    <xf numFmtId="0" fontId="0" fillId="0" borderId="54" xfId="0" applyFont="1" applyBorder="1" applyAlignment="1" applyProtection="1">
      <alignment vertical="center"/>
      <protection locked="0"/>
    </xf>
    <xf numFmtId="0" fontId="0" fillId="0" borderId="55" xfId="0" applyFont="1" applyBorder="1" applyAlignment="1" applyProtection="1">
      <alignment vertical="center"/>
      <protection locked="0"/>
    </xf>
    <xf numFmtId="49" fontId="0" fillId="0" borderId="44" xfId="0" applyNumberFormat="1" applyFont="1" applyBorder="1" applyAlignment="1" applyProtection="1">
      <alignment vertical="center" wrapText="1"/>
      <protection locked="0"/>
    </xf>
    <xf numFmtId="0" fontId="9" fillId="19" borderId="0" xfId="0" applyFont="1" applyFill="1" applyAlignment="1">
      <alignment horizontal="left"/>
    </xf>
    <xf numFmtId="0" fontId="5" fillId="19" borderId="0" xfId="0" applyFont="1" applyFill="1"/>
    <xf numFmtId="0" fontId="36" fillId="10" borderId="0" xfId="0" applyFont="1" applyFill="1"/>
    <xf numFmtId="0" fontId="0" fillId="0" borderId="0" xfId="0" applyFont="1" applyAlignment="1">
      <alignment vertical="top" wrapText="1"/>
    </xf>
    <xf numFmtId="0" fontId="5" fillId="6" borderId="0" xfId="0" applyFont="1" applyFill="1" applyBorder="1" applyAlignment="1">
      <alignment vertical="top" wrapText="1"/>
    </xf>
    <xf numFmtId="0" fontId="9" fillId="6" borderId="0" xfId="0" applyFont="1" applyFill="1" applyBorder="1" applyAlignment="1">
      <alignment vertical="top"/>
    </xf>
    <xf numFmtId="0" fontId="5" fillId="0" borderId="0" xfId="0" applyFont="1" applyFill="1" applyBorder="1" applyAlignment="1">
      <alignment horizontal="left" vertical="top" wrapText="1"/>
    </xf>
    <xf numFmtId="0" fontId="28" fillId="6" borderId="0" xfId="0" applyFont="1" applyFill="1"/>
    <xf numFmtId="0" fontId="14" fillId="0" borderId="0" xfId="0" applyFont="1" applyFill="1"/>
    <xf numFmtId="0" fontId="5" fillId="0" borderId="0" xfId="0" applyFont="1" applyFill="1"/>
    <xf numFmtId="0" fontId="0" fillId="0" borderId="0" xfId="0" applyFont="1" applyBorder="1" applyAlignment="1">
      <alignment horizontal="left"/>
    </xf>
    <xf numFmtId="0" fontId="0" fillId="0" borderId="45" xfId="0" applyFont="1" applyBorder="1" applyAlignment="1">
      <alignment horizontal="left"/>
    </xf>
    <xf numFmtId="0" fontId="2" fillId="0" borderId="0" xfId="0" applyFont="1" applyBorder="1" applyAlignment="1">
      <alignment horizontal="left"/>
    </xf>
    <xf numFmtId="0" fontId="2" fillId="0" borderId="49" xfId="0" applyFont="1" applyBorder="1" applyAlignment="1">
      <alignment horizontal="left"/>
    </xf>
    <xf numFmtId="0" fontId="19" fillId="0" borderId="0" xfId="0" applyNumberFormat="1" applyFont="1" applyBorder="1" applyProtection="1"/>
    <xf numFmtId="0" fontId="19" fillId="0" borderId="0" xfId="0" applyNumberFormat="1" applyFont="1" applyFill="1" applyBorder="1" applyProtection="1"/>
    <xf numFmtId="0" fontId="0" fillId="0" borderId="47" xfId="0" applyBorder="1" applyProtection="1"/>
    <xf numFmtId="0" fontId="0" fillId="0" borderId="3" xfId="0" applyBorder="1" applyProtection="1"/>
    <xf numFmtId="0" fontId="0" fillId="0" borderId="48" xfId="0" applyBorder="1" applyProtection="1"/>
    <xf numFmtId="0" fontId="2" fillId="0" borderId="46" xfId="0" applyFont="1" applyBorder="1" applyProtection="1"/>
    <xf numFmtId="0" fontId="2" fillId="0" borderId="47" xfId="0" applyFont="1" applyBorder="1" applyProtection="1"/>
    <xf numFmtId="0" fontId="0" fillId="0" borderId="0" xfId="0" applyFill="1" applyBorder="1" applyAlignment="1" applyProtection="1">
      <alignment horizontal="right"/>
    </xf>
    <xf numFmtId="0" fontId="2" fillId="0" borderId="0" xfId="0" applyFont="1" applyFill="1" applyBorder="1" applyAlignment="1" applyProtection="1">
      <alignment horizontal="right"/>
    </xf>
    <xf numFmtId="0" fontId="0" fillId="0" borderId="0" xfId="0" applyNumberFormat="1" applyFont="1" applyBorder="1" applyAlignment="1" applyProtection="1">
      <alignment horizontal="right"/>
    </xf>
    <xf numFmtId="0" fontId="2" fillId="0" borderId="0" xfId="0" applyFont="1" applyFill="1" applyBorder="1" applyAlignment="1" applyProtection="1">
      <alignment horizontal="right" wrapText="1"/>
    </xf>
    <xf numFmtId="0" fontId="41" fillId="0" borderId="0" xfId="0" applyFont="1" applyBorder="1" applyAlignment="1" applyProtection="1">
      <alignment horizontal="right"/>
    </xf>
    <xf numFmtId="0" fontId="2" fillId="0" borderId="46" xfId="0" applyFont="1" applyBorder="1" applyAlignment="1" applyProtection="1">
      <alignment horizontal="left"/>
    </xf>
    <xf numFmtId="0" fontId="2" fillId="0" borderId="47" xfId="0" applyFont="1" applyBorder="1" applyAlignment="1" applyProtection="1">
      <alignment wrapText="1"/>
    </xf>
    <xf numFmtId="0" fontId="2" fillId="0" borderId="0" xfId="0" applyFont="1" applyBorder="1" applyAlignment="1" applyProtection="1">
      <alignment wrapText="1"/>
    </xf>
    <xf numFmtId="171" fontId="0" fillId="0" borderId="0" xfId="0" applyNumberFormat="1" applyBorder="1" applyProtection="1"/>
    <xf numFmtId="171" fontId="0" fillId="0" borderId="48" xfId="1" applyNumberFormat="1" applyFont="1" applyBorder="1" applyProtection="1"/>
    <xf numFmtId="171" fontId="0" fillId="0" borderId="45" xfId="1" applyNumberFormat="1" applyFont="1" applyBorder="1" applyProtection="1"/>
    <xf numFmtId="171" fontId="0" fillId="0" borderId="2" xfId="1" applyNumberFormat="1" applyFont="1" applyBorder="1" applyProtection="1"/>
    <xf numFmtId="171" fontId="0" fillId="0" borderId="46" xfId="0" applyNumberFormat="1" applyBorder="1" applyProtection="1"/>
    <xf numFmtId="171" fontId="0" fillId="0" borderId="47" xfId="0" applyNumberFormat="1" applyBorder="1" applyProtection="1"/>
    <xf numFmtId="171" fontId="0" fillId="0" borderId="49" xfId="0" applyNumberFormat="1" applyBorder="1" applyProtection="1"/>
    <xf numFmtId="171" fontId="0" fillId="0" borderId="50" xfId="0" applyNumberFormat="1" applyBorder="1" applyProtection="1"/>
    <xf numFmtId="171" fontId="0" fillId="0" borderId="3" xfId="0" applyNumberFormat="1" applyBorder="1" applyProtection="1"/>
    <xf numFmtId="171" fontId="0" fillId="0" borderId="46" xfId="1" applyNumberFormat="1" applyFont="1" applyBorder="1" applyProtection="1"/>
    <xf numFmtId="171" fontId="0" fillId="0" borderId="47" xfId="1" applyNumberFormat="1" applyFont="1" applyBorder="1" applyProtection="1"/>
    <xf numFmtId="171" fontId="0" fillId="0" borderId="49" xfId="1" applyNumberFormat="1" applyFont="1" applyBorder="1" applyProtection="1"/>
    <xf numFmtId="171" fontId="0" fillId="0" borderId="0" xfId="1" applyNumberFormat="1" applyFont="1" applyBorder="1" applyProtection="1"/>
    <xf numFmtId="171" fontId="0" fillId="0" borderId="50" xfId="1" applyNumberFormat="1" applyFont="1" applyBorder="1" applyProtection="1"/>
    <xf numFmtId="171" fontId="0" fillId="0" borderId="3" xfId="1" applyNumberFormat="1" applyFont="1" applyBorder="1" applyProtection="1"/>
    <xf numFmtId="171" fontId="0" fillId="0" borderId="48" xfId="0" applyNumberFormat="1" applyBorder="1" applyProtection="1"/>
    <xf numFmtId="171" fontId="0" fillId="0" borderId="46" xfId="0" applyNumberFormat="1" applyBorder="1" applyAlignment="1" applyProtection="1">
      <alignment horizontal="right"/>
    </xf>
    <xf numFmtId="171" fontId="0" fillId="0" borderId="47" xfId="0" applyNumberFormat="1" applyBorder="1" applyAlignment="1" applyProtection="1">
      <alignment horizontal="right"/>
    </xf>
    <xf numFmtId="171" fontId="0" fillId="0" borderId="45" xfId="0" applyNumberFormat="1" applyBorder="1" applyProtection="1"/>
    <xf numFmtId="171" fontId="0" fillId="0" borderId="49" xfId="0" applyNumberFormat="1" applyBorder="1" applyAlignment="1" applyProtection="1">
      <alignment horizontal="right"/>
    </xf>
    <xf numFmtId="171" fontId="0" fillId="0" borderId="0" xfId="0" applyNumberFormat="1" applyBorder="1" applyAlignment="1" applyProtection="1">
      <alignment horizontal="right"/>
    </xf>
    <xf numFmtId="171" fontId="0" fillId="0" borderId="0" xfId="0" applyNumberFormat="1" applyFill="1" applyBorder="1" applyProtection="1"/>
    <xf numFmtId="171" fontId="0" fillId="0" borderId="45" xfId="0" applyNumberFormat="1" applyFill="1" applyBorder="1" applyProtection="1"/>
    <xf numFmtId="171" fontId="0" fillId="0" borderId="50" xfId="0" applyNumberFormat="1" applyBorder="1" applyAlignment="1" applyProtection="1">
      <alignment horizontal="right"/>
    </xf>
    <xf numFmtId="171" fontId="0" fillId="0" borderId="3" xfId="0" applyNumberFormat="1" applyBorder="1" applyAlignment="1" applyProtection="1">
      <alignment horizontal="right"/>
    </xf>
    <xf numFmtId="171" fontId="0" fillId="0" borderId="2" xfId="0" applyNumberFormat="1" applyBorder="1" applyProtection="1"/>
    <xf numFmtId="0" fontId="2" fillId="0" borderId="6" xfId="0" applyFont="1" applyFill="1" applyBorder="1" applyAlignment="1" applyProtection="1">
      <alignment horizontal="left" wrapText="1"/>
    </xf>
    <xf numFmtId="1" fontId="0" fillId="0" borderId="5" xfId="1" applyNumberFormat="1" applyFont="1" applyBorder="1" applyProtection="1"/>
    <xf numFmtId="1" fontId="0" fillId="0" borderId="6" xfId="1" applyNumberFormat="1" applyFont="1" applyBorder="1" applyProtection="1"/>
    <xf numFmtId="0" fontId="2" fillId="0" borderId="0" xfId="0" applyNumberFormat="1" applyFont="1" applyBorder="1" applyAlignment="1" applyProtection="1">
      <alignment horizontal="left"/>
    </xf>
    <xf numFmtId="0" fontId="0" fillId="0" borderId="0" xfId="0" applyNumberFormat="1" applyFont="1" applyBorder="1" applyAlignment="1" applyProtection="1">
      <alignment horizontal="left"/>
    </xf>
    <xf numFmtId="0" fontId="0" fillId="0" borderId="0" xfId="0" applyFont="1" applyBorder="1" applyAlignment="1" applyProtection="1">
      <alignment horizontal="left"/>
    </xf>
    <xf numFmtId="0" fontId="2" fillId="0" borderId="0" xfId="0" applyNumberFormat="1" applyFont="1" applyFill="1" applyBorder="1" applyAlignment="1" applyProtection="1"/>
    <xf numFmtId="0" fontId="2" fillId="0" borderId="3" xfId="0" applyNumberFormat="1" applyFont="1" applyFill="1" applyBorder="1" applyAlignment="1" applyProtection="1"/>
    <xf numFmtId="0" fontId="2" fillId="0" borderId="0" xfId="0" applyFont="1" applyFill="1" applyBorder="1" applyAlignment="1" applyProtection="1"/>
    <xf numFmtId="0" fontId="2" fillId="0" borderId="3" xfId="0" applyFont="1" applyFill="1" applyBorder="1" applyAlignment="1" applyProtection="1"/>
    <xf numFmtId="0" fontId="2" fillId="0" borderId="47" xfId="0" applyFont="1" applyFill="1" applyBorder="1" applyAlignment="1" applyProtection="1"/>
    <xf numFmtId="0" fontId="2" fillId="0" borderId="47" xfId="0" applyFont="1" applyBorder="1" applyAlignment="1" applyProtection="1"/>
    <xf numFmtId="0" fontId="2" fillId="0" borderId="0" xfId="0" applyFont="1" applyBorder="1" applyAlignment="1" applyProtection="1"/>
    <xf numFmtId="0" fontId="2" fillId="0" borderId="6" xfId="0" applyFont="1" applyFill="1" applyBorder="1" applyAlignment="1" applyProtection="1">
      <alignment horizontal="left"/>
    </xf>
    <xf numFmtId="0" fontId="25" fillId="0" borderId="0" xfId="0" applyFont="1" applyBorder="1" applyAlignment="1" applyProtection="1"/>
    <xf numFmtId="0" fontId="0" fillId="0" borderId="0" xfId="0" applyFont="1" applyBorder="1" applyAlignment="1" applyProtection="1"/>
    <xf numFmtId="0" fontId="0" fillId="2" borderId="0" xfId="0" applyFill="1" applyBorder="1" applyAlignment="1" applyProtection="1"/>
    <xf numFmtId="168" fontId="4" fillId="2" borderId="0" xfId="0" applyNumberFormat="1" applyFont="1" applyFill="1" applyBorder="1" applyAlignment="1" applyProtection="1"/>
    <xf numFmtId="0" fontId="0" fillId="0" borderId="0" xfId="0" applyBorder="1" applyAlignment="1" applyProtection="1"/>
    <xf numFmtId="0" fontId="0" fillId="0" borderId="0" xfId="0" applyFill="1" applyBorder="1" applyAlignment="1" applyProtection="1"/>
    <xf numFmtId="0" fontId="30" fillId="9" borderId="0" xfId="0" applyFont="1" applyFill="1" applyBorder="1" applyAlignment="1" applyProtection="1"/>
    <xf numFmtId="0" fontId="8" fillId="9" borderId="0" xfId="0" applyNumberFormat="1" applyFont="1" applyFill="1" applyBorder="1" applyAlignment="1" applyProtection="1"/>
    <xf numFmtId="0" fontId="0" fillId="7" borderId="0" xfId="0" applyFont="1" applyFill="1" applyBorder="1" applyAlignment="1" applyProtection="1"/>
    <xf numFmtId="0" fontId="19" fillId="7" borderId="0" xfId="0" applyFont="1" applyFill="1" applyBorder="1" applyAlignment="1" applyProtection="1"/>
    <xf numFmtId="9" fontId="0" fillId="0" borderId="50" xfId="0" applyNumberFormat="1" applyBorder="1" applyProtection="1"/>
    <xf numFmtId="0" fontId="21" fillId="0" borderId="3" xfId="0" applyFont="1" applyBorder="1" applyAlignment="1" applyProtection="1">
      <alignment horizontal="right"/>
    </xf>
    <xf numFmtId="0" fontId="0" fillId="0" borderId="46" xfId="0" applyNumberFormat="1" applyFill="1" applyBorder="1" applyProtection="1"/>
    <xf numFmtId="0" fontId="41" fillId="0" borderId="3" xfId="0" applyFont="1" applyBorder="1" applyAlignment="1" applyProtection="1">
      <alignment horizontal="right"/>
    </xf>
    <xf numFmtId="0" fontId="41" fillId="0" borderId="50" xfId="0" applyFont="1" applyBorder="1" applyAlignment="1" applyProtection="1">
      <alignment horizontal="right"/>
    </xf>
    <xf numFmtId="0" fontId="41" fillId="0" borderId="50" xfId="0" applyNumberFormat="1" applyFont="1" applyFill="1" applyBorder="1" applyAlignment="1" applyProtection="1">
      <alignment horizontal="right"/>
    </xf>
    <xf numFmtId="0" fontId="0" fillId="0" borderId="0" xfId="0" applyNumberFormat="1" applyFont="1" applyBorder="1" applyAlignment="1" applyProtection="1"/>
    <xf numFmtId="0" fontId="2" fillId="0" borderId="0" xfId="0" applyNumberFormat="1" applyFont="1" applyBorder="1" applyAlignment="1" applyProtection="1"/>
    <xf numFmtId="0" fontId="0" fillId="0" borderId="0" xfId="0" applyBorder="1" applyAlignment="1" applyProtection="1">
      <alignment horizontal="left"/>
    </xf>
    <xf numFmtId="0" fontId="0" fillId="0" borderId="0" xfId="0" applyNumberFormat="1" applyBorder="1" applyAlignment="1" applyProtection="1">
      <alignment horizontal="left"/>
    </xf>
    <xf numFmtId="0" fontId="2" fillId="20" borderId="0" xfId="0" applyFont="1" applyFill="1" applyBorder="1" applyAlignment="1" applyProtection="1"/>
    <xf numFmtId="0" fontId="0" fillId="20" borderId="0" xfId="0" applyFont="1" applyFill="1" applyBorder="1" applyAlignment="1" applyProtection="1">
      <alignment horizontal="left"/>
    </xf>
    <xf numFmtId="0" fontId="0" fillId="20" borderId="0" xfId="0" applyFill="1" applyBorder="1" applyAlignment="1" applyProtection="1">
      <alignment horizontal="left"/>
    </xf>
    <xf numFmtId="0" fontId="2" fillId="7" borderId="0" xfId="0" applyNumberFormat="1" applyFont="1" applyFill="1" applyBorder="1" applyAlignment="1" applyProtection="1">
      <alignment horizontal="left"/>
    </xf>
    <xf numFmtId="0" fontId="0" fillId="7" borderId="0" xfId="0" applyNumberFormat="1" applyFont="1" applyFill="1" applyBorder="1" applyAlignment="1" applyProtection="1">
      <alignment horizontal="left"/>
    </xf>
    <xf numFmtId="0" fontId="0" fillId="7" borderId="0" xfId="0" applyFill="1" applyBorder="1" applyAlignment="1" applyProtection="1">
      <alignment horizontal="right"/>
    </xf>
    <xf numFmtId="0" fontId="2" fillId="14" borderId="0" xfId="0" applyNumberFormat="1" applyFont="1" applyFill="1" applyBorder="1" applyAlignment="1" applyProtection="1">
      <alignment horizontal="left"/>
    </xf>
    <xf numFmtId="0" fontId="0" fillId="14" borderId="0" xfId="0" applyNumberFormat="1" applyFont="1" applyFill="1" applyBorder="1" applyAlignment="1" applyProtection="1">
      <alignment horizontal="left"/>
    </xf>
    <xf numFmtId="0" fontId="2" fillId="13" borderId="0" xfId="0" applyNumberFormat="1" applyFont="1" applyFill="1" applyBorder="1" applyAlignment="1" applyProtection="1">
      <alignment horizontal="left"/>
    </xf>
    <xf numFmtId="0" fontId="0" fillId="13" borderId="0" xfId="0" applyNumberFormat="1" applyFont="1" applyFill="1" applyBorder="1" applyAlignment="1" applyProtection="1">
      <alignment horizontal="left"/>
    </xf>
    <xf numFmtId="0" fontId="2" fillId="18" borderId="0" xfId="0" applyNumberFormat="1" applyFont="1" applyFill="1" applyBorder="1" applyAlignment="1" applyProtection="1">
      <alignment horizontal="left"/>
    </xf>
    <xf numFmtId="0" fontId="0" fillId="18" borderId="0" xfId="0" applyNumberFormat="1" applyFont="1" applyFill="1" applyBorder="1" applyAlignment="1" applyProtection="1">
      <alignment horizontal="left"/>
    </xf>
    <xf numFmtId="0" fontId="0" fillId="0" borderId="0" xfId="0" applyFill="1" applyBorder="1" applyAlignment="1" applyProtection="1">
      <alignment horizontal="left"/>
    </xf>
    <xf numFmtId="0" fontId="42" fillId="0" borderId="0" xfId="0" applyFont="1" applyBorder="1" applyAlignment="1" applyProtection="1">
      <alignment horizontal="left"/>
    </xf>
    <xf numFmtId="0" fontId="42" fillId="0" borderId="0" xfId="0" applyFont="1" applyBorder="1" applyAlignment="1" applyProtection="1"/>
    <xf numFmtId="0" fontId="43" fillId="0" borderId="0" xfId="0" applyFont="1" applyBorder="1" applyAlignment="1" applyProtection="1"/>
    <xf numFmtId="0" fontId="19" fillId="0" borderId="0" xfId="0" applyFont="1" applyBorder="1" applyAlignment="1" applyProtection="1"/>
    <xf numFmtId="0" fontId="0" fillId="14" borderId="0" xfId="0" applyFont="1" applyFill="1" applyBorder="1" applyAlignment="1" applyProtection="1">
      <alignment horizontal="left"/>
    </xf>
    <xf numFmtId="0" fontId="0" fillId="14" borderId="0" xfId="0" applyFont="1" applyFill="1" applyBorder="1" applyAlignment="1" applyProtection="1">
      <alignment horizontal="right"/>
    </xf>
    <xf numFmtId="0" fontId="0" fillId="13" borderId="0" xfId="0" applyFont="1" applyFill="1" applyBorder="1" applyAlignment="1" applyProtection="1">
      <alignment horizontal="left"/>
    </xf>
    <xf numFmtId="0" fontId="0" fillId="13" borderId="0" xfId="0" applyFont="1" applyFill="1" applyBorder="1" applyAlignment="1" applyProtection="1">
      <alignment horizontal="right"/>
    </xf>
    <xf numFmtId="0" fontId="0" fillId="18" borderId="0" xfId="0" applyFont="1" applyFill="1" applyBorder="1" applyAlignment="1" applyProtection="1">
      <alignment horizontal="left"/>
    </xf>
    <xf numFmtId="0" fontId="0" fillId="18" borderId="0" xfId="0" applyFont="1" applyFill="1" applyBorder="1" applyAlignment="1" applyProtection="1">
      <alignment horizontal="right"/>
    </xf>
    <xf numFmtId="0" fontId="13" fillId="0" borderId="0" xfId="0" applyFont="1" applyBorder="1" applyProtection="1"/>
    <xf numFmtId="0" fontId="17" fillId="0" borderId="0" xfId="0" applyFont="1" applyBorder="1" applyAlignment="1" applyProtection="1"/>
    <xf numFmtId="0" fontId="17" fillId="0" borderId="0" xfId="0" applyFont="1" applyBorder="1" applyProtection="1"/>
    <xf numFmtId="0" fontId="17" fillId="0" borderId="0" xfId="0" applyFont="1" applyBorder="1" applyAlignment="1" applyProtection="1">
      <alignment horizontal="right"/>
    </xf>
    <xf numFmtId="0" fontId="17" fillId="0" borderId="0" xfId="0" applyNumberFormat="1" applyFont="1" applyBorder="1" applyProtection="1"/>
    <xf numFmtId="0" fontId="44" fillId="0" borderId="0" xfId="0" applyNumberFormat="1" applyFont="1" applyBorder="1" applyProtection="1"/>
    <xf numFmtId="0" fontId="13" fillId="0" borderId="46" xfId="0" applyFont="1" applyBorder="1" applyProtection="1"/>
    <xf numFmtId="0" fontId="17" fillId="0" borderId="47" xfId="0" applyFont="1" applyBorder="1" applyAlignment="1" applyProtection="1"/>
    <xf numFmtId="0" fontId="17" fillId="0" borderId="47" xfId="0" applyFont="1" applyBorder="1" applyProtection="1"/>
    <xf numFmtId="0" fontId="17" fillId="0" borderId="47" xfId="0" applyNumberFormat="1" applyFont="1" applyBorder="1" applyProtection="1"/>
    <xf numFmtId="0" fontId="17" fillId="0" borderId="47" xfId="0" applyFont="1" applyBorder="1" applyAlignment="1" applyProtection="1">
      <alignment horizontal="right"/>
    </xf>
    <xf numFmtId="0" fontId="17" fillId="0" borderId="47" xfId="0" applyNumberFormat="1" applyFont="1" applyFill="1" applyBorder="1" applyAlignment="1" applyProtection="1">
      <alignment horizontal="right"/>
    </xf>
    <xf numFmtId="0" fontId="17" fillId="0" borderId="48" xfId="0" applyFont="1" applyBorder="1" applyProtection="1"/>
    <xf numFmtId="0" fontId="17" fillId="0" borderId="47" xfId="0" applyNumberFormat="1" applyFont="1" applyBorder="1" applyAlignment="1" applyProtection="1">
      <alignment horizontal="right"/>
    </xf>
    <xf numFmtId="0" fontId="17" fillId="0" borderId="48" xfId="0" applyFont="1" applyBorder="1" applyAlignment="1" applyProtection="1">
      <alignment horizontal="right"/>
    </xf>
    <xf numFmtId="0" fontId="17" fillId="0" borderId="0" xfId="0" applyFont="1" applyFill="1" applyBorder="1" applyAlignment="1" applyProtection="1"/>
    <xf numFmtId="0" fontId="17" fillId="0" borderId="0" xfId="0" applyFont="1" applyFill="1" applyBorder="1" applyProtection="1"/>
    <xf numFmtId="0" fontId="17" fillId="0" borderId="0" xfId="0" applyNumberFormat="1" applyFont="1" applyBorder="1" applyAlignment="1" applyProtection="1">
      <alignment horizontal="right"/>
    </xf>
    <xf numFmtId="0" fontId="17" fillId="0" borderId="0" xfId="0" applyNumberFormat="1" applyFont="1" applyFill="1" applyBorder="1" applyAlignment="1" applyProtection="1">
      <alignment horizontal="right"/>
    </xf>
    <xf numFmtId="1" fontId="13" fillId="0" borderId="0" xfId="1" applyNumberFormat="1" applyFont="1" applyBorder="1" applyProtection="1"/>
    <xf numFmtId="0" fontId="17" fillId="0" borderId="47" xfId="0" applyFont="1" applyFill="1" applyBorder="1" applyProtection="1"/>
    <xf numFmtId="0" fontId="17" fillId="0" borderId="47" xfId="0" applyNumberFormat="1" applyFont="1" applyFill="1" applyBorder="1" applyProtection="1"/>
    <xf numFmtId="0" fontId="13" fillId="0" borderId="47" xfId="0" applyNumberFormat="1" applyFont="1" applyFill="1" applyBorder="1" applyAlignment="1" applyProtection="1">
      <alignment wrapText="1"/>
    </xf>
    <xf numFmtId="0" fontId="13" fillId="0" borderId="47" xfId="0" applyFont="1" applyBorder="1" applyProtection="1"/>
    <xf numFmtId="0" fontId="13" fillId="0" borderId="47" xfId="0" applyNumberFormat="1" applyFont="1" applyFill="1" applyBorder="1" applyAlignment="1" applyProtection="1">
      <alignment horizontal="right"/>
    </xf>
    <xf numFmtId="0" fontId="13" fillId="0" borderId="48" xfId="0" applyNumberFormat="1" applyFont="1" applyFill="1" applyBorder="1" applyAlignment="1" applyProtection="1">
      <alignment horizontal="right"/>
    </xf>
    <xf numFmtId="0" fontId="42" fillId="0" borderId="0" xfId="0" applyNumberFormat="1" applyFont="1" applyBorder="1" applyAlignment="1" applyProtection="1">
      <alignment horizontal="left"/>
    </xf>
    <xf numFmtId="0" fontId="17" fillId="0" borderId="47" xfId="0" applyFont="1" applyFill="1" applyBorder="1" applyAlignment="1" applyProtection="1"/>
    <xf numFmtId="0" fontId="17" fillId="0" borderId="0" xfId="0" applyFont="1" applyFill="1" applyBorder="1" applyAlignment="1" applyProtection="1">
      <alignment horizontal="right"/>
    </xf>
    <xf numFmtId="9" fontId="0" fillId="0" borderId="0" xfId="0" applyNumberFormat="1" applyFont="1" applyBorder="1" applyProtection="1"/>
    <xf numFmtId="0" fontId="0" fillId="0" borderId="0" xfId="0" applyFont="1" applyFill="1" applyBorder="1" applyAlignment="1" applyProtection="1"/>
    <xf numFmtId="0" fontId="19" fillId="4" borderId="0" xfId="0" applyFont="1" applyFill="1" applyBorder="1"/>
    <xf numFmtId="0" fontId="4" fillId="4" borderId="49" xfId="0" applyFont="1" applyFill="1" applyBorder="1"/>
    <xf numFmtId="0" fontId="19" fillId="4" borderId="45" xfId="0" applyFont="1" applyFill="1" applyBorder="1"/>
    <xf numFmtId="0" fontId="2" fillId="0" borderId="0" xfId="0" applyFont="1" applyBorder="1" applyAlignment="1"/>
    <xf numFmtId="0" fontId="0" fillId="0" borderId="48" xfId="0" applyFont="1" applyBorder="1"/>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13" fillId="6" borderId="0" xfId="0" applyFont="1" applyFill="1"/>
    <xf numFmtId="0" fontId="13" fillId="14" borderId="0" xfId="0" applyFont="1" applyFill="1" applyAlignment="1">
      <alignment horizontal="left"/>
    </xf>
    <xf numFmtId="0" fontId="17" fillId="14" borderId="0" xfId="0" applyFont="1" applyFill="1" applyAlignment="1">
      <alignment horizontal="right"/>
    </xf>
    <xf numFmtId="0" fontId="13" fillId="17" borderId="0" xfId="0" applyFont="1" applyFill="1" applyBorder="1"/>
    <xf numFmtId="165" fontId="13" fillId="17" borderId="0" xfId="0" applyNumberFormat="1" applyFont="1" applyFill="1" applyBorder="1" applyAlignment="1">
      <alignment horizontal="left"/>
    </xf>
    <xf numFmtId="165" fontId="13" fillId="17" borderId="0" xfId="0" applyNumberFormat="1" applyFont="1" applyFill="1" applyBorder="1"/>
    <xf numFmtId="0" fontId="2" fillId="17" borderId="0" xfId="0" applyFont="1" applyFill="1" applyBorder="1" applyAlignment="1">
      <alignment horizontal="left" textRotation="90" wrapText="1"/>
    </xf>
    <xf numFmtId="0" fontId="21" fillId="17" borderId="0" xfId="0" applyFont="1" applyFill="1" applyBorder="1" applyAlignment="1">
      <alignment horizontal="left" textRotation="90" wrapText="1"/>
    </xf>
    <xf numFmtId="0" fontId="23" fillId="0" borderId="0" xfId="0" applyFont="1" applyBorder="1" applyProtection="1"/>
    <xf numFmtId="0" fontId="23" fillId="0" borderId="0" xfId="0" applyNumberFormat="1" applyFont="1" applyBorder="1" applyProtection="1"/>
    <xf numFmtId="165" fontId="47" fillId="0" borderId="0" xfId="3" applyNumberFormat="1" applyFont="1"/>
    <xf numFmtId="0" fontId="2" fillId="4" borderId="0" xfId="0" applyFont="1" applyFill="1" applyBorder="1"/>
    <xf numFmtId="172" fontId="2" fillId="4" borderId="0" xfId="0" applyNumberFormat="1" applyFont="1" applyFill="1" applyBorder="1"/>
    <xf numFmtId="172" fontId="2" fillId="4" borderId="4" xfId="0" applyNumberFormat="1" applyFont="1" applyFill="1" applyBorder="1"/>
    <xf numFmtId="0" fontId="21" fillId="0" borderId="50" xfId="0" applyFont="1" applyBorder="1" applyAlignment="1" applyProtection="1">
      <alignment horizontal="center"/>
    </xf>
    <xf numFmtId="0" fontId="21" fillId="0" borderId="3" xfId="0" applyFont="1" applyBorder="1" applyAlignment="1" applyProtection="1">
      <alignment horizontal="center"/>
    </xf>
    <xf numFmtId="0" fontId="21" fillId="0" borderId="2" xfId="0" applyFont="1" applyBorder="1" applyAlignment="1" applyProtection="1">
      <alignment horizontal="center"/>
    </xf>
    <xf numFmtId="0" fontId="0" fillId="0" borderId="46" xfId="0" applyFont="1" applyBorder="1" applyAlignment="1">
      <alignment horizontal="left" vertical="top" wrapText="1"/>
    </xf>
    <xf numFmtId="0" fontId="0" fillId="0" borderId="47" xfId="0" applyFont="1" applyBorder="1" applyAlignment="1">
      <alignment horizontal="left" vertical="top" wrapText="1"/>
    </xf>
    <xf numFmtId="0" fontId="0" fillId="0" borderId="48" xfId="0" applyFont="1" applyBorder="1" applyAlignment="1">
      <alignment horizontal="left" vertical="top" wrapText="1"/>
    </xf>
    <xf numFmtId="0" fontId="0" fillId="0" borderId="49" xfId="0" applyFont="1" applyBorder="1" applyAlignment="1">
      <alignment horizontal="left" vertical="top" wrapText="1"/>
    </xf>
    <xf numFmtId="0" fontId="0" fillId="0" borderId="0" xfId="0" applyFont="1" applyBorder="1" applyAlignment="1">
      <alignment horizontal="left" vertical="top" wrapText="1"/>
    </xf>
    <xf numFmtId="0" fontId="0" fillId="0" borderId="45" xfId="0" applyFont="1" applyBorder="1" applyAlignment="1">
      <alignment horizontal="left" vertical="top" wrapText="1"/>
    </xf>
    <xf numFmtId="0" fontId="0" fillId="0" borderId="50"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left" vertical="top" wrapText="1"/>
    </xf>
    <xf numFmtId="165" fontId="17" fillId="0" borderId="6" xfId="0" applyNumberFormat="1" applyFont="1" applyBorder="1" applyAlignment="1" applyProtection="1">
      <alignment horizontal="center"/>
      <protection locked="0"/>
    </xf>
    <xf numFmtId="165" fontId="17" fillId="0" borderId="7" xfId="0" applyNumberFormat="1" applyFont="1" applyBorder="1" applyAlignment="1" applyProtection="1">
      <alignment horizontal="center"/>
      <protection locked="0"/>
    </xf>
    <xf numFmtId="165" fontId="17" fillId="0" borderId="3" xfId="0" applyNumberFormat="1" applyFont="1" applyBorder="1" applyAlignment="1" applyProtection="1">
      <alignment horizontal="center"/>
      <protection locked="0"/>
    </xf>
    <xf numFmtId="165" fontId="17" fillId="0" borderId="2" xfId="0" applyNumberFormat="1" applyFont="1" applyBorder="1" applyAlignment="1" applyProtection="1">
      <alignment horizontal="center"/>
      <protection locked="0"/>
    </xf>
    <xf numFmtId="0" fontId="45" fillId="0" borderId="0" xfId="0" applyFont="1" applyAlignment="1">
      <alignment horizontal="left" vertical="center"/>
    </xf>
    <xf numFmtId="0" fontId="17" fillId="0" borderId="6" xfId="0" applyFont="1" applyBorder="1" applyAlignment="1">
      <alignment horizontal="left"/>
    </xf>
    <xf numFmtId="0" fontId="17" fillId="0" borderId="7" xfId="0" applyFont="1" applyBorder="1" applyAlignment="1">
      <alignment horizontal="left"/>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5" fillId="0" borderId="48" xfId="0" applyFont="1" applyBorder="1" applyAlignment="1">
      <alignment horizontal="left" vertical="top" wrapText="1"/>
    </xf>
    <xf numFmtId="0" fontId="5" fillId="0" borderId="49" xfId="0" applyFont="1" applyBorder="1" applyAlignment="1">
      <alignment horizontal="left" vertical="top" wrapText="1"/>
    </xf>
    <xf numFmtId="0" fontId="5" fillId="0" borderId="0" xfId="0" applyFont="1" applyBorder="1" applyAlignment="1">
      <alignment horizontal="left" vertical="top" wrapText="1"/>
    </xf>
    <xf numFmtId="0" fontId="5" fillId="0" borderId="45" xfId="0" applyFont="1" applyBorder="1" applyAlignment="1">
      <alignment horizontal="left" vertical="top" wrapText="1"/>
    </xf>
    <xf numFmtId="0" fontId="5" fillId="0" borderId="50"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46" xfId="0" applyFont="1" applyFill="1" applyBorder="1" applyAlignment="1">
      <alignment horizontal="left" vertical="top" wrapText="1"/>
    </xf>
    <xf numFmtId="0" fontId="5" fillId="0" borderId="47" xfId="0" applyFont="1" applyFill="1" applyBorder="1" applyAlignment="1">
      <alignment horizontal="left" vertical="top" wrapText="1"/>
    </xf>
    <xf numFmtId="0" fontId="5" fillId="0" borderId="48"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5" xfId="0" applyFont="1" applyFill="1" applyBorder="1" applyAlignment="1">
      <alignment horizontal="left" vertical="top" wrapText="1"/>
    </xf>
    <xf numFmtId="0" fontId="5" fillId="0" borderId="50"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wrapText="1"/>
    </xf>
    <xf numFmtId="0" fontId="2" fillId="17" borderId="0" xfId="0" applyFont="1" applyFill="1" applyBorder="1" applyAlignment="1">
      <alignment horizontal="left"/>
    </xf>
    <xf numFmtId="0" fontId="20" fillId="0" borderId="3" xfId="0" applyFont="1" applyBorder="1" applyAlignment="1">
      <alignment horizontal="center"/>
    </xf>
    <xf numFmtId="0" fontId="0" fillId="0" borderId="0" xfId="0" applyFont="1" applyBorder="1" applyAlignment="1">
      <alignment horizontal="left" vertical="top"/>
    </xf>
    <xf numFmtId="0" fontId="0" fillId="0" borderId="45" xfId="0" applyFont="1" applyBorder="1" applyAlignment="1">
      <alignment horizontal="left" vertical="top"/>
    </xf>
    <xf numFmtId="0" fontId="0" fillId="0" borderId="3" xfId="0" applyFont="1" applyBorder="1" applyAlignment="1">
      <alignment horizontal="left" vertical="top"/>
    </xf>
    <xf numFmtId="0" fontId="0" fillId="0" borderId="2" xfId="0" applyFont="1" applyBorder="1" applyAlignment="1">
      <alignment horizontal="left" vertical="top"/>
    </xf>
    <xf numFmtId="0" fontId="2" fillId="0" borderId="49" xfId="0" applyFont="1" applyBorder="1" applyAlignment="1">
      <alignment horizontal="left"/>
    </xf>
    <xf numFmtId="0" fontId="2" fillId="0" borderId="0" xfId="0" applyFont="1" applyBorder="1" applyAlignment="1">
      <alignment horizontal="left"/>
    </xf>
    <xf numFmtId="0" fontId="0" fillId="0" borderId="3" xfId="0" applyFont="1" applyBorder="1" applyAlignment="1">
      <alignment horizontal="left"/>
    </xf>
    <xf numFmtId="0" fontId="2" fillId="0" borderId="3" xfId="0" applyFont="1" applyBorder="1" applyAlignment="1">
      <alignment horizontal="left"/>
    </xf>
    <xf numFmtId="0" fontId="0" fillId="0" borderId="2" xfId="0" applyFont="1" applyBorder="1" applyAlignment="1">
      <alignment horizontal="left"/>
    </xf>
    <xf numFmtId="0" fontId="0" fillId="0" borderId="0" xfId="0" applyFont="1" applyBorder="1" applyAlignment="1">
      <alignment horizontal="left"/>
    </xf>
    <xf numFmtId="0" fontId="2" fillId="0" borderId="46" xfId="0" applyFont="1" applyBorder="1" applyAlignment="1">
      <alignment horizontal="left"/>
    </xf>
    <xf numFmtId="0" fontId="2" fillId="0" borderId="47" xfId="0" applyFont="1" applyBorder="1" applyAlignment="1">
      <alignment horizontal="left"/>
    </xf>
    <xf numFmtId="0" fontId="2" fillId="0" borderId="50" xfId="0" applyFont="1" applyBorder="1" applyAlignment="1">
      <alignment horizontal="left"/>
    </xf>
    <xf numFmtId="0" fontId="0" fillId="0" borderId="47" xfId="0" applyFont="1" applyFill="1" applyBorder="1" applyAlignment="1" applyProtection="1">
      <alignment horizontal="left"/>
      <protection locked="0"/>
    </xf>
    <xf numFmtId="165" fontId="0" fillId="0" borderId="47" xfId="0" applyNumberFormat="1" applyFont="1" applyBorder="1" applyAlignment="1">
      <alignment horizontal="left"/>
    </xf>
    <xf numFmtId="0" fontId="0" fillId="0" borderId="47" xfId="0" applyFont="1" applyFill="1" applyBorder="1" applyAlignment="1" applyProtection="1">
      <alignment horizontal="left"/>
    </xf>
    <xf numFmtId="0" fontId="0" fillId="0" borderId="0" xfId="0" applyBorder="1" applyAlignment="1">
      <alignment horizontal="left"/>
    </xf>
    <xf numFmtId="0" fontId="0" fillId="0" borderId="0" xfId="0" applyAlignment="1">
      <alignment horizontal="left" vertical="top" wrapText="1"/>
    </xf>
    <xf numFmtId="0" fontId="0" fillId="0" borderId="45" xfId="0" applyBorder="1" applyAlignment="1">
      <alignment horizontal="left" vertical="top" wrapText="1"/>
    </xf>
    <xf numFmtId="165" fontId="0" fillId="0" borderId="0" xfId="0" applyNumberFormat="1" applyFont="1" applyBorder="1" applyAlignment="1">
      <alignment horizontal="left"/>
    </xf>
    <xf numFmtId="0" fontId="2" fillId="0" borderId="49" xfId="0" applyFont="1" applyBorder="1" applyAlignment="1">
      <alignment horizontal="left" vertical="top"/>
    </xf>
    <xf numFmtId="0" fontId="2" fillId="0" borderId="0" xfId="0" applyFont="1" applyBorder="1" applyAlignment="1">
      <alignment horizontal="left" vertical="top"/>
    </xf>
    <xf numFmtId="0" fontId="2" fillId="0" borderId="50" xfId="0" applyFont="1" applyBorder="1" applyAlignment="1">
      <alignment horizontal="left" vertical="top"/>
    </xf>
    <xf numFmtId="0" fontId="2" fillId="0" borderId="3" xfId="0" applyFont="1" applyBorder="1" applyAlignment="1">
      <alignment horizontal="left" vertical="top"/>
    </xf>
    <xf numFmtId="0" fontId="9" fillId="7" borderId="46" xfId="0" applyFont="1" applyFill="1" applyBorder="1" applyAlignment="1">
      <alignment horizontal="center" vertical="center" wrapText="1"/>
    </xf>
    <xf numFmtId="0" fontId="9" fillId="7" borderId="48" xfId="0" applyFont="1" applyFill="1" applyBorder="1" applyAlignment="1">
      <alignment horizontal="center" vertical="center" wrapText="1"/>
    </xf>
    <xf numFmtId="0" fontId="9" fillId="14" borderId="46" xfId="0" applyFont="1" applyFill="1" applyBorder="1" applyAlignment="1">
      <alignment horizontal="center" vertical="center" wrapText="1"/>
    </xf>
    <xf numFmtId="0" fontId="9" fillId="14" borderId="48" xfId="0" applyFont="1" applyFill="1" applyBorder="1" applyAlignment="1">
      <alignment horizontal="center" vertical="center" wrapText="1"/>
    </xf>
    <xf numFmtId="0" fontId="9" fillId="13" borderId="46" xfId="0" applyFont="1" applyFill="1" applyBorder="1" applyAlignment="1">
      <alignment horizontal="center" vertical="center" wrapText="1"/>
    </xf>
    <xf numFmtId="0" fontId="9" fillId="13" borderId="48" xfId="0" applyFont="1" applyFill="1" applyBorder="1" applyAlignment="1">
      <alignment horizontal="center" vertical="center" wrapText="1"/>
    </xf>
    <xf numFmtId="0" fontId="9" fillId="18" borderId="46" xfId="0" applyFont="1" applyFill="1" applyBorder="1" applyAlignment="1">
      <alignment horizontal="center" vertical="center"/>
    </xf>
    <xf numFmtId="0" fontId="9" fillId="18" borderId="48" xfId="0" applyFont="1" applyFill="1" applyBorder="1" applyAlignment="1">
      <alignment horizontal="center" vertical="center"/>
    </xf>
    <xf numFmtId="0" fontId="15" fillId="3" borderId="0" xfId="0" applyFont="1" applyFill="1" applyBorder="1" applyAlignment="1">
      <alignment horizontal="left"/>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15" fillId="3" borderId="3" xfId="0" applyFont="1" applyFill="1" applyBorder="1" applyAlignment="1">
      <alignment horizontal="center"/>
    </xf>
    <xf numFmtId="0" fontId="5" fillId="0" borderId="6" xfId="0" applyFont="1" applyFill="1" applyBorder="1" applyAlignment="1" applyProtection="1">
      <alignment horizontal="left"/>
      <protection locked="0"/>
    </xf>
    <xf numFmtId="0" fontId="5" fillId="0" borderId="7" xfId="0" applyFont="1" applyFill="1" applyBorder="1" applyAlignment="1" applyProtection="1">
      <alignment horizontal="left"/>
      <protection locked="0"/>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0" xfId="0" applyBorder="1" applyAlignment="1">
      <alignment horizontal="left" vertical="top" wrapText="1"/>
    </xf>
    <xf numFmtId="0" fontId="0" fillId="0" borderId="50"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7" xfId="0" applyBorder="1" applyAlignment="1">
      <alignment horizontal="left" vertical="top"/>
    </xf>
    <xf numFmtId="0" fontId="0" fillId="0" borderId="48" xfId="0" applyBorder="1" applyAlignment="1">
      <alignment horizontal="left" vertical="top"/>
    </xf>
    <xf numFmtId="0" fontId="0" fillId="0" borderId="50"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13" fillId="11" borderId="31" xfId="0" applyFont="1" applyFill="1" applyBorder="1" applyAlignment="1">
      <alignment horizontal="center" vertical="center" wrapText="1"/>
    </xf>
    <xf numFmtId="0" fontId="13" fillId="11" borderId="32"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0" fillId="0" borderId="46" xfId="0" quotePrefix="1" applyBorder="1" applyAlignment="1">
      <alignment horizontal="left" vertical="top" wrapText="1"/>
    </xf>
    <xf numFmtId="0" fontId="0" fillId="0" borderId="56" xfId="0" applyBorder="1"/>
    <xf numFmtId="0" fontId="0" fillId="0" borderId="57" xfId="0" applyBorder="1"/>
    <xf numFmtId="0" fontId="0" fillId="0" borderId="58" xfId="0" applyBorder="1"/>
  </cellXfs>
  <cellStyles count="4">
    <cellStyle name="Hyperlink" xfId="3" builtinId="8"/>
    <cellStyle name="Normal" xfId="0" builtinId="0"/>
    <cellStyle name="Normal 2" xfId="2"/>
    <cellStyle name="Percent" xfId="1" builtinId="5"/>
  </cellStyles>
  <dxfs count="232">
    <dxf>
      <font>
        <color theme="0"/>
      </font>
    </dxf>
    <dxf>
      <fill>
        <patternFill>
          <bgColor rgb="FFFFFF99"/>
        </patternFill>
      </fill>
    </dxf>
    <dxf>
      <font>
        <color theme="0"/>
      </font>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val="0"/>
        <i val="0"/>
        <strike val="0"/>
        <condense val="0"/>
        <extend val="0"/>
        <outline val="0"/>
        <shadow val="0"/>
        <u val="none"/>
        <vertAlign val="baseline"/>
        <sz val="11"/>
        <color auto="1"/>
        <name val="Calibri"/>
        <scheme val="minor"/>
      </font>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medium">
          <color indexed="64"/>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minor"/>
      </font>
      <numFmt numFmtId="170" formatCode="[$-409]d\-mmm\-yyyy;@"/>
      <fill>
        <patternFill patternType="none">
          <fgColor indexed="64"/>
          <bgColor indexed="65"/>
        </patternFill>
      </fill>
      <alignment horizontal="general"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protection locked="0" hidden="0"/>
    </dxf>
    <dxf>
      <border outline="0">
        <left style="medium">
          <color rgb="FF000000"/>
        </left>
      </border>
    </dxf>
    <dxf>
      <fill>
        <patternFill patternType="solid">
          <fgColor indexed="64"/>
          <bgColor theme="9" tint="0.59999389629810485"/>
        </patternFill>
      </fill>
    </dxf>
    <dxf>
      <font>
        <b val="0"/>
        <i val="0"/>
        <strike val="0"/>
        <condense val="0"/>
        <extend val="0"/>
        <outline val="0"/>
        <shadow val="0"/>
        <u val="none"/>
        <vertAlign val="baseline"/>
        <sz val="11"/>
        <color auto="1"/>
        <name val="Calibri"/>
        <scheme val="minor"/>
      </font>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medium">
          <color indexed="64"/>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minor"/>
      </font>
      <numFmt numFmtId="170" formatCode="[$-409]d\-mmm\-yyyy;@"/>
      <fill>
        <patternFill patternType="none">
          <fgColor indexed="64"/>
          <bgColor indexed="65"/>
        </patternFill>
      </fill>
      <alignment horizontal="general"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protection locked="0" hidden="0"/>
    </dxf>
    <dxf>
      <border outline="0">
        <left style="medium">
          <color rgb="FF000000"/>
        </left>
      </border>
    </dxf>
    <dxf>
      <fill>
        <patternFill patternType="solid">
          <fgColor indexed="64"/>
          <bgColor theme="9" tint="0.59999389629810485"/>
        </patternFill>
      </fill>
    </dxf>
    <dxf>
      <font>
        <b val="0"/>
        <i val="0"/>
        <strike val="0"/>
        <condense val="0"/>
        <extend val="0"/>
        <outline val="0"/>
        <shadow val="0"/>
        <u val="none"/>
        <vertAlign val="baseline"/>
        <sz val="11"/>
        <color auto="1"/>
        <name val="Calibri"/>
        <scheme val="minor"/>
      </font>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medium">
          <color indexed="64"/>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minor"/>
      </font>
      <numFmt numFmtId="170" formatCode="[$-409]d\-mmm\-yyyy;@"/>
      <fill>
        <patternFill patternType="none">
          <fgColor indexed="64"/>
          <bgColor indexed="65"/>
        </patternFill>
      </fill>
      <alignment horizontal="general"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protection locked="0" hidden="0"/>
    </dxf>
    <dxf>
      <border outline="0">
        <left style="medium">
          <color rgb="FF000000"/>
        </left>
      </border>
    </dxf>
    <dxf>
      <fill>
        <patternFill patternType="solid">
          <fgColor indexed="64"/>
          <bgColor theme="9" tint="0.59999389629810485"/>
        </patternFill>
      </fill>
    </dxf>
    <dxf>
      <font>
        <b val="0"/>
        <i val="0"/>
        <strike val="0"/>
        <condense val="0"/>
        <extend val="0"/>
        <outline val="0"/>
        <shadow val="0"/>
        <u val="none"/>
        <vertAlign val="baseline"/>
        <sz val="11"/>
        <color auto="1"/>
        <name val="Calibri"/>
        <scheme val="minor"/>
      </font>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medium">
          <color indexed="64"/>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minor"/>
      </font>
      <numFmt numFmtId="170" formatCode="[$-409]d\-mmm\-yyyy;@"/>
      <fill>
        <patternFill patternType="none">
          <fgColor indexed="64"/>
          <bgColor indexed="65"/>
        </patternFill>
      </fill>
      <alignment horizontal="general"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protection locked="0" hidden="0"/>
    </dxf>
    <dxf>
      <border outline="0">
        <left style="medium">
          <color indexed="64"/>
        </left>
      </border>
    </dxf>
    <dxf>
      <fill>
        <patternFill patternType="solid">
          <fgColor indexed="64"/>
          <bgColor theme="9" tint="0.59999389629810485"/>
        </patternFill>
      </fill>
    </dxf>
    <dxf>
      <numFmt numFmtId="13" formatCode="0%"/>
      <fill>
        <patternFill patternType="solid">
          <fgColor indexed="64"/>
          <bgColor theme="9" tint="0.59999389629810485"/>
        </patternFill>
      </fill>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9" tint="0.59999389629810485"/>
        </patternFill>
      </fill>
      <border diagonalUp="0" diagonalDown="0" outline="0">
        <left style="medium">
          <color indexed="64"/>
        </left>
        <right style="thin">
          <color theme="0" tint="-0.249977111117893"/>
        </right>
        <top style="thin">
          <color theme="0" tint="-0.249977111117893"/>
        </top>
        <bottom style="thin">
          <color theme="0" tint="-0.249977111117893"/>
        </bottom>
      </border>
    </dxf>
    <dxf>
      <border diagonalUp="0" diagonalDown="0">
        <left style="thin">
          <color theme="0" tint="-0.249977111117893"/>
        </left>
        <right style="medium">
          <color indexed="64"/>
        </right>
        <top style="thin">
          <color theme="0" tint="-0.249977111117893"/>
        </top>
        <bottom style="thin">
          <color theme="0" tint="-0.249977111117893"/>
        </bottom>
        <vertical/>
        <horizontal/>
      </border>
      <protection locked="0" hidden="0"/>
    </dxf>
    <dxf>
      <border diagonalUp="0" diagonalDown="0">
        <left style="medium">
          <color indexed="64"/>
        </left>
        <right style="thin">
          <color theme="0" tint="-0.249977111117893"/>
        </right>
        <top style="thin">
          <color theme="0" tint="-0.249977111117893"/>
        </top>
        <bottom style="thin">
          <color theme="0" tint="-0.249977111117893"/>
        </bottom>
        <vertical/>
        <horizontal/>
      </border>
      <protection locked="0" hidden="0"/>
    </dxf>
    <dxf>
      <alignment horizontal="general" vertical="bottom" textRotation="0" wrapText="1" indent="0" justifyLastLine="0" shrinkToFit="0" readingOrder="0"/>
      <border diagonalUp="0" diagonalDown="0">
        <left/>
        <right style="medium">
          <color indexed="64"/>
        </right>
        <top style="thin">
          <color theme="0" tint="-0.249977111117893"/>
        </top>
        <bottom style="thin">
          <color theme="0" tint="-0.249977111117893"/>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dxf>
    <dxf>
      <numFmt numFmtId="0" formatCode="General"/>
      <border diagonalUp="0" diagonalDown="0">
        <left style="thin">
          <color theme="0" tint="-0.249977111117893"/>
        </left>
        <right/>
        <top style="thin">
          <color theme="0" tint="-0.249977111117893"/>
        </top>
        <bottom style="thin">
          <color theme="0" tint="-0.249977111117893"/>
        </bottom>
        <vertical/>
        <horizontal/>
      </border>
      <protection locked="0" hidden="0"/>
    </dxf>
    <dxf>
      <numFmt numFmtId="167" formatCode="0.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ill>
        <patternFill patternType="solid">
          <fgColor indexed="64"/>
          <bgColor theme="9" tint="0.59999389629810485"/>
        </patternFill>
      </fill>
    </dxf>
    <dxf>
      <numFmt numFmtId="1" formatCode="0"/>
      <border diagonalUp="0" diagonalDown="0">
        <left style="thin">
          <color theme="0" tint="-0.249977111117893"/>
        </left>
        <right/>
        <top style="thin">
          <color theme="0" tint="-0.249977111117893"/>
        </top>
        <bottom style="thin">
          <color theme="0" tint="-0.249977111117893"/>
        </bottom>
        <vertical/>
        <horizontal/>
      </border>
      <protection locked="0" hidden="0"/>
    </dxf>
    <dxf>
      <numFmt numFmtId="1" formatCode="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ill>
        <patternFill patternType="solid">
          <fgColor indexed="64"/>
          <bgColor theme="9" tint="0.59999389629810485"/>
        </patternFill>
      </fill>
    </dxf>
    <dxf>
      <font>
        <strike val="0"/>
        <outline val="0"/>
        <shadow val="0"/>
        <u val="none"/>
        <vertAlign val="baseline"/>
        <sz val="11"/>
        <color theme="1" tint="0.499984740745262"/>
        <name val="Calibri"/>
        <scheme val="minor"/>
      </font>
      <numFmt numFmtId="165" formatCode="mmm\ 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1" tint="0.499984740745262"/>
        <name val="Calibri"/>
        <scheme val="minor"/>
      </font>
      <numFmt numFmtId="165" formatCode="mmm\ 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tint="0.499984740745262"/>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theme="0" tint="-0.249977111117893"/>
        </right>
        <top/>
        <bottom style="thin">
          <color theme="0" tint="-0.249977111117893"/>
        </bottom>
      </border>
    </dxf>
    <dxf>
      <font>
        <strike val="0"/>
        <outline val="0"/>
        <shadow val="0"/>
        <u val="none"/>
        <vertAlign val="baseline"/>
        <sz val="11"/>
        <color theme="1" tint="0.499984740745262"/>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right style="thin">
          <color theme="0" tint="-0.249977111117893"/>
        </right>
        <top/>
        <bottom style="thin">
          <color theme="0" tint="-0.249977111117893"/>
        </bottom>
        <vertical/>
        <horizontal/>
      </border>
    </dxf>
    <dxf>
      <font>
        <strike val="0"/>
        <outline val="0"/>
        <shadow val="0"/>
        <u val="none"/>
        <vertAlign val="baseline"/>
        <sz val="11"/>
        <color theme="1" tint="0.499984740745262"/>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strike val="0"/>
        <outline val="0"/>
        <shadow val="0"/>
        <u val="none"/>
        <vertAlign val="baseline"/>
        <sz val="11"/>
        <color theme="1"/>
        <name val="Calibri"/>
        <scheme val="minor"/>
      </font>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249977111117893"/>
        </patternFill>
      </fill>
      <alignment horizontal="right" vertical="top" textRotation="90" wrapText="1" indent="0" justifyLastLine="0" shrinkToFit="0" readingOrder="0"/>
    </dxf>
    <dxf>
      <font>
        <strike val="0"/>
        <outline val="0"/>
        <shadow val="0"/>
        <u val="none"/>
        <vertAlign val="baseline"/>
        <sz val="11"/>
        <color theme="1" tint="0.499984740745262"/>
        <name val="Calibri"/>
        <scheme val="minor"/>
      </font>
      <numFmt numFmtId="165" formatCode="mmm\ yyyy"/>
      <fill>
        <patternFill patternType="solid">
          <fgColor indexed="64"/>
          <bgColor theme="0" tint="-4.9989318521683403E-2"/>
        </patternFill>
      </fill>
      <border diagonalUp="0" diagonalDown="0" outline="0">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1" tint="0.499984740745262"/>
        <name val="Calibri"/>
        <scheme val="minor"/>
      </font>
      <numFmt numFmtId="165" formatCode="mmm\ 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1"/>
        <color theme="1"/>
        <name val="Calibri"/>
        <scheme val="minor"/>
      </font>
      <numFmt numFmtId="165" formatCode="mmm\ yyyy"/>
      <alignment horizontal="center" vertical="center" textRotation="0" wrapText="0" indent="0" justifyLastLine="0" shrinkToFit="0" readingOrder="0"/>
      <border diagonalUp="0" diagonalDown="0">
        <left/>
        <right style="thin">
          <color indexed="64"/>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tint="0.499984740745262"/>
        <name val="Calibri"/>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theme="1" tint="0.499984740745262"/>
        <name val="Calibri"/>
        <scheme val="minor"/>
      </font>
      <numFmt numFmtId="30" formatCode="@"/>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Calibri"/>
        <scheme val="minor"/>
      </font>
      <numFmt numFmtId="30" formatCode="@"/>
      <alignment horizontal="general" vertical="center" textRotation="0" wrapText="1" indent="0" justifyLastLine="0" shrinkToFit="0" readingOrder="0"/>
      <border diagonalUp="0" diagonalDown="0">
        <left/>
        <right style="thin">
          <color indexed="64"/>
        </right>
        <top/>
        <bottom/>
        <vertical/>
        <horizontal/>
      </border>
      <protection locked="0" hidden="0"/>
    </dxf>
    <dxf>
      <font>
        <strike val="0"/>
        <outline val="0"/>
        <shadow val="0"/>
        <u val="none"/>
        <vertAlign val="baseline"/>
        <sz val="11"/>
        <color theme="1"/>
        <name val="Calibri"/>
        <scheme val="minor"/>
      </font>
      <numFmt numFmtId="165" formatCode="mmm\ yyyy"/>
      <alignment horizontal="general" vertical="center" textRotation="0" wrapText="0" indent="0" justifyLastLine="0" shrinkToFit="0" readingOrder="0"/>
      <border diagonalUp="0" diagonalDown="0">
        <left style="thin">
          <color indexed="64"/>
        </left>
        <right style="thin">
          <color theme="0" tint="-0.249977111117893"/>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theme="1"/>
        <name val="Calibri"/>
        <scheme val="minor"/>
      </font>
      <numFmt numFmtId="30" formatCode="@"/>
      <alignment horizontal="general" vertical="center" textRotation="0" wrapText="1"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165" formatCode="mmm\ yyyy"/>
      <alignment horizontal="general"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protection locked="0" hidden="0"/>
    </dxf>
    <dxf>
      <font>
        <b val="0"/>
        <i val="0"/>
        <strike val="0"/>
        <condense val="0"/>
        <extend val="0"/>
        <outline val="0"/>
        <shadow val="0"/>
        <u val="none"/>
        <vertAlign val="baseline"/>
        <sz val="11"/>
        <color theme="1"/>
        <name val="Calibri"/>
        <scheme val="minor"/>
      </font>
      <numFmt numFmtId="165" formatCode="mmm\ yyyy"/>
      <alignment horizontal="general"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Calibri"/>
        <scheme val="minor"/>
      </font>
      <numFmt numFmtId="165" formatCode="mmm\ yyyy"/>
      <alignment horizontal="left"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Calibri"/>
        <scheme val="minor"/>
      </font>
      <numFmt numFmtId="30" formatCode="@"/>
      <alignment horizontal="general" vertical="center" textRotation="0" wrapText="1"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165" formatCode="mmm\ yyyy"/>
      <alignment horizontal="general"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protection locked="0" hidden="0"/>
    </dxf>
    <dxf>
      <font>
        <b val="0"/>
        <i val="0"/>
        <strike val="0"/>
        <condense val="0"/>
        <extend val="0"/>
        <outline val="0"/>
        <shadow val="0"/>
        <u val="none"/>
        <vertAlign val="baseline"/>
        <sz val="11"/>
        <color theme="1"/>
        <name val="Calibri"/>
        <scheme val="minor"/>
      </font>
      <numFmt numFmtId="165" formatCode="mmm\ yyyy"/>
      <alignment horizontal="general"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Calibri"/>
        <scheme val="minor"/>
      </font>
      <numFmt numFmtId="169" formatCode="[$-409]mmmmm\-yy;@"/>
      <alignment horizontal="left" vertical="center" textRotation="0" wrapText="1" indent="0" justifyLastLine="0" shrinkToFit="0" readingOrder="0"/>
      <border diagonalUp="0" diagonalDown="0">
        <left/>
        <right style="thin">
          <color theme="0" tint="-0.249977111117893"/>
        </right>
        <top/>
        <bottom style="thin">
          <color theme="0" tint="-0.249977111117893"/>
        </bottom>
      </border>
      <protection locked="0" hidden="0"/>
    </dxf>
    <dxf>
      <font>
        <strike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ont>
        <strike val="0"/>
        <outline val="0"/>
        <shadow val="0"/>
        <u val="none"/>
        <vertAlign val="baseline"/>
        <sz val="11"/>
        <color theme="1"/>
        <name val="Calibri"/>
        <scheme val="minor"/>
      </font>
      <alignment horizontal="general"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left style="thin">
          <color indexed="64"/>
        </left>
        <right style="thin">
          <color theme="0" tint="-0.249977111117893"/>
        </right>
        <top style="thin">
          <color auto="1"/>
        </top>
        <bottom style="thin">
          <color auto="1"/>
        </bottom>
      </border>
      <protection locked="0" hidden="0"/>
    </dxf>
    <dxf>
      <font>
        <strike val="0"/>
        <outline val="0"/>
        <shadow val="0"/>
        <u val="none"/>
        <vertAlign val="baseline"/>
        <sz val="11"/>
        <color theme="1"/>
        <name val="Calibri"/>
        <scheme val="minor"/>
      </font>
      <alignment horizontal="general" vertical="center" textRotation="0" wrapText="0" indent="0" justifyLastLine="0" shrinkToFit="0" readingOrder="0"/>
      <border diagonalUp="0" diagonalDown="0">
        <left/>
        <right style="thin">
          <color indexed="64"/>
        </right>
        <top/>
        <bottom/>
        <vertical/>
        <horizontal/>
      </border>
      <protection locked="0" hidden="0"/>
    </dxf>
    <dxf>
      <font>
        <strike val="0"/>
        <outline val="0"/>
        <shadow val="0"/>
        <u val="none"/>
        <vertAlign val="baseline"/>
        <sz val="11"/>
        <color theme="1"/>
        <name val="Calibri"/>
        <scheme val="minor"/>
      </font>
      <numFmt numFmtId="165" formatCode="mmm\ yyyy"/>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color theme="1"/>
        <name val="Calibri"/>
        <scheme val="minor"/>
      </font>
      <numFmt numFmtId="165" formatCode="mmm\ yyyy"/>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color theme="1"/>
        <name val="Calibri"/>
        <scheme val="minor"/>
      </font>
      <alignment horizontal="general"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fill>
        <patternFill patternType="solid">
          <fgColor indexed="64"/>
          <bgColor theme="9"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2" defaultTableStyle="TableStyleMedium9" defaultPivotStyle="PivotStyleLight16">
    <tableStyle name="Table Style 1" pivot="0" count="0"/>
    <tableStyle name="Table Style 2" pivot="0" count="0"/>
  </tableStyles>
  <colors>
    <mruColors>
      <color rgb="FFFFFF99"/>
      <color rgb="FFFFFF66"/>
      <color rgb="FFCCFFFF"/>
      <color rgb="FFCCCCFF"/>
      <color rgb="FFFFCC99"/>
      <color rgb="FFFF9966"/>
      <color rgb="FF8DB4E2"/>
      <color rgb="FF77E6F5"/>
      <color rgb="FF66CCFF"/>
      <color rgb="FFD6EC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CA" sz="1200"/>
              <a:t>ADDITIONAL </a:t>
            </a:r>
            <a:r>
              <a:rPr lang="en-CA" sz="1200" baseline="0"/>
              <a:t>COHORT:</a:t>
            </a:r>
          </a:p>
          <a:p>
            <a:pPr>
              <a:defRPr sz="1200"/>
            </a:pPr>
            <a:r>
              <a:rPr lang="en-CA" sz="1200"/>
              <a:t>Percent of residents on any antipsychotics (total use)</a:t>
            </a:r>
          </a:p>
        </c:rich>
      </c:tx>
      <c:layout>
        <c:manualLayout>
          <c:xMode val="edge"/>
          <c:yMode val="edge"/>
          <c:x val="0.18225419664268586"/>
          <c:y val="1.6666666666666666E-2"/>
        </c:manualLayout>
      </c:layout>
      <c:overlay val="0"/>
    </c:title>
    <c:autoTitleDeleted val="0"/>
    <c:plotArea>
      <c:layout>
        <c:manualLayout>
          <c:layoutTarget val="inner"/>
          <c:xMode val="edge"/>
          <c:yMode val="edge"/>
          <c:x val="4.8130752214925097E-2"/>
          <c:y val="0.19098562679665043"/>
          <c:w val="0.93585760295246934"/>
          <c:h val="0.72948531433570807"/>
        </c:manualLayout>
      </c:layout>
      <c:lineChart>
        <c:grouping val="standard"/>
        <c:varyColors val="0"/>
        <c:ser>
          <c:idx val="0"/>
          <c:order val="0"/>
          <c:tx>
            <c:v>Total Use</c:v>
          </c:tx>
          <c:spPr>
            <a:ln w="25400">
              <a:solidFill>
                <a:schemeClr val="tx1">
                  <a:lumMod val="50000"/>
                  <a:lumOff val="50000"/>
                </a:schemeClr>
              </a:solidFill>
            </a:ln>
          </c:spPr>
          <c:marker>
            <c:symbol val="circle"/>
            <c:size val="5"/>
            <c:spPr>
              <a:solidFill>
                <a:schemeClr val="tx1">
                  <a:lumMod val="50000"/>
                  <a:lumOff val="50000"/>
                </a:schemeClr>
              </a:solidFill>
              <a:ln>
                <a:solidFill>
                  <a:schemeClr val="tx1">
                    <a:lumMod val="50000"/>
                    <a:lumOff val="50000"/>
                  </a:schemeClr>
                </a:solidFill>
              </a:ln>
            </c:spPr>
          </c:marker>
          <c:cat>
            <c:numRef>
              <c:f>Summary!$L$7:$AI$7</c:f>
              <c:numCache>
                <c:formatCode>mmm</c:formatCode>
                <c:ptCount val="24"/>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numCache>
            </c:numRef>
          </c:cat>
          <c:val>
            <c:numRef>
              <c:f>[0]!Graph_AdditionalDataTotal</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ser>
          <c:idx val="1"/>
          <c:order val="1"/>
          <c:tx>
            <c:strRef>
              <c:f>Summary!$B$19</c:f>
              <c:strCache>
                <c:ptCount val="1"/>
                <c:pt idx="0">
                  <c:v>Median</c:v>
                </c:pt>
              </c:strCache>
            </c:strRef>
          </c:tx>
          <c:spPr>
            <a:ln w="25400">
              <a:solidFill>
                <a:schemeClr val="tx1"/>
              </a:solidFill>
              <a:prstDash val="sysDot"/>
            </a:ln>
          </c:spPr>
          <c:marker>
            <c:symbol val="none"/>
          </c:marker>
          <c:val>
            <c:numRef>
              <c:f>Summary!$L$137:$AI$137</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370487680"/>
        <c:axId val="370489216"/>
      </c:lineChart>
      <c:dateAx>
        <c:axId val="370487680"/>
        <c:scaling>
          <c:orientation val="minMax"/>
        </c:scaling>
        <c:delete val="0"/>
        <c:axPos val="b"/>
        <c:numFmt formatCode="mmm" sourceLinked="1"/>
        <c:majorTickMark val="out"/>
        <c:minorTickMark val="none"/>
        <c:tickLblPos val="nextTo"/>
        <c:txPr>
          <a:bodyPr rot="0"/>
          <a:lstStyle/>
          <a:p>
            <a:pPr>
              <a:defRPr/>
            </a:pPr>
            <a:endParaRPr lang="en-US"/>
          </a:p>
        </c:txPr>
        <c:crossAx val="370489216"/>
        <c:crosses val="autoZero"/>
        <c:auto val="1"/>
        <c:lblOffset val="100"/>
        <c:baseTimeUnit val="months"/>
      </c:dateAx>
      <c:valAx>
        <c:axId val="370489216"/>
        <c:scaling>
          <c:orientation val="minMax"/>
          <c:min val="0"/>
        </c:scaling>
        <c:delete val="0"/>
        <c:axPos val="l"/>
        <c:numFmt formatCode="0%" sourceLinked="1"/>
        <c:majorTickMark val="out"/>
        <c:minorTickMark val="none"/>
        <c:tickLblPos val="nextTo"/>
        <c:crossAx val="370487680"/>
        <c:crosses val="autoZero"/>
        <c:crossBetween val="between"/>
        <c:majorUnit val="0.1"/>
      </c:valAx>
    </c:plotArea>
    <c:plotVisOnly val="0"/>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CA" sz="1200"/>
              <a:t>ORIGINAL</a:t>
            </a:r>
            <a:r>
              <a:rPr lang="en-CA" sz="1200" baseline="0"/>
              <a:t> COHORT:</a:t>
            </a:r>
          </a:p>
          <a:p>
            <a:pPr>
              <a:defRPr sz="1200"/>
            </a:pPr>
            <a:r>
              <a:rPr lang="en-CA" sz="1200"/>
              <a:t>Percent of residents on any antipsychotics (total use)</a:t>
            </a:r>
          </a:p>
        </c:rich>
      </c:tx>
      <c:layout>
        <c:manualLayout>
          <c:xMode val="edge"/>
          <c:yMode val="edge"/>
          <c:x val="0.18225419664268586"/>
          <c:y val="1.6666666666666666E-2"/>
        </c:manualLayout>
      </c:layout>
      <c:overlay val="0"/>
    </c:title>
    <c:autoTitleDeleted val="0"/>
    <c:plotArea>
      <c:layout>
        <c:manualLayout>
          <c:layoutTarget val="inner"/>
          <c:xMode val="edge"/>
          <c:yMode val="edge"/>
          <c:x val="4.8130752214925097E-2"/>
          <c:y val="0.19098562679665043"/>
          <c:w val="0.93585760295246934"/>
          <c:h val="0.72948531433570807"/>
        </c:manualLayout>
      </c:layout>
      <c:lineChart>
        <c:grouping val="standard"/>
        <c:varyColors val="0"/>
        <c:ser>
          <c:idx val="0"/>
          <c:order val="0"/>
          <c:tx>
            <c:v>Total Use</c:v>
          </c:tx>
          <c:spPr>
            <a:ln w="25400">
              <a:solidFill>
                <a:schemeClr val="tx1">
                  <a:lumMod val="50000"/>
                  <a:lumOff val="50000"/>
                </a:schemeClr>
              </a:solidFill>
            </a:ln>
          </c:spPr>
          <c:marker>
            <c:symbol val="circle"/>
            <c:size val="5"/>
            <c:spPr>
              <a:solidFill>
                <a:schemeClr val="tx1">
                  <a:lumMod val="50000"/>
                  <a:lumOff val="50000"/>
                </a:schemeClr>
              </a:solidFill>
              <a:ln>
                <a:solidFill>
                  <a:schemeClr val="tx1">
                    <a:lumMod val="50000"/>
                    <a:lumOff val="50000"/>
                  </a:schemeClr>
                </a:solidFill>
              </a:ln>
            </c:spPr>
          </c:marker>
          <c:cat>
            <c:numRef>
              <c:f>Summary!$L$7:$AI$7</c:f>
              <c:numCache>
                <c:formatCode>mmm</c:formatCode>
                <c:ptCount val="24"/>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numCache>
            </c:numRef>
          </c:cat>
          <c:val>
            <c:numRef>
              <c:f>[0]!Graph_OriginalDataTotal</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ser>
          <c:idx val="1"/>
          <c:order val="1"/>
          <c:tx>
            <c:strRef>
              <c:f>Summary!$B$19</c:f>
              <c:strCache>
                <c:ptCount val="1"/>
                <c:pt idx="0">
                  <c:v>Median</c:v>
                </c:pt>
              </c:strCache>
            </c:strRef>
          </c:tx>
          <c:spPr>
            <a:ln w="25400">
              <a:solidFill>
                <a:schemeClr val="tx1"/>
              </a:solidFill>
              <a:prstDash val="sysDot"/>
            </a:ln>
          </c:spPr>
          <c:marker>
            <c:symbol val="none"/>
          </c:marker>
          <c:val>
            <c:numRef>
              <c:f>Summary!$L$115:$AI$115</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370463488"/>
        <c:axId val="370465024"/>
      </c:lineChart>
      <c:dateAx>
        <c:axId val="370463488"/>
        <c:scaling>
          <c:orientation val="minMax"/>
        </c:scaling>
        <c:delete val="0"/>
        <c:axPos val="b"/>
        <c:numFmt formatCode="mmm" sourceLinked="1"/>
        <c:majorTickMark val="out"/>
        <c:minorTickMark val="none"/>
        <c:tickLblPos val="nextTo"/>
        <c:txPr>
          <a:bodyPr rot="0"/>
          <a:lstStyle/>
          <a:p>
            <a:pPr>
              <a:defRPr/>
            </a:pPr>
            <a:endParaRPr lang="en-US"/>
          </a:p>
        </c:txPr>
        <c:crossAx val="370465024"/>
        <c:crosses val="autoZero"/>
        <c:auto val="1"/>
        <c:lblOffset val="100"/>
        <c:baseTimeUnit val="months"/>
      </c:dateAx>
      <c:valAx>
        <c:axId val="370465024"/>
        <c:scaling>
          <c:orientation val="minMax"/>
          <c:min val="0"/>
        </c:scaling>
        <c:delete val="0"/>
        <c:axPos val="l"/>
        <c:numFmt formatCode="0%" sourceLinked="1"/>
        <c:majorTickMark val="out"/>
        <c:minorTickMark val="none"/>
        <c:tickLblPos val="nextTo"/>
        <c:crossAx val="370463488"/>
        <c:crosses val="autoZero"/>
        <c:crossBetween val="between"/>
        <c:majorUnit val="0.1"/>
      </c:valAx>
    </c:plotArea>
    <c:plotVisOnly val="0"/>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CA" sz="1200"/>
              <a:t>ORIGINAL COHORT:</a:t>
            </a:r>
            <a:r>
              <a:rPr lang="en-CA" sz="1200" baseline="0"/>
              <a:t> </a:t>
            </a:r>
            <a:r>
              <a:rPr lang="en-CA" sz="1200"/>
              <a:t>Percent of residents on antipsychotics </a:t>
            </a:r>
          </a:p>
          <a:p>
            <a:pPr>
              <a:defRPr sz="1200"/>
            </a:pPr>
            <a:r>
              <a:rPr lang="en-CA" sz="1200"/>
              <a:t>without a diagnosis of psychosis (potentially inappropriate)</a:t>
            </a:r>
          </a:p>
        </c:rich>
      </c:tx>
      <c:layout>
        <c:manualLayout>
          <c:xMode val="edge"/>
          <c:yMode val="edge"/>
          <c:x val="0.12373737373737374"/>
          <c:y val="1.6666666666666666E-2"/>
        </c:manualLayout>
      </c:layout>
      <c:overlay val="0"/>
    </c:title>
    <c:autoTitleDeleted val="0"/>
    <c:plotArea>
      <c:layout>
        <c:manualLayout>
          <c:layoutTarget val="inner"/>
          <c:xMode val="edge"/>
          <c:yMode val="edge"/>
          <c:x val="4.8130752214925097E-2"/>
          <c:y val="0.19098562679665043"/>
          <c:w val="0.93585760295246934"/>
          <c:h val="0.72948531433570807"/>
        </c:manualLayout>
      </c:layout>
      <c:lineChart>
        <c:grouping val="standard"/>
        <c:varyColors val="0"/>
        <c:ser>
          <c:idx val="1"/>
          <c:order val="0"/>
          <c:tx>
            <c:v>Potentially inappropriate</c:v>
          </c:tx>
          <c:spPr>
            <a:ln w="25400">
              <a:solidFill>
                <a:srgbClr val="0070C0"/>
              </a:solidFill>
            </a:ln>
          </c:spPr>
          <c:marker>
            <c:symbol val="circle"/>
            <c:size val="5"/>
            <c:spPr>
              <a:solidFill>
                <a:srgbClr val="0070C0"/>
              </a:solidFill>
              <a:ln w="9525">
                <a:solidFill>
                  <a:srgbClr val="0070C0"/>
                </a:solidFill>
              </a:ln>
            </c:spPr>
          </c:marker>
          <c:cat>
            <c:numRef>
              <c:f>Summary!$L$7:$AI$7</c:f>
              <c:numCache>
                <c:formatCode>mmm</c:formatCode>
                <c:ptCount val="24"/>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numCache>
            </c:numRef>
          </c:cat>
          <c:val>
            <c:numRef>
              <c:f>[0]!Graph_OriginalDataInappropriate</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ser>
          <c:idx val="0"/>
          <c:order val="1"/>
          <c:tx>
            <c:strRef>
              <c:f>Summary!$B$28</c:f>
              <c:strCache>
                <c:ptCount val="1"/>
                <c:pt idx="0">
                  <c:v>Median</c:v>
                </c:pt>
              </c:strCache>
            </c:strRef>
          </c:tx>
          <c:spPr>
            <a:ln w="25400">
              <a:solidFill>
                <a:schemeClr val="tx1"/>
              </a:solidFill>
              <a:prstDash val="sysDot"/>
            </a:ln>
          </c:spPr>
          <c:marker>
            <c:symbol val="none"/>
          </c:marker>
          <c:cat>
            <c:numRef>
              <c:f>Summary!$L$7:$AI$7</c:f>
              <c:numCache>
                <c:formatCode>mmm</c:formatCode>
                <c:ptCount val="24"/>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numCache>
            </c:numRef>
          </c:cat>
          <c:val>
            <c:numRef>
              <c:f>Summary!$L$124:$AI$124</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370700288"/>
        <c:axId val="370701824"/>
      </c:lineChart>
      <c:dateAx>
        <c:axId val="370700288"/>
        <c:scaling>
          <c:orientation val="minMax"/>
        </c:scaling>
        <c:delete val="0"/>
        <c:axPos val="b"/>
        <c:numFmt formatCode="mmm" sourceLinked="1"/>
        <c:majorTickMark val="out"/>
        <c:minorTickMark val="none"/>
        <c:tickLblPos val="nextTo"/>
        <c:txPr>
          <a:bodyPr rot="0"/>
          <a:lstStyle/>
          <a:p>
            <a:pPr>
              <a:defRPr/>
            </a:pPr>
            <a:endParaRPr lang="en-US"/>
          </a:p>
        </c:txPr>
        <c:crossAx val="370701824"/>
        <c:crosses val="autoZero"/>
        <c:auto val="1"/>
        <c:lblOffset val="100"/>
        <c:baseTimeUnit val="months"/>
      </c:dateAx>
      <c:valAx>
        <c:axId val="370701824"/>
        <c:scaling>
          <c:orientation val="minMax"/>
          <c:min val="0"/>
        </c:scaling>
        <c:delete val="0"/>
        <c:axPos val="l"/>
        <c:numFmt formatCode="0%" sourceLinked="1"/>
        <c:majorTickMark val="out"/>
        <c:minorTickMark val="none"/>
        <c:tickLblPos val="nextTo"/>
        <c:crossAx val="370700288"/>
        <c:crosses val="autoZero"/>
        <c:crossBetween val="between"/>
        <c:majorUnit val="0.1"/>
      </c:valAx>
    </c:plotArea>
    <c:plotVisOnly val="0"/>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CA" sz="1200"/>
              <a:t>ADDITIONAL COHORT: Percent of residents on antipsychotics </a:t>
            </a:r>
          </a:p>
          <a:p>
            <a:pPr>
              <a:defRPr sz="1200"/>
            </a:pPr>
            <a:r>
              <a:rPr lang="en-CA" sz="1200"/>
              <a:t>without a diagnosis of psychosis (potentially inappropriate)</a:t>
            </a:r>
          </a:p>
        </c:rich>
      </c:tx>
      <c:layout>
        <c:manualLayout>
          <c:xMode val="edge"/>
          <c:yMode val="edge"/>
          <c:x val="0.11363636363636363"/>
          <c:y val="1.6666666666666666E-2"/>
        </c:manualLayout>
      </c:layout>
      <c:overlay val="0"/>
    </c:title>
    <c:autoTitleDeleted val="0"/>
    <c:plotArea>
      <c:layout>
        <c:manualLayout>
          <c:layoutTarget val="inner"/>
          <c:xMode val="edge"/>
          <c:yMode val="edge"/>
          <c:x val="4.8130752214925097E-2"/>
          <c:y val="0.19098562679665043"/>
          <c:w val="0.93585760295246934"/>
          <c:h val="0.72948531433570807"/>
        </c:manualLayout>
      </c:layout>
      <c:lineChart>
        <c:grouping val="standard"/>
        <c:varyColors val="0"/>
        <c:ser>
          <c:idx val="1"/>
          <c:order val="0"/>
          <c:tx>
            <c:v>Potentially inappropriate</c:v>
          </c:tx>
          <c:spPr>
            <a:ln w="25400">
              <a:solidFill>
                <a:srgbClr val="0070C0"/>
              </a:solidFill>
            </a:ln>
          </c:spPr>
          <c:marker>
            <c:symbol val="circle"/>
            <c:size val="5"/>
            <c:spPr>
              <a:solidFill>
                <a:srgbClr val="0070C0"/>
              </a:solidFill>
              <a:ln w="9525">
                <a:solidFill>
                  <a:srgbClr val="0070C0"/>
                </a:solidFill>
              </a:ln>
            </c:spPr>
          </c:marker>
          <c:cat>
            <c:numRef>
              <c:f>Summary!$L$7:$AI$7</c:f>
              <c:numCache>
                <c:formatCode>mmm</c:formatCode>
                <c:ptCount val="24"/>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numCache>
            </c:numRef>
          </c:cat>
          <c:val>
            <c:numRef>
              <c:f>[0]!Graph_AdditionalDataInappropriate</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ser>
          <c:idx val="0"/>
          <c:order val="1"/>
          <c:tx>
            <c:strRef>
              <c:f>Summary!$B$28</c:f>
              <c:strCache>
                <c:ptCount val="1"/>
                <c:pt idx="0">
                  <c:v>Median</c:v>
                </c:pt>
              </c:strCache>
            </c:strRef>
          </c:tx>
          <c:spPr>
            <a:ln w="25400">
              <a:solidFill>
                <a:schemeClr val="tx1"/>
              </a:solidFill>
              <a:prstDash val="sysDot"/>
            </a:ln>
          </c:spPr>
          <c:marker>
            <c:symbol val="none"/>
          </c:marker>
          <c:cat>
            <c:numRef>
              <c:f>Summary!$L$7:$AI$7</c:f>
              <c:numCache>
                <c:formatCode>mmm</c:formatCode>
                <c:ptCount val="24"/>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numCache>
            </c:numRef>
          </c:cat>
          <c:val>
            <c:numRef>
              <c:f>Summary!$L$146:$AI$146</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386734336"/>
        <c:axId val="386736128"/>
      </c:lineChart>
      <c:dateAx>
        <c:axId val="386734336"/>
        <c:scaling>
          <c:orientation val="minMax"/>
        </c:scaling>
        <c:delete val="0"/>
        <c:axPos val="b"/>
        <c:numFmt formatCode="mmm" sourceLinked="1"/>
        <c:majorTickMark val="out"/>
        <c:minorTickMark val="none"/>
        <c:tickLblPos val="nextTo"/>
        <c:txPr>
          <a:bodyPr rot="0"/>
          <a:lstStyle/>
          <a:p>
            <a:pPr>
              <a:defRPr/>
            </a:pPr>
            <a:endParaRPr lang="en-US"/>
          </a:p>
        </c:txPr>
        <c:crossAx val="386736128"/>
        <c:crosses val="autoZero"/>
        <c:auto val="1"/>
        <c:lblOffset val="100"/>
        <c:baseTimeUnit val="months"/>
      </c:dateAx>
      <c:valAx>
        <c:axId val="386736128"/>
        <c:scaling>
          <c:orientation val="minMax"/>
          <c:min val="0"/>
        </c:scaling>
        <c:delete val="0"/>
        <c:axPos val="l"/>
        <c:numFmt formatCode="0%" sourceLinked="1"/>
        <c:majorTickMark val="out"/>
        <c:minorTickMark val="none"/>
        <c:tickLblPos val="nextTo"/>
        <c:crossAx val="386734336"/>
        <c:crosses val="autoZero"/>
        <c:crossBetween val="between"/>
        <c:majorUnit val="0.1"/>
      </c:valAx>
    </c:plotArea>
    <c:plotVisOnly val="0"/>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CA" sz="1200"/>
              <a:t>Percent of residents on any antipsychotics (total use)</a:t>
            </a:r>
          </a:p>
        </c:rich>
      </c:tx>
      <c:layout>
        <c:manualLayout>
          <c:xMode val="edge"/>
          <c:yMode val="edge"/>
          <c:x val="0.19634703196347031"/>
          <c:y val="1.6666666666666666E-2"/>
        </c:manualLayout>
      </c:layout>
      <c:overlay val="0"/>
    </c:title>
    <c:autoTitleDeleted val="0"/>
    <c:plotArea>
      <c:layout>
        <c:manualLayout>
          <c:layoutTarget val="inner"/>
          <c:xMode val="edge"/>
          <c:yMode val="edge"/>
          <c:x val="4.8130752214925097E-2"/>
          <c:y val="0.19098562679665043"/>
          <c:w val="0.93585760295246934"/>
          <c:h val="0.72948531433570807"/>
        </c:manualLayout>
      </c:layout>
      <c:lineChart>
        <c:grouping val="standard"/>
        <c:varyColors val="0"/>
        <c:ser>
          <c:idx val="0"/>
          <c:order val="0"/>
          <c:tx>
            <c:v>Total Use</c:v>
          </c:tx>
          <c:spPr>
            <a:ln w="25400">
              <a:solidFill>
                <a:schemeClr val="tx1">
                  <a:lumMod val="50000"/>
                  <a:lumOff val="50000"/>
                </a:schemeClr>
              </a:solidFill>
            </a:ln>
          </c:spPr>
          <c:marker>
            <c:symbol val="circle"/>
            <c:size val="5"/>
            <c:spPr>
              <a:solidFill>
                <a:schemeClr val="tx1">
                  <a:lumMod val="50000"/>
                  <a:lumOff val="50000"/>
                </a:schemeClr>
              </a:solidFill>
              <a:ln>
                <a:solidFill>
                  <a:schemeClr val="tx1">
                    <a:lumMod val="50000"/>
                    <a:lumOff val="50000"/>
                  </a:schemeClr>
                </a:solidFill>
              </a:ln>
            </c:spPr>
          </c:marker>
          <c:cat>
            <c:numRef>
              <c:f>Summary!$L$7:$AI$7</c:f>
              <c:numCache>
                <c:formatCode>mmm</c:formatCode>
                <c:ptCount val="24"/>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numCache>
            </c:numRef>
          </c:cat>
          <c:val>
            <c:numRef>
              <c:f>[0]!Graph_DataTotal</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ser>
          <c:idx val="1"/>
          <c:order val="1"/>
          <c:tx>
            <c:strRef>
              <c:f>Summary!$B$19</c:f>
              <c:strCache>
                <c:ptCount val="1"/>
                <c:pt idx="0">
                  <c:v>Median</c:v>
                </c:pt>
              </c:strCache>
            </c:strRef>
          </c:tx>
          <c:spPr>
            <a:ln w="25400">
              <a:solidFill>
                <a:schemeClr val="tx1"/>
              </a:solidFill>
              <a:prstDash val="sysDot"/>
            </a:ln>
          </c:spPr>
          <c:marker>
            <c:symbol val="none"/>
          </c:marker>
          <c:val>
            <c:numRef>
              <c:f>Summary!$L$19:$AI$19</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371133440"/>
        <c:axId val="371135232"/>
      </c:lineChart>
      <c:dateAx>
        <c:axId val="371133440"/>
        <c:scaling>
          <c:orientation val="minMax"/>
        </c:scaling>
        <c:delete val="0"/>
        <c:axPos val="b"/>
        <c:numFmt formatCode="mmm" sourceLinked="1"/>
        <c:majorTickMark val="out"/>
        <c:minorTickMark val="none"/>
        <c:tickLblPos val="nextTo"/>
        <c:txPr>
          <a:bodyPr rot="0"/>
          <a:lstStyle/>
          <a:p>
            <a:pPr>
              <a:defRPr/>
            </a:pPr>
            <a:endParaRPr lang="en-US"/>
          </a:p>
        </c:txPr>
        <c:crossAx val="371135232"/>
        <c:crosses val="autoZero"/>
        <c:auto val="1"/>
        <c:lblOffset val="100"/>
        <c:baseTimeUnit val="months"/>
      </c:dateAx>
      <c:valAx>
        <c:axId val="371135232"/>
        <c:scaling>
          <c:orientation val="minMax"/>
          <c:min val="0"/>
        </c:scaling>
        <c:delete val="0"/>
        <c:axPos val="l"/>
        <c:numFmt formatCode="0%" sourceLinked="1"/>
        <c:majorTickMark val="out"/>
        <c:minorTickMark val="none"/>
        <c:tickLblPos val="nextTo"/>
        <c:crossAx val="371133440"/>
        <c:crosses val="autoZero"/>
        <c:crossBetween val="between"/>
        <c:majorUnit val="0.1"/>
      </c:valAx>
    </c:plotArea>
    <c:plotVisOnly val="0"/>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CA" sz="1200"/>
              <a:t>Percent of residents on antipsychotics </a:t>
            </a:r>
          </a:p>
          <a:p>
            <a:pPr>
              <a:defRPr sz="1200"/>
            </a:pPr>
            <a:r>
              <a:rPr lang="en-CA" sz="1200"/>
              <a:t>without a diagnosis of psychosis (potentially inappropriate)</a:t>
            </a:r>
          </a:p>
        </c:rich>
      </c:tx>
      <c:layout>
        <c:manualLayout>
          <c:xMode val="edge"/>
          <c:yMode val="edge"/>
          <c:x val="0.12373737373737374"/>
          <c:y val="1.6666666666666666E-2"/>
        </c:manualLayout>
      </c:layout>
      <c:overlay val="0"/>
    </c:title>
    <c:autoTitleDeleted val="0"/>
    <c:plotArea>
      <c:layout>
        <c:manualLayout>
          <c:layoutTarget val="inner"/>
          <c:xMode val="edge"/>
          <c:yMode val="edge"/>
          <c:x val="4.8130752214925097E-2"/>
          <c:y val="0.19098562679665043"/>
          <c:w val="0.93585760295246934"/>
          <c:h val="0.72948531433570807"/>
        </c:manualLayout>
      </c:layout>
      <c:lineChart>
        <c:grouping val="standard"/>
        <c:varyColors val="0"/>
        <c:ser>
          <c:idx val="1"/>
          <c:order val="0"/>
          <c:tx>
            <c:v>Potentially inappropriate</c:v>
          </c:tx>
          <c:spPr>
            <a:ln w="25400">
              <a:solidFill>
                <a:srgbClr val="0070C0"/>
              </a:solidFill>
            </a:ln>
          </c:spPr>
          <c:marker>
            <c:symbol val="circle"/>
            <c:size val="5"/>
            <c:spPr>
              <a:solidFill>
                <a:srgbClr val="0070C0"/>
              </a:solidFill>
              <a:ln w="9525">
                <a:solidFill>
                  <a:srgbClr val="0070C0"/>
                </a:solidFill>
              </a:ln>
            </c:spPr>
          </c:marker>
          <c:cat>
            <c:numRef>
              <c:f>Summary!$L$7:$AI$7</c:f>
              <c:numCache>
                <c:formatCode>mmm</c:formatCode>
                <c:ptCount val="24"/>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numCache>
            </c:numRef>
          </c:cat>
          <c:val>
            <c:numRef>
              <c:f>[0]!Graph_DataInappropriate</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ser>
          <c:idx val="0"/>
          <c:order val="1"/>
          <c:tx>
            <c:strRef>
              <c:f>Summary!$B$28</c:f>
              <c:strCache>
                <c:ptCount val="1"/>
                <c:pt idx="0">
                  <c:v>Median</c:v>
                </c:pt>
              </c:strCache>
            </c:strRef>
          </c:tx>
          <c:spPr>
            <a:ln w="25400">
              <a:solidFill>
                <a:schemeClr val="tx1"/>
              </a:solidFill>
              <a:prstDash val="sysDot"/>
            </a:ln>
          </c:spPr>
          <c:marker>
            <c:symbol val="none"/>
          </c:marker>
          <c:cat>
            <c:numRef>
              <c:f>Summary!$L$7:$AI$7</c:f>
              <c:numCache>
                <c:formatCode>mmm</c:formatCode>
                <c:ptCount val="24"/>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numCache>
            </c:numRef>
          </c:cat>
          <c:val>
            <c:numRef>
              <c:f>Summary!$L$28:$AI$28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371165824"/>
        <c:axId val="371167616"/>
      </c:lineChart>
      <c:dateAx>
        <c:axId val="371165824"/>
        <c:scaling>
          <c:orientation val="minMax"/>
        </c:scaling>
        <c:delete val="0"/>
        <c:axPos val="b"/>
        <c:numFmt formatCode="mmm" sourceLinked="1"/>
        <c:majorTickMark val="out"/>
        <c:minorTickMark val="none"/>
        <c:tickLblPos val="nextTo"/>
        <c:txPr>
          <a:bodyPr rot="0"/>
          <a:lstStyle/>
          <a:p>
            <a:pPr>
              <a:defRPr/>
            </a:pPr>
            <a:endParaRPr lang="en-US"/>
          </a:p>
        </c:txPr>
        <c:crossAx val="371167616"/>
        <c:crosses val="autoZero"/>
        <c:auto val="1"/>
        <c:lblOffset val="100"/>
        <c:baseTimeUnit val="months"/>
      </c:dateAx>
      <c:valAx>
        <c:axId val="371167616"/>
        <c:scaling>
          <c:orientation val="minMax"/>
          <c:min val="0"/>
        </c:scaling>
        <c:delete val="0"/>
        <c:axPos val="l"/>
        <c:numFmt formatCode="0%" sourceLinked="1"/>
        <c:majorTickMark val="out"/>
        <c:minorTickMark val="none"/>
        <c:tickLblPos val="nextTo"/>
        <c:crossAx val="371165824"/>
        <c:crosses val="autoZero"/>
        <c:crossBetween val="between"/>
        <c:majorUnit val="0.1"/>
      </c:valAx>
    </c:plotArea>
    <c:plotVisOnly val="0"/>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ScatterPlot!$E$4:$O$4</c:f>
          <c:strCache>
            <c:ptCount val="1"/>
            <c:pt idx="0">
              <c:v>Scatter Plot of Unit A</c:v>
            </c:pt>
          </c:strCache>
        </c:strRef>
      </c:tx>
      <c:layout/>
      <c:overlay val="0"/>
      <c:txPr>
        <a:bodyPr/>
        <a:lstStyle/>
        <a:p>
          <a:pPr>
            <a:defRPr sz="1600"/>
          </a:pPr>
          <a:endParaRPr lang="en-US"/>
        </a:p>
      </c:txPr>
    </c:title>
    <c:autoTitleDeleted val="0"/>
    <c:plotArea>
      <c:layout/>
      <c:scatterChart>
        <c:scatterStyle val="lineMarker"/>
        <c:varyColors val="0"/>
        <c:ser>
          <c:idx val="0"/>
          <c:order val="0"/>
          <c:tx>
            <c:strRef>
              <c:f>ScatterPlot!$B$4</c:f>
              <c:strCache>
                <c:ptCount val="1"/>
                <c:pt idx="0">
                  <c:v>y-axis Value</c:v>
                </c:pt>
              </c:strCache>
            </c:strRef>
          </c:tx>
          <c:spPr>
            <a:ln w="28575">
              <a:noFill/>
            </a:ln>
          </c:spPr>
          <c:marker>
            <c:symbol val="circle"/>
            <c:size val="4"/>
            <c:spPr>
              <a:solidFill>
                <a:schemeClr val="tx1"/>
              </a:solidFill>
              <a:ln>
                <a:solidFill>
                  <a:schemeClr val="tx1"/>
                </a:solidFill>
              </a:ln>
            </c:spPr>
          </c:marker>
          <c:xVal>
            <c:numRef>
              <c:f>ScatterPlot!$A$5:$A$44</c:f>
              <c:numCache>
                <c:formatCode>0</c:formatCode>
                <c:ptCount val="40"/>
              </c:numCache>
            </c:numRef>
          </c:xVal>
          <c:yVal>
            <c:numRef>
              <c:f>ScatterPlot!$B$5:$B$44</c:f>
              <c:numCache>
                <c:formatCode>0</c:formatCode>
                <c:ptCount val="40"/>
              </c:numCache>
            </c:numRef>
          </c:yVal>
          <c:smooth val="0"/>
        </c:ser>
        <c:dLbls>
          <c:showLegendKey val="0"/>
          <c:showVal val="0"/>
          <c:showCatName val="0"/>
          <c:showSerName val="0"/>
          <c:showPercent val="0"/>
          <c:showBubbleSize val="0"/>
        </c:dLbls>
        <c:axId val="369054080"/>
        <c:axId val="369056000"/>
      </c:scatterChart>
      <c:valAx>
        <c:axId val="369054080"/>
        <c:scaling>
          <c:orientation val="minMax"/>
        </c:scaling>
        <c:delete val="0"/>
        <c:axPos val="b"/>
        <c:numFmt formatCode="0" sourceLinked="1"/>
        <c:majorTickMark val="out"/>
        <c:minorTickMark val="none"/>
        <c:tickLblPos val="nextTo"/>
        <c:crossAx val="369056000"/>
        <c:crosses val="autoZero"/>
        <c:crossBetween val="midCat"/>
      </c:valAx>
      <c:valAx>
        <c:axId val="369056000"/>
        <c:scaling>
          <c:orientation val="minMax"/>
        </c:scaling>
        <c:delete val="0"/>
        <c:axPos val="l"/>
        <c:numFmt formatCode="0" sourceLinked="1"/>
        <c:majorTickMark val="out"/>
        <c:minorTickMark val="none"/>
        <c:tickLblPos val="nextTo"/>
        <c:crossAx val="369054080"/>
        <c:crosses val="autoZero"/>
        <c:crossBetween val="midCat"/>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Histogram!$E$4</c:f>
          <c:strCache>
            <c:ptCount val="1"/>
            <c:pt idx="0">
              <c:v>Histogram of Unit A</c:v>
            </c:pt>
          </c:strCache>
        </c:strRef>
      </c:tx>
      <c:layout/>
      <c:overlay val="0"/>
      <c:txPr>
        <a:bodyPr/>
        <a:lstStyle/>
        <a:p>
          <a:pPr>
            <a:defRPr sz="1600"/>
          </a:pPr>
          <a:endParaRPr lang="en-US"/>
        </a:p>
      </c:txPr>
    </c:title>
    <c:autoTitleDeleted val="0"/>
    <c:plotArea>
      <c:layout/>
      <c:barChart>
        <c:barDir val="col"/>
        <c:grouping val="clustered"/>
        <c:varyColors val="0"/>
        <c:ser>
          <c:idx val="1"/>
          <c:order val="0"/>
          <c:tx>
            <c:strRef>
              <c:f>Histogram!$B$4</c:f>
              <c:strCache>
                <c:ptCount val="1"/>
                <c:pt idx="0">
                  <c:v>y-axis Frequency</c:v>
                </c:pt>
              </c:strCache>
            </c:strRef>
          </c:tx>
          <c:spPr>
            <a:solidFill>
              <a:schemeClr val="accent5">
                <a:lumMod val="40000"/>
                <a:lumOff val="60000"/>
              </a:schemeClr>
            </a:solidFill>
            <a:ln>
              <a:solidFill>
                <a:schemeClr val="bg1"/>
              </a:solidFill>
            </a:ln>
          </c:spPr>
          <c:invertIfNegative val="0"/>
          <c:cat>
            <c:strRef>
              <c:f>Histogram!$A$5:$A$26</c:f>
              <c:strCache>
                <c:ptCount val="4"/>
                <c:pt idx="0">
                  <c:v>Bin 1</c:v>
                </c:pt>
                <c:pt idx="1">
                  <c:v>Bin 2</c:v>
                </c:pt>
                <c:pt idx="2">
                  <c:v>Bin 3</c:v>
                </c:pt>
                <c:pt idx="3">
                  <c:v>Bin 4</c:v>
                </c:pt>
              </c:strCache>
            </c:strRef>
          </c:cat>
          <c:val>
            <c:numRef>
              <c:f>[0]!Rng_HistogramFreq</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0"/>
        <c:axId val="371102464"/>
        <c:axId val="371104000"/>
      </c:barChart>
      <c:catAx>
        <c:axId val="371102464"/>
        <c:scaling>
          <c:orientation val="minMax"/>
        </c:scaling>
        <c:delete val="0"/>
        <c:axPos val="b"/>
        <c:numFmt formatCode="0.0" sourceLinked="1"/>
        <c:majorTickMark val="out"/>
        <c:minorTickMark val="none"/>
        <c:tickLblPos val="nextTo"/>
        <c:crossAx val="371104000"/>
        <c:crosses val="autoZero"/>
        <c:auto val="1"/>
        <c:lblAlgn val="ctr"/>
        <c:lblOffset val="100"/>
        <c:noMultiLvlLbl val="0"/>
      </c:catAx>
      <c:valAx>
        <c:axId val="371104000"/>
        <c:scaling>
          <c:orientation val="minMax"/>
        </c:scaling>
        <c:delete val="0"/>
        <c:axPos val="l"/>
        <c:numFmt formatCode="#,##0" sourceLinked="0"/>
        <c:majorTickMark val="out"/>
        <c:minorTickMark val="none"/>
        <c:tickLblPos val="nextTo"/>
        <c:crossAx val="371102464"/>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Pareto!$H$4</c:f>
          <c:strCache>
            <c:ptCount val="1"/>
            <c:pt idx="0">
              <c:v>Biggest Issues Select by Staff</c:v>
            </c:pt>
          </c:strCache>
        </c:strRef>
      </c:tx>
      <c:layout/>
      <c:overlay val="0"/>
      <c:txPr>
        <a:bodyPr/>
        <a:lstStyle/>
        <a:p>
          <a:pPr>
            <a:defRPr sz="1600"/>
          </a:pPr>
          <a:endParaRPr lang="en-US"/>
        </a:p>
      </c:txPr>
    </c:title>
    <c:autoTitleDeleted val="0"/>
    <c:plotArea>
      <c:layout/>
      <c:barChart>
        <c:barDir val="col"/>
        <c:grouping val="clustered"/>
        <c:varyColors val="0"/>
        <c:ser>
          <c:idx val="1"/>
          <c:order val="1"/>
          <c:tx>
            <c:strRef>
              <c:f>Pareto!$D$4</c:f>
              <c:strCache>
                <c:ptCount val="1"/>
                <c:pt idx="0">
                  <c:v>Percent</c:v>
                </c:pt>
              </c:strCache>
            </c:strRef>
          </c:tx>
          <c:spPr>
            <a:solidFill>
              <a:schemeClr val="accent5">
                <a:lumMod val="60000"/>
                <a:lumOff val="40000"/>
              </a:schemeClr>
            </a:solidFill>
            <a:ln>
              <a:solidFill>
                <a:schemeClr val="bg1">
                  <a:lumMod val="95000"/>
                </a:schemeClr>
              </a:solidFill>
            </a:ln>
          </c:spPr>
          <c:invertIfNegative val="0"/>
          <c:dLbls>
            <c:numFmt formatCode="0%;\-0%;&quot; &quot;" sourceLinked="0"/>
            <c:txPr>
              <a:bodyPr/>
              <a:lstStyle/>
              <a:p>
                <a:pPr>
                  <a:defRPr sz="1400" b="1"/>
                </a:pPr>
                <a:endParaRPr lang="en-US"/>
              </a:p>
            </c:txPr>
            <c:dLblPos val="inBase"/>
            <c:showLegendKey val="0"/>
            <c:showVal val="1"/>
            <c:showCatName val="0"/>
            <c:showSerName val="0"/>
            <c:showPercent val="0"/>
            <c:showBubbleSize val="0"/>
            <c:showLeaderLines val="0"/>
          </c:dLbls>
          <c:cat>
            <c:strRef>
              <c:f>Pareto!$A$5:$A$14</c:f>
              <c:strCache>
                <c:ptCount val="4"/>
                <c:pt idx="0">
                  <c:v>Category A</c:v>
                </c:pt>
                <c:pt idx="1">
                  <c:v>Category B</c:v>
                </c:pt>
                <c:pt idx="2">
                  <c:v>Category C</c:v>
                </c:pt>
                <c:pt idx="3">
                  <c:v>Category D</c:v>
                </c:pt>
              </c:strCache>
            </c:strRef>
          </c:cat>
          <c:val>
            <c:numRef>
              <c:f>[0]!Rng_ParetoPercent</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0"/>
        <c:axId val="371382912"/>
        <c:axId val="371392896"/>
      </c:barChart>
      <c:lineChart>
        <c:grouping val="standard"/>
        <c:varyColors val="0"/>
        <c:ser>
          <c:idx val="0"/>
          <c:order val="0"/>
          <c:tx>
            <c:strRef>
              <c:f>Pareto!$E$4</c:f>
              <c:strCache>
                <c:ptCount val="1"/>
                <c:pt idx="0">
                  <c:v>Cumulative</c:v>
                </c:pt>
              </c:strCache>
            </c:strRef>
          </c:tx>
          <c:spPr>
            <a:ln w="19050">
              <a:solidFill>
                <a:schemeClr val="tx1"/>
              </a:solidFill>
            </a:ln>
          </c:spPr>
          <c:marker>
            <c:symbol val="none"/>
          </c:marker>
          <c:cat>
            <c:strRef>
              <c:f>Pareto!$A$5:$A$14</c:f>
              <c:strCache>
                <c:ptCount val="4"/>
                <c:pt idx="0">
                  <c:v>Category A</c:v>
                </c:pt>
                <c:pt idx="1">
                  <c:v>Category B</c:v>
                </c:pt>
                <c:pt idx="2">
                  <c:v>Category C</c:v>
                </c:pt>
                <c:pt idx="3">
                  <c:v>Category D</c:v>
                </c:pt>
              </c:strCache>
            </c:strRef>
          </c:cat>
          <c:val>
            <c:numRef>
              <c:f>[0]!Rng_ParetoCumulative</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marker val="1"/>
        <c:smooth val="0"/>
        <c:axId val="371382912"/>
        <c:axId val="371392896"/>
      </c:lineChart>
      <c:catAx>
        <c:axId val="371382912"/>
        <c:scaling>
          <c:orientation val="minMax"/>
        </c:scaling>
        <c:delete val="0"/>
        <c:axPos val="b"/>
        <c:numFmt formatCode="General" sourceLinked="1"/>
        <c:majorTickMark val="out"/>
        <c:minorTickMark val="none"/>
        <c:tickLblPos val="nextTo"/>
        <c:crossAx val="371392896"/>
        <c:crosses val="autoZero"/>
        <c:auto val="1"/>
        <c:lblAlgn val="ctr"/>
        <c:lblOffset val="100"/>
        <c:noMultiLvlLbl val="0"/>
      </c:catAx>
      <c:valAx>
        <c:axId val="371392896"/>
        <c:scaling>
          <c:orientation val="minMax"/>
          <c:max val="1"/>
          <c:min val="0"/>
        </c:scaling>
        <c:delete val="0"/>
        <c:axPos val="l"/>
        <c:numFmt formatCode="0%" sourceLinked="1"/>
        <c:majorTickMark val="out"/>
        <c:minorTickMark val="none"/>
        <c:tickLblPos val="nextTo"/>
        <c:crossAx val="371382912"/>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RunChart1!$F$4:$P$4</c:f>
          <c:strCache>
            <c:ptCount val="1"/>
            <c:pt idx="0">
              <c:v>Run Chart for Measure A</c:v>
            </c:pt>
          </c:strCache>
        </c:strRef>
      </c:tx>
      <c:layout/>
      <c:overlay val="0"/>
      <c:txPr>
        <a:bodyPr/>
        <a:lstStyle/>
        <a:p>
          <a:pPr>
            <a:defRPr sz="1600"/>
          </a:pPr>
          <a:endParaRPr lang="en-US"/>
        </a:p>
      </c:txPr>
    </c:title>
    <c:autoTitleDeleted val="0"/>
    <c:plotArea>
      <c:layout/>
      <c:lineChart>
        <c:grouping val="standard"/>
        <c:varyColors val="0"/>
        <c:ser>
          <c:idx val="0"/>
          <c:order val="0"/>
          <c:tx>
            <c:strRef>
              <c:f>RunChart1!$C$4</c:f>
              <c:strCache>
                <c:ptCount val="1"/>
                <c:pt idx="0">
                  <c:v>Median</c:v>
                </c:pt>
              </c:strCache>
            </c:strRef>
          </c:tx>
          <c:spPr>
            <a:ln w="19050">
              <a:solidFill>
                <a:schemeClr val="bg1">
                  <a:lumMod val="75000"/>
                </a:schemeClr>
              </a:solidFill>
            </a:ln>
          </c:spPr>
          <c:marker>
            <c:symbol val="none"/>
          </c:marker>
          <c:cat>
            <c:numRef>
              <c:f>RunChart1!$A$5:$A$40</c:f>
              <c:numCache>
                <c:formatCode>[$-409]d\-mmm\-yyyy;@</c:formatCode>
                <c:ptCount val="36"/>
              </c:numCache>
            </c:numRef>
          </c:cat>
          <c:val>
            <c:numRef>
              <c:f>RunChart1!$C$5:$C$40</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ser>
        <c:ser>
          <c:idx val="1"/>
          <c:order val="1"/>
          <c:tx>
            <c:strRef>
              <c:f>RunChart1!$B$4</c:f>
              <c:strCache>
                <c:ptCount val="1"/>
                <c:pt idx="0">
                  <c:v>Measure</c:v>
                </c:pt>
              </c:strCache>
            </c:strRef>
          </c:tx>
          <c:spPr>
            <a:ln w="19050">
              <a:solidFill>
                <a:schemeClr val="tx1"/>
              </a:solidFill>
            </a:ln>
          </c:spPr>
          <c:marker>
            <c:symbol val="circle"/>
            <c:size val="5"/>
            <c:spPr>
              <a:solidFill>
                <a:schemeClr val="tx1"/>
              </a:solidFill>
              <a:ln>
                <a:solidFill>
                  <a:schemeClr val="tx1"/>
                </a:solidFill>
              </a:ln>
            </c:spPr>
          </c:marker>
          <c:cat>
            <c:numRef>
              <c:f>RunChart1!$A$5:$A$40</c:f>
              <c:numCache>
                <c:formatCode>[$-409]d\-mmm\-yyyy;@</c:formatCode>
                <c:ptCount val="36"/>
              </c:numCache>
            </c:numRef>
          </c:cat>
          <c:val>
            <c:numRef>
              <c:f>RunChart1!$B$5:$B$40</c:f>
              <c:numCache>
                <c:formatCode>0</c:formatCode>
                <c:ptCount val="36"/>
              </c:numCache>
            </c:numRef>
          </c:val>
          <c:smooth val="0"/>
        </c:ser>
        <c:dLbls>
          <c:showLegendKey val="0"/>
          <c:showVal val="0"/>
          <c:showCatName val="0"/>
          <c:showSerName val="0"/>
          <c:showPercent val="0"/>
          <c:showBubbleSize val="0"/>
        </c:dLbls>
        <c:marker val="1"/>
        <c:smooth val="0"/>
        <c:axId val="370007040"/>
        <c:axId val="371541120"/>
      </c:lineChart>
      <c:catAx>
        <c:axId val="370007040"/>
        <c:scaling>
          <c:orientation val="minMax"/>
        </c:scaling>
        <c:delete val="0"/>
        <c:axPos val="b"/>
        <c:numFmt formatCode="[$-409]dd\-mmm\-yy;@" sourceLinked="0"/>
        <c:majorTickMark val="out"/>
        <c:minorTickMark val="none"/>
        <c:tickLblPos val="nextTo"/>
        <c:txPr>
          <a:bodyPr rot="0"/>
          <a:lstStyle/>
          <a:p>
            <a:pPr>
              <a:defRPr/>
            </a:pPr>
            <a:endParaRPr lang="en-US"/>
          </a:p>
        </c:txPr>
        <c:crossAx val="371541120"/>
        <c:crosses val="autoZero"/>
        <c:auto val="1"/>
        <c:lblAlgn val="ctr"/>
        <c:lblOffset val="100"/>
        <c:noMultiLvlLbl val="0"/>
      </c:catAx>
      <c:valAx>
        <c:axId val="371541120"/>
        <c:scaling>
          <c:orientation val="minMax"/>
        </c:scaling>
        <c:delete val="0"/>
        <c:axPos val="l"/>
        <c:numFmt formatCode="0" sourceLinked="1"/>
        <c:majorTickMark val="out"/>
        <c:minorTickMark val="none"/>
        <c:tickLblPos val="nextTo"/>
        <c:crossAx val="370007040"/>
        <c:crosses val="autoZero"/>
        <c:crossBetween val="between"/>
      </c:valAx>
    </c:plotArea>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RunChart2!$F$4:$P$4</c:f>
          <c:strCache>
            <c:ptCount val="1"/>
            <c:pt idx="0">
              <c:v>Run Chart for Measure B</c:v>
            </c:pt>
          </c:strCache>
        </c:strRef>
      </c:tx>
      <c:layout/>
      <c:overlay val="0"/>
      <c:txPr>
        <a:bodyPr/>
        <a:lstStyle/>
        <a:p>
          <a:pPr>
            <a:defRPr sz="1600"/>
          </a:pPr>
          <a:endParaRPr lang="en-US"/>
        </a:p>
      </c:txPr>
    </c:title>
    <c:autoTitleDeleted val="0"/>
    <c:plotArea>
      <c:layout/>
      <c:lineChart>
        <c:grouping val="standard"/>
        <c:varyColors val="0"/>
        <c:ser>
          <c:idx val="0"/>
          <c:order val="0"/>
          <c:tx>
            <c:strRef>
              <c:f>RunChart2!$C$4</c:f>
              <c:strCache>
                <c:ptCount val="1"/>
                <c:pt idx="0">
                  <c:v>Median</c:v>
                </c:pt>
              </c:strCache>
            </c:strRef>
          </c:tx>
          <c:spPr>
            <a:ln w="19050">
              <a:solidFill>
                <a:schemeClr val="bg1">
                  <a:lumMod val="75000"/>
                </a:schemeClr>
              </a:solidFill>
            </a:ln>
          </c:spPr>
          <c:marker>
            <c:symbol val="none"/>
          </c:marker>
          <c:cat>
            <c:numRef>
              <c:f>RunChart2!$A$5:$A$40</c:f>
              <c:numCache>
                <c:formatCode>[$-409]d\-mmm\-yyyy;@</c:formatCode>
                <c:ptCount val="36"/>
              </c:numCache>
            </c:numRef>
          </c:cat>
          <c:val>
            <c:numRef>
              <c:f>RunChart2!$C$5:$C$40</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ser>
        <c:ser>
          <c:idx val="1"/>
          <c:order val="1"/>
          <c:tx>
            <c:strRef>
              <c:f>RunChart2!$B$4</c:f>
              <c:strCache>
                <c:ptCount val="1"/>
                <c:pt idx="0">
                  <c:v>Measure</c:v>
                </c:pt>
              </c:strCache>
            </c:strRef>
          </c:tx>
          <c:spPr>
            <a:ln w="19050">
              <a:solidFill>
                <a:schemeClr val="tx1"/>
              </a:solidFill>
            </a:ln>
          </c:spPr>
          <c:marker>
            <c:symbol val="circle"/>
            <c:size val="5"/>
            <c:spPr>
              <a:solidFill>
                <a:schemeClr val="tx1"/>
              </a:solidFill>
              <a:ln>
                <a:solidFill>
                  <a:schemeClr val="tx1"/>
                </a:solidFill>
              </a:ln>
            </c:spPr>
          </c:marker>
          <c:cat>
            <c:numRef>
              <c:f>RunChart2!$A$5:$A$40</c:f>
              <c:numCache>
                <c:formatCode>[$-409]d\-mmm\-yyyy;@</c:formatCode>
                <c:ptCount val="36"/>
              </c:numCache>
            </c:numRef>
          </c:cat>
          <c:val>
            <c:numRef>
              <c:f>RunChart2!$B$5:$B$40</c:f>
              <c:numCache>
                <c:formatCode>0</c:formatCode>
                <c:ptCount val="36"/>
              </c:numCache>
            </c:numRef>
          </c:val>
          <c:smooth val="0"/>
        </c:ser>
        <c:dLbls>
          <c:showLegendKey val="0"/>
          <c:showVal val="0"/>
          <c:showCatName val="0"/>
          <c:showSerName val="0"/>
          <c:showPercent val="0"/>
          <c:showBubbleSize val="0"/>
        </c:dLbls>
        <c:marker val="1"/>
        <c:smooth val="0"/>
        <c:axId val="371700096"/>
        <c:axId val="371702016"/>
      </c:lineChart>
      <c:catAx>
        <c:axId val="371700096"/>
        <c:scaling>
          <c:orientation val="minMax"/>
        </c:scaling>
        <c:delete val="0"/>
        <c:axPos val="b"/>
        <c:numFmt formatCode="[$-409]dd\-mmm\-yy;@" sourceLinked="0"/>
        <c:majorTickMark val="out"/>
        <c:minorTickMark val="none"/>
        <c:tickLblPos val="nextTo"/>
        <c:txPr>
          <a:bodyPr rot="0"/>
          <a:lstStyle/>
          <a:p>
            <a:pPr>
              <a:defRPr/>
            </a:pPr>
            <a:endParaRPr lang="en-US"/>
          </a:p>
        </c:txPr>
        <c:crossAx val="371702016"/>
        <c:crosses val="autoZero"/>
        <c:auto val="1"/>
        <c:lblAlgn val="ctr"/>
        <c:lblOffset val="100"/>
        <c:noMultiLvlLbl val="0"/>
      </c:catAx>
      <c:valAx>
        <c:axId val="371702016"/>
        <c:scaling>
          <c:orientation val="minMax"/>
        </c:scaling>
        <c:delete val="0"/>
        <c:axPos val="l"/>
        <c:numFmt formatCode="0" sourceLinked="1"/>
        <c:majorTickMark val="out"/>
        <c:minorTickMark val="none"/>
        <c:tickLblPos val="nextTo"/>
        <c:crossAx val="371700096"/>
        <c:crosses val="autoZero"/>
        <c:crossBetween val="between"/>
      </c:valAx>
    </c:plotArea>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RunChart3!$F$4:$P$4</c:f>
          <c:strCache>
            <c:ptCount val="1"/>
            <c:pt idx="0">
              <c:v>Run Chart for Measure C</c:v>
            </c:pt>
          </c:strCache>
        </c:strRef>
      </c:tx>
      <c:layout/>
      <c:overlay val="0"/>
      <c:txPr>
        <a:bodyPr/>
        <a:lstStyle/>
        <a:p>
          <a:pPr>
            <a:defRPr sz="1600"/>
          </a:pPr>
          <a:endParaRPr lang="en-US"/>
        </a:p>
      </c:txPr>
    </c:title>
    <c:autoTitleDeleted val="0"/>
    <c:plotArea>
      <c:layout/>
      <c:lineChart>
        <c:grouping val="standard"/>
        <c:varyColors val="0"/>
        <c:ser>
          <c:idx val="0"/>
          <c:order val="0"/>
          <c:tx>
            <c:strRef>
              <c:f>RunChart3!$C$4</c:f>
              <c:strCache>
                <c:ptCount val="1"/>
                <c:pt idx="0">
                  <c:v>Median</c:v>
                </c:pt>
              </c:strCache>
            </c:strRef>
          </c:tx>
          <c:spPr>
            <a:ln w="19050">
              <a:solidFill>
                <a:schemeClr val="bg1">
                  <a:lumMod val="75000"/>
                </a:schemeClr>
              </a:solidFill>
            </a:ln>
          </c:spPr>
          <c:marker>
            <c:symbol val="none"/>
          </c:marker>
          <c:cat>
            <c:numRef>
              <c:f>RunChart3!$A$5:$A$40</c:f>
              <c:numCache>
                <c:formatCode>[$-409]d\-mmm\-yyyy;@</c:formatCode>
                <c:ptCount val="36"/>
              </c:numCache>
            </c:numRef>
          </c:cat>
          <c:val>
            <c:numRef>
              <c:f>RunChart3!$C$5:$C$40</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ser>
        <c:ser>
          <c:idx val="1"/>
          <c:order val="1"/>
          <c:tx>
            <c:strRef>
              <c:f>RunChart3!$B$4</c:f>
              <c:strCache>
                <c:ptCount val="1"/>
                <c:pt idx="0">
                  <c:v>Measure</c:v>
                </c:pt>
              </c:strCache>
            </c:strRef>
          </c:tx>
          <c:spPr>
            <a:ln w="19050">
              <a:solidFill>
                <a:schemeClr val="tx1"/>
              </a:solidFill>
            </a:ln>
          </c:spPr>
          <c:marker>
            <c:symbol val="circle"/>
            <c:size val="5"/>
            <c:spPr>
              <a:solidFill>
                <a:schemeClr val="tx1"/>
              </a:solidFill>
              <a:ln>
                <a:solidFill>
                  <a:schemeClr val="tx1"/>
                </a:solidFill>
              </a:ln>
            </c:spPr>
          </c:marker>
          <c:cat>
            <c:numRef>
              <c:f>RunChart3!$A$5:$A$40</c:f>
              <c:numCache>
                <c:formatCode>[$-409]d\-mmm\-yyyy;@</c:formatCode>
                <c:ptCount val="36"/>
              </c:numCache>
            </c:numRef>
          </c:cat>
          <c:val>
            <c:numRef>
              <c:f>RunChart3!$B$5:$B$40</c:f>
              <c:numCache>
                <c:formatCode>0</c:formatCode>
                <c:ptCount val="36"/>
              </c:numCache>
            </c:numRef>
          </c:val>
          <c:smooth val="0"/>
        </c:ser>
        <c:dLbls>
          <c:showLegendKey val="0"/>
          <c:showVal val="0"/>
          <c:showCatName val="0"/>
          <c:showSerName val="0"/>
          <c:showPercent val="0"/>
          <c:showBubbleSize val="0"/>
        </c:dLbls>
        <c:marker val="1"/>
        <c:smooth val="0"/>
        <c:axId val="372581888"/>
        <c:axId val="372583808"/>
      </c:lineChart>
      <c:catAx>
        <c:axId val="372581888"/>
        <c:scaling>
          <c:orientation val="minMax"/>
        </c:scaling>
        <c:delete val="0"/>
        <c:axPos val="b"/>
        <c:numFmt formatCode="[$-409]dd\-mmm\-yy;@" sourceLinked="0"/>
        <c:majorTickMark val="out"/>
        <c:minorTickMark val="none"/>
        <c:tickLblPos val="nextTo"/>
        <c:txPr>
          <a:bodyPr rot="0"/>
          <a:lstStyle/>
          <a:p>
            <a:pPr>
              <a:defRPr/>
            </a:pPr>
            <a:endParaRPr lang="en-US"/>
          </a:p>
        </c:txPr>
        <c:crossAx val="372583808"/>
        <c:crosses val="autoZero"/>
        <c:auto val="1"/>
        <c:lblAlgn val="ctr"/>
        <c:lblOffset val="100"/>
        <c:noMultiLvlLbl val="0"/>
      </c:catAx>
      <c:valAx>
        <c:axId val="372583808"/>
        <c:scaling>
          <c:orientation val="minMax"/>
        </c:scaling>
        <c:delete val="0"/>
        <c:axPos val="l"/>
        <c:numFmt formatCode="0" sourceLinked="1"/>
        <c:majorTickMark val="out"/>
        <c:minorTickMark val="none"/>
        <c:tickLblPos val="nextTo"/>
        <c:crossAx val="372581888"/>
        <c:crosses val="autoZero"/>
        <c:crossBetween val="between"/>
      </c:valAx>
    </c:plotArea>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RunChart4!$F$4:$P$4</c:f>
          <c:strCache>
            <c:ptCount val="1"/>
            <c:pt idx="0">
              <c:v>Run Chart for Measure D</c:v>
            </c:pt>
          </c:strCache>
        </c:strRef>
      </c:tx>
      <c:layout/>
      <c:overlay val="0"/>
      <c:txPr>
        <a:bodyPr/>
        <a:lstStyle/>
        <a:p>
          <a:pPr>
            <a:defRPr sz="1600"/>
          </a:pPr>
          <a:endParaRPr lang="en-US"/>
        </a:p>
      </c:txPr>
    </c:title>
    <c:autoTitleDeleted val="0"/>
    <c:plotArea>
      <c:layout/>
      <c:lineChart>
        <c:grouping val="standard"/>
        <c:varyColors val="0"/>
        <c:ser>
          <c:idx val="0"/>
          <c:order val="0"/>
          <c:tx>
            <c:strRef>
              <c:f>RunChart4!$C$4</c:f>
              <c:strCache>
                <c:ptCount val="1"/>
                <c:pt idx="0">
                  <c:v>Median</c:v>
                </c:pt>
              </c:strCache>
            </c:strRef>
          </c:tx>
          <c:spPr>
            <a:ln w="19050">
              <a:solidFill>
                <a:schemeClr val="bg1">
                  <a:lumMod val="75000"/>
                </a:schemeClr>
              </a:solidFill>
            </a:ln>
          </c:spPr>
          <c:marker>
            <c:symbol val="none"/>
          </c:marker>
          <c:cat>
            <c:numRef>
              <c:f>RunChart4!$A$5:$A$40</c:f>
              <c:numCache>
                <c:formatCode>[$-409]d\-mmm\-yyyy;@</c:formatCode>
                <c:ptCount val="36"/>
              </c:numCache>
            </c:numRef>
          </c:cat>
          <c:val>
            <c:numRef>
              <c:f>RunChart4!$C$5:$C$40</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ser>
        <c:ser>
          <c:idx val="1"/>
          <c:order val="1"/>
          <c:tx>
            <c:strRef>
              <c:f>RunChart4!$B$4</c:f>
              <c:strCache>
                <c:ptCount val="1"/>
                <c:pt idx="0">
                  <c:v>Measure</c:v>
                </c:pt>
              </c:strCache>
            </c:strRef>
          </c:tx>
          <c:spPr>
            <a:ln w="19050">
              <a:solidFill>
                <a:schemeClr val="tx1"/>
              </a:solidFill>
            </a:ln>
          </c:spPr>
          <c:marker>
            <c:symbol val="circle"/>
            <c:size val="5"/>
            <c:spPr>
              <a:solidFill>
                <a:schemeClr val="tx1"/>
              </a:solidFill>
              <a:ln>
                <a:solidFill>
                  <a:schemeClr val="tx1"/>
                </a:solidFill>
              </a:ln>
            </c:spPr>
          </c:marker>
          <c:cat>
            <c:numRef>
              <c:f>RunChart4!$A$5:$A$40</c:f>
              <c:numCache>
                <c:formatCode>[$-409]d\-mmm\-yyyy;@</c:formatCode>
                <c:ptCount val="36"/>
              </c:numCache>
            </c:numRef>
          </c:cat>
          <c:val>
            <c:numRef>
              <c:f>RunChart4!$B$5:$B$40</c:f>
              <c:numCache>
                <c:formatCode>0</c:formatCode>
                <c:ptCount val="36"/>
              </c:numCache>
            </c:numRef>
          </c:val>
          <c:smooth val="0"/>
        </c:ser>
        <c:dLbls>
          <c:showLegendKey val="0"/>
          <c:showVal val="0"/>
          <c:showCatName val="0"/>
          <c:showSerName val="0"/>
          <c:showPercent val="0"/>
          <c:showBubbleSize val="0"/>
        </c:dLbls>
        <c:marker val="1"/>
        <c:smooth val="0"/>
        <c:axId val="372316800"/>
        <c:axId val="372335360"/>
      </c:lineChart>
      <c:catAx>
        <c:axId val="372316800"/>
        <c:scaling>
          <c:orientation val="minMax"/>
        </c:scaling>
        <c:delete val="0"/>
        <c:axPos val="b"/>
        <c:numFmt formatCode="[$-409]dd\-mmm\-yy;@" sourceLinked="0"/>
        <c:majorTickMark val="out"/>
        <c:minorTickMark val="none"/>
        <c:tickLblPos val="nextTo"/>
        <c:crossAx val="372335360"/>
        <c:crosses val="autoZero"/>
        <c:auto val="1"/>
        <c:lblAlgn val="ctr"/>
        <c:lblOffset val="100"/>
        <c:noMultiLvlLbl val="0"/>
      </c:catAx>
      <c:valAx>
        <c:axId val="372335360"/>
        <c:scaling>
          <c:orientation val="minMax"/>
        </c:scaling>
        <c:delete val="0"/>
        <c:axPos val="l"/>
        <c:numFmt formatCode="0" sourceLinked="1"/>
        <c:majorTickMark val="out"/>
        <c:minorTickMark val="none"/>
        <c:tickLblPos val="nextTo"/>
        <c:crossAx val="372316800"/>
        <c:crosses val="autoZero"/>
        <c:crossBetween val="between"/>
      </c:valAx>
    </c:plotArea>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rgbClr val="404041"/>
                </a:solidFill>
                <a:latin typeface="Calibri" pitchFamily="34" charset="0"/>
              </a:defRPr>
            </a:pPr>
            <a:r>
              <a:rPr lang="en-CA" sz="1400" b="1">
                <a:solidFill>
                  <a:srgbClr val="404041"/>
                </a:solidFill>
                <a:latin typeface="Calibri" pitchFamily="34" charset="0"/>
              </a:rPr>
              <a:t>Rule 1. Shift</a:t>
            </a:r>
          </a:p>
        </c:rich>
      </c:tx>
      <c:layout/>
      <c:overlay val="0"/>
    </c:title>
    <c:autoTitleDeleted val="0"/>
    <c:plotArea>
      <c:layout>
        <c:manualLayout>
          <c:layoutTarget val="inner"/>
          <c:xMode val="edge"/>
          <c:yMode val="edge"/>
          <c:x val="6.4718323253071627E-2"/>
          <c:y val="0.14805211848518934"/>
          <c:w val="0.90610293278557574"/>
          <c:h val="0.7419163750364538"/>
        </c:manualLayout>
      </c:layout>
      <c:lineChart>
        <c:grouping val="standard"/>
        <c:varyColors val="0"/>
        <c:ser>
          <c:idx val="0"/>
          <c:order val="0"/>
          <c:tx>
            <c:v>Measure</c:v>
          </c:tx>
          <c:spPr>
            <a:ln w="25400">
              <a:solidFill>
                <a:srgbClr val="0070C0"/>
              </a:solidFill>
              <a:prstDash val="solid"/>
            </a:ln>
          </c:spPr>
          <c:marker>
            <c:symbol val="circle"/>
            <c:size val="6"/>
            <c:spPr>
              <a:solidFill>
                <a:srgbClr val="0070C0"/>
              </a:solidFill>
              <a:ln>
                <a:solidFill>
                  <a:srgbClr val="0070C0"/>
                </a:solidFill>
                <a:prstDash val="solid"/>
              </a:ln>
            </c:spPr>
          </c:marker>
          <c:cat>
            <c:numLit>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Lit>
          </c:cat>
          <c:val>
            <c:numLit>
              <c:formatCode>General</c:formatCode>
              <c:ptCount val="25"/>
              <c:pt idx="0">
                <c:v>12</c:v>
              </c:pt>
              <c:pt idx="1">
                <c:v>9</c:v>
              </c:pt>
              <c:pt idx="2">
                <c:v>13</c:v>
              </c:pt>
              <c:pt idx="3">
                <c:v>18</c:v>
              </c:pt>
              <c:pt idx="4">
                <c:v>20</c:v>
              </c:pt>
              <c:pt idx="5">
                <c:v>16</c:v>
              </c:pt>
              <c:pt idx="6">
                <c:v>12</c:v>
              </c:pt>
              <c:pt idx="7">
                <c:v>16</c:v>
              </c:pt>
              <c:pt idx="8">
                <c:v>13</c:v>
              </c:pt>
              <c:pt idx="9">
                <c:v>18</c:v>
              </c:pt>
              <c:pt idx="10">
                <c:v>10</c:v>
              </c:pt>
              <c:pt idx="11">
                <c:v>9</c:v>
              </c:pt>
              <c:pt idx="12">
                <c:v>11</c:v>
              </c:pt>
              <c:pt idx="13">
                <c:v>9</c:v>
              </c:pt>
              <c:pt idx="14">
                <c:v>12</c:v>
              </c:pt>
              <c:pt idx="15">
                <c:v>11</c:v>
              </c:pt>
              <c:pt idx="16">
                <c:v>5</c:v>
              </c:pt>
              <c:pt idx="17">
                <c:v>6</c:v>
              </c:pt>
              <c:pt idx="18">
                <c:v>7</c:v>
              </c:pt>
              <c:pt idx="19">
                <c:v>5</c:v>
              </c:pt>
              <c:pt idx="20">
                <c:v>6</c:v>
              </c:pt>
              <c:pt idx="21">
                <c:v>7</c:v>
              </c:pt>
              <c:pt idx="22">
                <c:v>4</c:v>
              </c:pt>
              <c:pt idx="23">
                <c:v>5</c:v>
              </c:pt>
              <c:pt idx="24">
                <c:v>12</c:v>
              </c:pt>
            </c:numLit>
          </c:val>
          <c:smooth val="0"/>
        </c:ser>
        <c:ser>
          <c:idx val="1"/>
          <c:order val="1"/>
          <c:tx>
            <c:v>Median</c:v>
          </c:tx>
          <c:spPr>
            <a:ln w="25400">
              <a:solidFill>
                <a:schemeClr val="bg1">
                  <a:lumMod val="50000"/>
                </a:schemeClr>
              </a:solidFill>
            </a:ln>
          </c:spPr>
          <c:marker>
            <c:symbol val="none"/>
          </c:marker>
          <c:val>
            <c:numLit>
              <c:formatCode>General</c:formatCode>
              <c:ptCount val="25"/>
              <c:pt idx="0">
                <c:v>11</c:v>
              </c:pt>
              <c:pt idx="1">
                <c:v>11</c:v>
              </c:pt>
              <c:pt idx="2">
                <c:v>11</c:v>
              </c:pt>
              <c:pt idx="3">
                <c:v>11</c:v>
              </c:pt>
              <c:pt idx="4">
                <c:v>11</c:v>
              </c:pt>
              <c:pt idx="5">
                <c:v>11</c:v>
              </c:pt>
              <c:pt idx="6">
                <c:v>11</c:v>
              </c:pt>
              <c:pt idx="7">
                <c:v>11</c:v>
              </c:pt>
              <c:pt idx="8">
                <c:v>11</c:v>
              </c:pt>
              <c:pt idx="9">
                <c:v>11</c:v>
              </c:pt>
              <c:pt idx="10">
                <c:v>11</c:v>
              </c:pt>
              <c:pt idx="11">
                <c:v>11</c:v>
              </c:pt>
              <c:pt idx="12">
                <c:v>11</c:v>
              </c:pt>
              <c:pt idx="13">
                <c:v>11</c:v>
              </c:pt>
              <c:pt idx="14">
                <c:v>11</c:v>
              </c:pt>
              <c:pt idx="15">
                <c:v>11</c:v>
              </c:pt>
              <c:pt idx="16">
                <c:v>11</c:v>
              </c:pt>
              <c:pt idx="17">
                <c:v>11</c:v>
              </c:pt>
              <c:pt idx="18">
                <c:v>11</c:v>
              </c:pt>
              <c:pt idx="19">
                <c:v>11</c:v>
              </c:pt>
              <c:pt idx="20">
                <c:v>11</c:v>
              </c:pt>
              <c:pt idx="21">
                <c:v>11</c:v>
              </c:pt>
              <c:pt idx="22">
                <c:v>11</c:v>
              </c:pt>
              <c:pt idx="23">
                <c:v>11</c:v>
              </c:pt>
              <c:pt idx="24">
                <c:v>11</c:v>
              </c:pt>
            </c:numLit>
          </c:val>
          <c:smooth val="0"/>
        </c:ser>
        <c:dLbls>
          <c:showLegendKey val="0"/>
          <c:showVal val="0"/>
          <c:showCatName val="0"/>
          <c:showSerName val="0"/>
          <c:showPercent val="0"/>
          <c:showBubbleSize val="0"/>
        </c:dLbls>
        <c:marker val="1"/>
        <c:smooth val="0"/>
        <c:axId val="372448640"/>
        <c:axId val="372475008"/>
      </c:lineChart>
      <c:catAx>
        <c:axId val="372448640"/>
        <c:scaling>
          <c:orientation val="minMax"/>
        </c:scaling>
        <c:delete val="0"/>
        <c:axPos val="b"/>
        <c:numFmt formatCode="General" sourceLinked="1"/>
        <c:majorTickMark val="out"/>
        <c:minorTickMark val="none"/>
        <c:tickLblPos val="nextTo"/>
        <c:spPr>
          <a:ln w="25400">
            <a:solidFill>
              <a:srgbClr val="404041"/>
            </a:solidFill>
            <a:prstDash val="solid"/>
          </a:ln>
        </c:spPr>
        <c:txPr>
          <a:bodyPr rot="0" vert="horz"/>
          <a:lstStyle/>
          <a:p>
            <a:pPr>
              <a:defRPr sz="1200" b="0" i="0" u="none" strike="noStrike" baseline="0">
                <a:solidFill>
                  <a:srgbClr val="404041"/>
                </a:solidFill>
                <a:latin typeface="Calibri" pitchFamily="34" charset="0"/>
                <a:ea typeface="Arial"/>
                <a:cs typeface="Arial"/>
              </a:defRPr>
            </a:pPr>
            <a:endParaRPr lang="en-US"/>
          </a:p>
        </c:txPr>
        <c:crossAx val="372475008"/>
        <c:crosses val="autoZero"/>
        <c:auto val="1"/>
        <c:lblAlgn val="ctr"/>
        <c:lblOffset val="100"/>
        <c:tickLblSkip val="2"/>
        <c:tickMarkSkip val="1"/>
        <c:noMultiLvlLbl val="0"/>
      </c:catAx>
      <c:valAx>
        <c:axId val="372475008"/>
        <c:scaling>
          <c:orientation val="minMax"/>
          <c:max val="25"/>
        </c:scaling>
        <c:delete val="0"/>
        <c:axPos val="l"/>
        <c:numFmt formatCode="General" sourceLinked="1"/>
        <c:majorTickMark val="out"/>
        <c:minorTickMark val="none"/>
        <c:tickLblPos val="nextTo"/>
        <c:spPr>
          <a:ln w="25400">
            <a:solidFill>
              <a:srgbClr val="404041"/>
            </a:solidFill>
            <a:prstDash val="solid"/>
          </a:ln>
        </c:spPr>
        <c:txPr>
          <a:bodyPr rot="0" vert="horz"/>
          <a:lstStyle/>
          <a:p>
            <a:pPr>
              <a:defRPr sz="1200" b="0" i="0" u="none" strike="noStrike" baseline="0">
                <a:solidFill>
                  <a:srgbClr val="404041"/>
                </a:solidFill>
                <a:latin typeface="Calibri" pitchFamily="34" charset="0"/>
                <a:ea typeface="Arial"/>
                <a:cs typeface="Arial"/>
              </a:defRPr>
            </a:pPr>
            <a:endParaRPr lang="en-US"/>
          </a:p>
        </c:txPr>
        <c:crossAx val="372448640"/>
        <c:crosses val="autoZero"/>
        <c:crossBetween val="midCat"/>
      </c:valAx>
      <c:spPr>
        <a:solidFill>
          <a:schemeClr val="bg1"/>
        </a:solidFill>
        <a:ln w="12700">
          <a:noFill/>
          <a:prstDash val="solid"/>
        </a:ln>
      </c:spPr>
    </c:plotArea>
    <c:plotVisOnly val="1"/>
    <c:dispBlanksAs val="gap"/>
    <c:showDLblsOverMax val="0"/>
  </c:chart>
  <c:spPr>
    <a:solidFill>
      <a:srgbClr val="FFFFFF"/>
    </a:solidFill>
    <a:ln w="25400">
      <a:solidFill>
        <a:schemeClr val="tx1"/>
      </a:solidFill>
      <a:prstDash val="solid"/>
      <a:miter lim="800000"/>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rgbClr val="404041"/>
                </a:solidFill>
                <a:latin typeface="Calibri" pitchFamily="34" charset="0"/>
              </a:defRPr>
            </a:pPr>
            <a:r>
              <a:rPr lang="en-CA" sz="1400" b="1">
                <a:solidFill>
                  <a:srgbClr val="404041"/>
                </a:solidFill>
                <a:latin typeface="Calibri" pitchFamily="34" charset="0"/>
              </a:rPr>
              <a:t>Rule 2. Trend</a:t>
            </a:r>
          </a:p>
        </c:rich>
      </c:tx>
      <c:layout/>
      <c:overlay val="0"/>
    </c:title>
    <c:autoTitleDeleted val="0"/>
    <c:plotArea>
      <c:layout>
        <c:manualLayout>
          <c:layoutTarget val="inner"/>
          <c:xMode val="edge"/>
          <c:yMode val="edge"/>
          <c:x val="6.4718323253071627E-2"/>
          <c:y val="0.14805211848518934"/>
          <c:w val="0.90610293278557574"/>
          <c:h val="0.7419163750364538"/>
        </c:manualLayout>
      </c:layout>
      <c:lineChart>
        <c:grouping val="standard"/>
        <c:varyColors val="0"/>
        <c:ser>
          <c:idx val="0"/>
          <c:order val="0"/>
          <c:tx>
            <c:v>Measure</c:v>
          </c:tx>
          <c:spPr>
            <a:ln w="25400">
              <a:solidFill>
                <a:srgbClr val="0070C0"/>
              </a:solidFill>
              <a:prstDash val="solid"/>
            </a:ln>
          </c:spPr>
          <c:marker>
            <c:symbol val="circle"/>
            <c:size val="6"/>
            <c:spPr>
              <a:solidFill>
                <a:srgbClr val="0070C0"/>
              </a:solidFill>
              <a:ln>
                <a:solidFill>
                  <a:srgbClr val="0070C0"/>
                </a:solidFill>
                <a:prstDash val="solid"/>
              </a:ln>
            </c:spPr>
          </c:marker>
          <c:cat>
            <c:numLit>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Lit>
          </c:cat>
          <c:val>
            <c:numLit>
              <c:formatCode>General</c:formatCode>
              <c:ptCount val="25"/>
              <c:pt idx="0">
                <c:v>12</c:v>
              </c:pt>
              <c:pt idx="1">
                <c:v>10</c:v>
              </c:pt>
              <c:pt idx="2">
                <c:v>13</c:v>
              </c:pt>
              <c:pt idx="3">
                <c:v>14</c:v>
              </c:pt>
              <c:pt idx="4">
                <c:v>15</c:v>
              </c:pt>
              <c:pt idx="5">
                <c:v>15</c:v>
              </c:pt>
              <c:pt idx="6">
                <c:v>16</c:v>
              </c:pt>
              <c:pt idx="7">
                <c:v>18</c:v>
              </c:pt>
              <c:pt idx="8">
                <c:v>18</c:v>
              </c:pt>
              <c:pt idx="9">
                <c:v>6</c:v>
              </c:pt>
              <c:pt idx="10">
                <c:v>10</c:v>
              </c:pt>
              <c:pt idx="11">
                <c:v>9</c:v>
              </c:pt>
              <c:pt idx="12">
                <c:v>11</c:v>
              </c:pt>
              <c:pt idx="13">
                <c:v>10</c:v>
              </c:pt>
              <c:pt idx="14">
                <c:v>11</c:v>
              </c:pt>
              <c:pt idx="15">
                <c:v>11</c:v>
              </c:pt>
              <c:pt idx="16">
                <c:v>7</c:v>
              </c:pt>
              <c:pt idx="17">
                <c:v>12</c:v>
              </c:pt>
              <c:pt idx="18">
                <c:v>8</c:v>
              </c:pt>
              <c:pt idx="19">
                <c:v>7</c:v>
              </c:pt>
              <c:pt idx="20">
                <c:v>6</c:v>
              </c:pt>
              <c:pt idx="21">
                <c:v>6</c:v>
              </c:pt>
              <c:pt idx="22">
                <c:v>5</c:v>
              </c:pt>
              <c:pt idx="23">
                <c:v>10</c:v>
              </c:pt>
              <c:pt idx="24">
                <c:v>12</c:v>
              </c:pt>
            </c:numLit>
          </c:val>
          <c:smooth val="0"/>
        </c:ser>
        <c:ser>
          <c:idx val="1"/>
          <c:order val="1"/>
          <c:spPr>
            <a:ln w="25400">
              <a:solidFill>
                <a:schemeClr val="bg1">
                  <a:lumMod val="50000"/>
                </a:schemeClr>
              </a:solidFill>
            </a:ln>
          </c:spPr>
          <c:marker>
            <c:symbol val="none"/>
          </c:marker>
          <c:val>
            <c:numLit>
              <c:formatCode>General</c:formatCode>
              <c:ptCount val="25"/>
              <c:pt idx="0">
                <c:v>11</c:v>
              </c:pt>
              <c:pt idx="1">
                <c:v>11</c:v>
              </c:pt>
              <c:pt idx="2">
                <c:v>11</c:v>
              </c:pt>
              <c:pt idx="3">
                <c:v>11</c:v>
              </c:pt>
              <c:pt idx="4">
                <c:v>11</c:v>
              </c:pt>
              <c:pt idx="5">
                <c:v>11</c:v>
              </c:pt>
              <c:pt idx="6">
                <c:v>11</c:v>
              </c:pt>
              <c:pt idx="7">
                <c:v>11</c:v>
              </c:pt>
              <c:pt idx="8">
                <c:v>11</c:v>
              </c:pt>
              <c:pt idx="9">
                <c:v>11</c:v>
              </c:pt>
              <c:pt idx="10">
                <c:v>11</c:v>
              </c:pt>
              <c:pt idx="11">
                <c:v>11</c:v>
              </c:pt>
              <c:pt idx="12">
                <c:v>11</c:v>
              </c:pt>
              <c:pt idx="13">
                <c:v>11</c:v>
              </c:pt>
              <c:pt idx="14">
                <c:v>11</c:v>
              </c:pt>
              <c:pt idx="15">
                <c:v>11</c:v>
              </c:pt>
              <c:pt idx="16">
                <c:v>11</c:v>
              </c:pt>
              <c:pt idx="17">
                <c:v>11</c:v>
              </c:pt>
              <c:pt idx="18">
                <c:v>11</c:v>
              </c:pt>
              <c:pt idx="19">
                <c:v>11</c:v>
              </c:pt>
              <c:pt idx="20">
                <c:v>11</c:v>
              </c:pt>
              <c:pt idx="21">
                <c:v>11</c:v>
              </c:pt>
              <c:pt idx="22">
                <c:v>11</c:v>
              </c:pt>
              <c:pt idx="23">
                <c:v>11</c:v>
              </c:pt>
              <c:pt idx="24">
                <c:v>11</c:v>
              </c:pt>
            </c:numLit>
          </c:val>
          <c:smooth val="0"/>
        </c:ser>
        <c:dLbls>
          <c:showLegendKey val="0"/>
          <c:showVal val="0"/>
          <c:showCatName val="0"/>
          <c:showSerName val="0"/>
          <c:showPercent val="0"/>
          <c:showBubbleSize val="0"/>
        </c:dLbls>
        <c:marker val="1"/>
        <c:smooth val="0"/>
        <c:axId val="372499968"/>
        <c:axId val="372501504"/>
      </c:lineChart>
      <c:catAx>
        <c:axId val="372499968"/>
        <c:scaling>
          <c:orientation val="minMax"/>
        </c:scaling>
        <c:delete val="0"/>
        <c:axPos val="b"/>
        <c:numFmt formatCode="General" sourceLinked="1"/>
        <c:majorTickMark val="out"/>
        <c:minorTickMark val="none"/>
        <c:tickLblPos val="nextTo"/>
        <c:spPr>
          <a:ln w="25400">
            <a:solidFill>
              <a:srgbClr val="404041"/>
            </a:solidFill>
            <a:prstDash val="solid"/>
          </a:ln>
        </c:spPr>
        <c:txPr>
          <a:bodyPr rot="0" vert="horz"/>
          <a:lstStyle/>
          <a:p>
            <a:pPr>
              <a:defRPr sz="1200" b="0" i="0" u="none" strike="noStrike" baseline="0">
                <a:solidFill>
                  <a:srgbClr val="404041"/>
                </a:solidFill>
                <a:latin typeface="Calibri" pitchFamily="34" charset="0"/>
                <a:ea typeface="Arial"/>
                <a:cs typeface="Arial"/>
              </a:defRPr>
            </a:pPr>
            <a:endParaRPr lang="en-US"/>
          </a:p>
        </c:txPr>
        <c:crossAx val="372501504"/>
        <c:crosses val="autoZero"/>
        <c:auto val="1"/>
        <c:lblAlgn val="ctr"/>
        <c:lblOffset val="100"/>
        <c:tickLblSkip val="2"/>
        <c:tickMarkSkip val="1"/>
        <c:noMultiLvlLbl val="0"/>
      </c:catAx>
      <c:valAx>
        <c:axId val="372501504"/>
        <c:scaling>
          <c:orientation val="minMax"/>
          <c:max val="25"/>
        </c:scaling>
        <c:delete val="0"/>
        <c:axPos val="l"/>
        <c:numFmt formatCode="General" sourceLinked="1"/>
        <c:majorTickMark val="out"/>
        <c:minorTickMark val="none"/>
        <c:tickLblPos val="nextTo"/>
        <c:spPr>
          <a:ln w="25400">
            <a:solidFill>
              <a:srgbClr val="404041"/>
            </a:solidFill>
            <a:prstDash val="solid"/>
          </a:ln>
        </c:spPr>
        <c:txPr>
          <a:bodyPr rot="0" vert="horz"/>
          <a:lstStyle/>
          <a:p>
            <a:pPr>
              <a:defRPr sz="1200" b="0" i="0" u="none" strike="noStrike" baseline="0">
                <a:solidFill>
                  <a:srgbClr val="404041"/>
                </a:solidFill>
                <a:latin typeface="Calibri" pitchFamily="34" charset="0"/>
                <a:ea typeface="Arial"/>
                <a:cs typeface="Arial"/>
              </a:defRPr>
            </a:pPr>
            <a:endParaRPr lang="en-US"/>
          </a:p>
        </c:txPr>
        <c:crossAx val="372499968"/>
        <c:crosses val="autoZero"/>
        <c:crossBetween val="midCat"/>
      </c:valAx>
      <c:spPr>
        <a:solidFill>
          <a:schemeClr val="bg1"/>
        </a:solidFill>
        <a:ln w="12700">
          <a:noFill/>
          <a:prstDash val="solid"/>
        </a:ln>
      </c:spPr>
    </c:plotArea>
    <c:plotVisOnly val="1"/>
    <c:dispBlanksAs val="gap"/>
    <c:showDLblsOverMax val="0"/>
  </c:chart>
  <c:spPr>
    <a:solidFill>
      <a:srgbClr val="FFFFFF"/>
    </a:solidFill>
    <a:ln w="25400">
      <a:solidFill>
        <a:schemeClr val="tx1"/>
      </a:solidFill>
      <a:prstDash val="solid"/>
      <a:miter lim="800000"/>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rgbClr val="404041"/>
                </a:solidFill>
                <a:latin typeface="Calibri" pitchFamily="34" charset="0"/>
              </a:defRPr>
            </a:pPr>
            <a:r>
              <a:rPr lang="en-CA" sz="1400" b="1">
                <a:solidFill>
                  <a:srgbClr val="404041"/>
                </a:solidFill>
                <a:latin typeface="Calibri" pitchFamily="34" charset="0"/>
              </a:rPr>
              <a:t>Rule 3. Runs</a:t>
            </a:r>
          </a:p>
        </c:rich>
      </c:tx>
      <c:overlay val="0"/>
    </c:title>
    <c:autoTitleDeleted val="0"/>
    <c:plotArea>
      <c:layout>
        <c:manualLayout>
          <c:layoutTarget val="inner"/>
          <c:xMode val="edge"/>
          <c:yMode val="edge"/>
          <c:x val="6.4718323253071627E-2"/>
          <c:y val="0.14805211848518934"/>
          <c:w val="0.90610293278557574"/>
          <c:h val="0.7419163750364538"/>
        </c:manualLayout>
      </c:layout>
      <c:lineChart>
        <c:grouping val="standard"/>
        <c:varyColors val="0"/>
        <c:ser>
          <c:idx val="0"/>
          <c:order val="0"/>
          <c:tx>
            <c:v>Measure</c:v>
          </c:tx>
          <c:spPr>
            <a:ln w="25400">
              <a:solidFill>
                <a:srgbClr val="0070C0"/>
              </a:solidFill>
              <a:prstDash val="solid"/>
            </a:ln>
          </c:spPr>
          <c:marker>
            <c:symbol val="circle"/>
            <c:size val="6"/>
            <c:spPr>
              <a:solidFill>
                <a:srgbClr val="0070C0"/>
              </a:solidFill>
              <a:ln>
                <a:solidFill>
                  <a:srgbClr val="0070C0"/>
                </a:solidFill>
                <a:prstDash val="solid"/>
              </a:ln>
            </c:spPr>
          </c:marker>
          <c:cat>
            <c:numLit>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Lit>
          </c:cat>
          <c:val>
            <c:numLit>
              <c:formatCode>General</c:formatCode>
              <c:ptCount val="25"/>
              <c:pt idx="0">
                <c:v>5</c:v>
              </c:pt>
              <c:pt idx="1">
                <c:v>6</c:v>
              </c:pt>
              <c:pt idx="2">
                <c:v>5</c:v>
              </c:pt>
              <c:pt idx="3">
                <c:v>7</c:v>
              </c:pt>
              <c:pt idx="4">
                <c:v>8</c:v>
              </c:pt>
              <c:pt idx="5">
                <c:v>4</c:v>
              </c:pt>
              <c:pt idx="6">
                <c:v>5</c:v>
              </c:pt>
              <c:pt idx="7">
                <c:v>6</c:v>
              </c:pt>
              <c:pt idx="8">
                <c:v>8</c:v>
              </c:pt>
              <c:pt idx="9">
                <c:v>7</c:v>
              </c:pt>
              <c:pt idx="10">
                <c:v>8</c:v>
              </c:pt>
              <c:pt idx="11">
                <c:v>8</c:v>
              </c:pt>
              <c:pt idx="12">
                <c:v>11</c:v>
              </c:pt>
              <c:pt idx="13">
                <c:v>16</c:v>
              </c:pt>
              <c:pt idx="14">
                <c:v>13</c:v>
              </c:pt>
              <c:pt idx="15">
                <c:v>13</c:v>
              </c:pt>
              <c:pt idx="16">
                <c:v>12</c:v>
              </c:pt>
              <c:pt idx="17">
                <c:v>12</c:v>
              </c:pt>
              <c:pt idx="18">
                <c:v>14</c:v>
              </c:pt>
              <c:pt idx="19">
                <c:v>18</c:v>
              </c:pt>
              <c:pt idx="20">
                <c:v>14</c:v>
              </c:pt>
              <c:pt idx="21">
                <c:v>14</c:v>
              </c:pt>
              <c:pt idx="22">
                <c:v>13</c:v>
              </c:pt>
              <c:pt idx="23">
                <c:v>17</c:v>
              </c:pt>
              <c:pt idx="24">
                <c:v>16</c:v>
              </c:pt>
            </c:numLit>
          </c:val>
          <c:smooth val="0"/>
        </c:ser>
        <c:ser>
          <c:idx val="1"/>
          <c:order val="1"/>
          <c:spPr>
            <a:ln w="25400">
              <a:solidFill>
                <a:schemeClr val="bg1">
                  <a:lumMod val="50000"/>
                </a:schemeClr>
              </a:solidFill>
            </a:ln>
          </c:spPr>
          <c:marker>
            <c:symbol val="none"/>
          </c:marker>
          <c:val>
            <c:numLit>
              <c:formatCode>General</c:formatCode>
              <c:ptCount val="25"/>
              <c:pt idx="0">
                <c:v>11</c:v>
              </c:pt>
              <c:pt idx="1">
                <c:v>11</c:v>
              </c:pt>
              <c:pt idx="2">
                <c:v>11</c:v>
              </c:pt>
              <c:pt idx="3">
                <c:v>11</c:v>
              </c:pt>
              <c:pt idx="4">
                <c:v>11</c:v>
              </c:pt>
              <c:pt idx="5">
                <c:v>11</c:v>
              </c:pt>
              <c:pt idx="6">
                <c:v>11</c:v>
              </c:pt>
              <c:pt idx="7">
                <c:v>11</c:v>
              </c:pt>
              <c:pt idx="8">
                <c:v>11</c:v>
              </c:pt>
              <c:pt idx="9">
                <c:v>11</c:v>
              </c:pt>
              <c:pt idx="10">
                <c:v>11</c:v>
              </c:pt>
              <c:pt idx="11">
                <c:v>11</c:v>
              </c:pt>
              <c:pt idx="12">
                <c:v>11</c:v>
              </c:pt>
              <c:pt idx="13">
                <c:v>11</c:v>
              </c:pt>
              <c:pt idx="14">
                <c:v>11</c:v>
              </c:pt>
              <c:pt idx="15">
                <c:v>11</c:v>
              </c:pt>
              <c:pt idx="16">
                <c:v>11</c:v>
              </c:pt>
              <c:pt idx="17">
                <c:v>11</c:v>
              </c:pt>
              <c:pt idx="18">
                <c:v>11</c:v>
              </c:pt>
              <c:pt idx="19">
                <c:v>11</c:v>
              </c:pt>
              <c:pt idx="20">
                <c:v>11</c:v>
              </c:pt>
              <c:pt idx="21">
                <c:v>11</c:v>
              </c:pt>
              <c:pt idx="22">
                <c:v>11</c:v>
              </c:pt>
              <c:pt idx="23">
                <c:v>11</c:v>
              </c:pt>
              <c:pt idx="24">
                <c:v>11</c:v>
              </c:pt>
            </c:numLit>
          </c:val>
          <c:smooth val="0"/>
        </c:ser>
        <c:dLbls>
          <c:showLegendKey val="0"/>
          <c:showVal val="0"/>
          <c:showCatName val="0"/>
          <c:showSerName val="0"/>
          <c:showPercent val="0"/>
          <c:showBubbleSize val="0"/>
        </c:dLbls>
        <c:marker val="1"/>
        <c:smooth val="0"/>
        <c:axId val="372530560"/>
        <c:axId val="372556928"/>
      </c:lineChart>
      <c:catAx>
        <c:axId val="372530560"/>
        <c:scaling>
          <c:orientation val="minMax"/>
        </c:scaling>
        <c:delete val="0"/>
        <c:axPos val="b"/>
        <c:numFmt formatCode="General" sourceLinked="1"/>
        <c:majorTickMark val="out"/>
        <c:minorTickMark val="none"/>
        <c:tickLblPos val="nextTo"/>
        <c:spPr>
          <a:ln w="25400">
            <a:solidFill>
              <a:srgbClr val="404041"/>
            </a:solidFill>
            <a:prstDash val="solid"/>
          </a:ln>
        </c:spPr>
        <c:txPr>
          <a:bodyPr rot="0" vert="horz"/>
          <a:lstStyle/>
          <a:p>
            <a:pPr>
              <a:defRPr sz="1200" b="0" i="0" u="none" strike="noStrike" baseline="0">
                <a:solidFill>
                  <a:srgbClr val="404041"/>
                </a:solidFill>
                <a:latin typeface="Calibri" pitchFamily="34" charset="0"/>
                <a:ea typeface="Arial"/>
                <a:cs typeface="Arial"/>
              </a:defRPr>
            </a:pPr>
            <a:endParaRPr lang="en-US"/>
          </a:p>
        </c:txPr>
        <c:crossAx val="372556928"/>
        <c:crosses val="autoZero"/>
        <c:auto val="1"/>
        <c:lblAlgn val="ctr"/>
        <c:lblOffset val="100"/>
        <c:tickLblSkip val="2"/>
        <c:tickMarkSkip val="1"/>
        <c:noMultiLvlLbl val="0"/>
      </c:catAx>
      <c:valAx>
        <c:axId val="372556928"/>
        <c:scaling>
          <c:orientation val="minMax"/>
          <c:max val="25"/>
        </c:scaling>
        <c:delete val="0"/>
        <c:axPos val="l"/>
        <c:numFmt formatCode="General" sourceLinked="1"/>
        <c:majorTickMark val="out"/>
        <c:minorTickMark val="none"/>
        <c:tickLblPos val="nextTo"/>
        <c:spPr>
          <a:ln w="25400">
            <a:solidFill>
              <a:srgbClr val="404041"/>
            </a:solidFill>
            <a:prstDash val="solid"/>
          </a:ln>
        </c:spPr>
        <c:txPr>
          <a:bodyPr rot="0" vert="horz"/>
          <a:lstStyle/>
          <a:p>
            <a:pPr>
              <a:defRPr sz="1200" b="0" i="0" u="none" strike="noStrike" baseline="0">
                <a:solidFill>
                  <a:srgbClr val="404041"/>
                </a:solidFill>
                <a:latin typeface="Calibri" pitchFamily="34" charset="0"/>
                <a:ea typeface="Arial"/>
                <a:cs typeface="Arial"/>
              </a:defRPr>
            </a:pPr>
            <a:endParaRPr lang="en-US"/>
          </a:p>
        </c:txPr>
        <c:crossAx val="372530560"/>
        <c:crosses val="autoZero"/>
        <c:crossBetween val="midCat"/>
      </c:valAx>
      <c:spPr>
        <a:solidFill>
          <a:schemeClr val="bg1"/>
        </a:solidFill>
        <a:ln w="12700">
          <a:noFill/>
          <a:prstDash val="solid"/>
        </a:ln>
      </c:spPr>
    </c:plotArea>
    <c:plotVisOnly val="1"/>
    <c:dispBlanksAs val="gap"/>
    <c:showDLblsOverMax val="0"/>
  </c:chart>
  <c:spPr>
    <a:solidFill>
      <a:srgbClr val="FFFFFF"/>
    </a:solidFill>
    <a:ln w="25400">
      <a:solidFill>
        <a:schemeClr val="tx1"/>
      </a:solidFill>
      <a:prstDash val="solid"/>
      <a:miter lim="800000"/>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rgbClr val="404041"/>
                </a:solidFill>
                <a:latin typeface="Calibri" pitchFamily="34" charset="0"/>
              </a:defRPr>
            </a:pPr>
            <a:r>
              <a:rPr lang="en-CA" sz="1400" b="1">
                <a:solidFill>
                  <a:srgbClr val="404041"/>
                </a:solidFill>
                <a:latin typeface="Calibri" pitchFamily="34" charset="0"/>
              </a:rPr>
              <a:t>Rule 4. Astronomical Point</a:t>
            </a:r>
          </a:p>
        </c:rich>
      </c:tx>
      <c:overlay val="0"/>
    </c:title>
    <c:autoTitleDeleted val="0"/>
    <c:plotArea>
      <c:layout>
        <c:manualLayout>
          <c:layoutTarget val="inner"/>
          <c:xMode val="edge"/>
          <c:yMode val="edge"/>
          <c:x val="6.4718323253071627E-2"/>
          <c:y val="0.14805211848518934"/>
          <c:w val="0.90610293278557574"/>
          <c:h val="0.7419163750364538"/>
        </c:manualLayout>
      </c:layout>
      <c:lineChart>
        <c:grouping val="standard"/>
        <c:varyColors val="0"/>
        <c:ser>
          <c:idx val="0"/>
          <c:order val="0"/>
          <c:tx>
            <c:v>Measure</c:v>
          </c:tx>
          <c:spPr>
            <a:ln w="25400">
              <a:solidFill>
                <a:srgbClr val="0070C0"/>
              </a:solidFill>
              <a:prstDash val="solid"/>
            </a:ln>
          </c:spPr>
          <c:marker>
            <c:symbol val="circle"/>
            <c:size val="6"/>
            <c:spPr>
              <a:solidFill>
                <a:srgbClr val="0070C0"/>
              </a:solidFill>
              <a:ln>
                <a:solidFill>
                  <a:srgbClr val="0070C0"/>
                </a:solidFill>
                <a:prstDash val="solid"/>
              </a:ln>
            </c:spPr>
          </c:marker>
          <c:cat>
            <c:numLit>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Lit>
          </c:cat>
          <c:val>
            <c:numLit>
              <c:formatCode>General</c:formatCode>
              <c:ptCount val="25"/>
              <c:pt idx="0">
                <c:v>7</c:v>
              </c:pt>
              <c:pt idx="1">
                <c:v>3</c:v>
              </c:pt>
              <c:pt idx="2">
                <c:v>5</c:v>
              </c:pt>
              <c:pt idx="3">
                <c:v>1</c:v>
              </c:pt>
              <c:pt idx="4">
                <c:v>2</c:v>
              </c:pt>
              <c:pt idx="5">
                <c:v>6</c:v>
              </c:pt>
              <c:pt idx="6">
                <c:v>3</c:v>
              </c:pt>
              <c:pt idx="7">
                <c:v>22</c:v>
              </c:pt>
              <c:pt idx="8">
                <c:v>5</c:v>
              </c:pt>
              <c:pt idx="9">
                <c:v>4</c:v>
              </c:pt>
              <c:pt idx="10">
                <c:v>6</c:v>
              </c:pt>
              <c:pt idx="11">
                <c:v>8</c:v>
              </c:pt>
              <c:pt idx="12">
                <c:v>9</c:v>
              </c:pt>
              <c:pt idx="13">
                <c:v>1</c:v>
              </c:pt>
              <c:pt idx="14">
                <c:v>4</c:v>
              </c:pt>
              <c:pt idx="15">
                <c:v>8</c:v>
              </c:pt>
              <c:pt idx="16">
                <c:v>4</c:v>
              </c:pt>
              <c:pt idx="17">
                <c:v>3</c:v>
              </c:pt>
              <c:pt idx="18">
                <c:v>1</c:v>
              </c:pt>
              <c:pt idx="19">
                <c:v>6</c:v>
              </c:pt>
              <c:pt idx="20">
                <c:v>8</c:v>
              </c:pt>
              <c:pt idx="21">
                <c:v>3</c:v>
              </c:pt>
              <c:pt idx="22">
                <c:v>2</c:v>
              </c:pt>
              <c:pt idx="23">
                <c:v>3</c:v>
              </c:pt>
              <c:pt idx="24">
                <c:v>6</c:v>
              </c:pt>
            </c:numLit>
          </c:val>
          <c:smooth val="0"/>
        </c:ser>
        <c:ser>
          <c:idx val="1"/>
          <c:order val="1"/>
          <c:spPr>
            <a:ln w="25400">
              <a:solidFill>
                <a:schemeClr val="bg1">
                  <a:lumMod val="50000"/>
                </a:schemeClr>
              </a:solidFill>
            </a:ln>
          </c:spPr>
          <c:marker>
            <c:symbol val="none"/>
          </c:marker>
          <c: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val>
          <c:smooth val="0"/>
        </c:ser>
        <c:dLbls>
          <c:showLegendKey val="0"/>
          <c:showVal val="0"/>
          <c:showCatName val="0"/>
          <c:showSerName val="0"/>
          <c:showPercent val="0"/>
          <c:showBubbleSize val="0"/>
        </c:dLbls>
        <c:marker val="1"/>
        <c:smooth val="0"/>
        <c:axId val="373118464"/>
        <c:axId val="373120000"/>
      </c:lineChart>
      <c:catAx>
        <c:axId val="373118464"/>
        <c:scaling>
          <c:orientation val="minMax"/>
        </c:scaling>
        <c:delete val="0"/>
        <c:axPos val="b"/>
        <c:numFmt formatCode="General" sourceLinked="1"/>
        <c:majorTickMark val="out"/>
        <c:minorTickMark val="none"/>
        <c:tickLblPos val="nextTo"/>
        <c:spPr>
          <a:ln w="25400">
            <a:solidFill>
              <a:srgbClr val="404041"/>
            </a:solidFill>
            <a:prstDash val="solid"/>
          </a:ln>
        </c:spPr>
        <c:txPr>
          <a:bodyPr rot="0" vert="horz"/>
          <a:lstStyle/>
          <a:p>
            <a:pPr>
              <a:defRPr sz="1200" b="0" i="0" u="none" strike="noStrike" baseline="0">
                <a:solidFill>
                  <a:srgbClr val="404041"/>
                </a:solidFill>
                <a:latin typeface="Calibri" pitchFamily="34" charset="0"/>
                <a:ea typeface="Arial"/>
                <a:cs typeface="Arial"/>
              </a:defRPr>
            </a:pPr>
            <a:endParaRPr lang="en-US"/>
          </a:p>
        </c:txPr>
        <c:crossAx val="373120000"/>
        <c:crosses val="autoZero"/>
        <c:auto val="1"/>
        <c:lblAlgn val="ctr"/>
        <c:lblOffset val="100"/>
        <c:tickLblSkip val="2"/>
        <c:tickMarkSkip val="1"/>
        <c:noMultiLvlLbl val="0"/>
      </c:catAx>
      <c:valAx>
        <c:axId val="373120000"/>
        <c:scaling>
          <c:orientation val="minMax"/>
          <c:max val="25"/>
        </c:scaling>
        <c:delete val="0"/>
        <c:axPos val="l"/>
        <c:numFmt formatCode="General" sourceLinked="1"/>
        <c:majorTickMark val="out"/>
        <c:minorTickMark val="none"/>
        <c:tickLblPos val="nextTo"/>
        <c:spPr>
          <a:ln w="25400">
            <a:solidFill>
              <a:srgbClr val="404041"/>
            </a:solidFill>
            <a:prstDash val="solid"/>
          </a:ln>
        </c:spPr>
        <c:txPr>
          <a:bodyPr rot="0" vert="horz"/>
          <a:lstStyle/>
          <a:p>
            <a:pPr>
              <a:defRPr sz="1200" b="0" i="0" u="none" strike="noStrike" baseline="0">
                <a:solidFill>
                  <a:srgbClr val="404041"/>
                </a:solidFill>
                <a:latin typeface="Calibri" pitchFamily="34" charset="0"/>
                <a:ea typeface="Arial"/>
                <a:cs typeface="Arial"/>
              </a:defRPr>
            </a:pPr>
            <a:endParaRPr lang="en-US"/>
          </a:p>
        </c:txPr>
        <c:crossAx val="373118464"/>
        <c:crosses val="autoZero"/>
        <c:crossBetween val="midCat"/>
      </c:valAx>
      <c:spPr>
        <a:solidFill>
          <a:schemeClr val="bg1"/>
        </a:solidFill>
        <a:ln w="12700">
          <a:noFill/>
          <a:prstDash val="solid"/>
        </a:ln>
      </c:spPr>
    </c:plotArea>
    <c:plotVisOnly val="1"/>
    <c:dispBlanksAs val="gap"/>
    <c:showDLblsOverMax val="0"/>
  </c:chart>
  <c:spPr>
    <a:solidFill>
      <a:srgbClr val="FFFFFF"/>
    </a:solidFill>
    <a:ln w="25400">
      <a:solidFill>
        <a:schemeClr val="tx1"/>
      </a:solidFill>
      <a:prstDash val="solid"/>
      <a:miter lim="800000"/>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RunChartRules!A1"/><Relationship Id="rId13" Type="http://schemas.openxmlformats.org/officeDocument/2006/relationships/hyperlink" Target="#PDSAData!A1"/><Relationship Id="rId3" Type="http://schemas.openxmlformats.org/officeDocument/2006/relationships/hyperlink" Target="#Pareto!A1"/><Relationship Id="rId7" Type="http://schemas.openxmlformats.org/officeDocument/2006/relationships/hyperlink" Target="#RunChart4!A1"/><Relationship Id="rId12" Type="http://schemas.openxmlformats.org/officeDocument/2006/relationships/hyperlink" Target="#ResidentData!A1"/><Relationship Id="rId2" Type="http://schemas.openxmlformats.org/officeDocument/2006/relationships/hyperlink" Target="#Histogram!A1"/><Relationship Id="rId16" Type="http://schemas.openxmlformats.org/officeDocument/2006/relationships/hyperlink" Target="#MedList!A1"/><Relationship Id="rId1" Type="http://schemas.openxmlformats.org/officeDocument/2006/relationships/hyperlink" Target="#ScatterPlot!A1"/><Relationship Id="rId6" Type="http://schemas.openxmlformats.org/officeDocument/2006/relationships/hyperlink" Target="#RunChart3!A1"/><Relationship Id="rId11" Type="http://schemas.openxmlformats.org/officeDocument/2006/relationships/hyperlink" Target="#Home!A1"/><Relationship Id="rId5" Type="http://schemas.openxmlformats.org/officeDocument/2006/relationships/hyperlink" Target="#RunChart2!A1"/><Relationship Id="rId15" Type="http://schemas.openxmlformats.org/officeDocument/2006/relationships/hyperlink" Target="#ReductionForm!A1"/><Relationship Id="rId10" Type="http://schemas.openxmlformats.org/officeDocument/2006/relationships/hyperlink" Target="#Instructions!A1"/><Relationship Id="rId4" Type="http://schemas.openxmlformats.org/officeDocument/2006/relationships/hyperlink" Target="#RunChart1!A1"/><Relationship Id="rId9" Type="http://schemas.openxmlformats.org/officeDocument/2006/relationships/image" Target="../media/image1.png"/><Relationship Id="rId14" Type="http://schemas.openxmlformats.org/officeDocument/2006/relationships/hyperlink" Target="#Summary!A1"/></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gif"/><Relationship Id="rId18" Type="http://schemas.openxmlformats.org/officeDocument/2006/relationships/hyperlink" Target="#RunChart1!A1"/><Relationship Id="rId3" Type="http://schemas.openxmlformats.org/officeDocument/2006/relationships/hyperlink" Target="#ReductionForm!A1"/><Relationship Id="rId21" Type="http://schemas.openxmlformats.org/officeDocument/2006/relationships/hyperlink" Target="#RunChart4!A1"/><Relationship Id="rId7" Type="http://schemas.openxmlformats.org/officeDocument/2006/relationships/image" Target="../media/image3.png"/><Relationship Id="rId12" Type="http://schemas.openxmlformats.org/officeDocument/2006/relationships/image" Target="../media/image7.png"/><Relationship Id="rId17" Type="http://schemas.openxmlformats.org/officeDocument/2006/relationships/hyperlink" Target="#Pareto!A1"/><Relationship Id="rId2" Type="http://schemas.openxmlformats.org/officeDocument/2006/relationships/hyperlink" Target="#PDSAData!A1"/><Relationship Id="rId16" Type="http://schemas.openxmlformats.org/officeDocument/2006/relationships/hyperlink" Target="#Histogram!A1"/><Relationship Id="rId20" Type="http://schemas.openxmlformats.org/officeDocument/2006/relationships/hyperlink" Target="#RunChart3!A1"/><Relationship Id="rId1" Type="http://schemas.openxmlformats.org/officeDocument/2006/relationships/hyperlink" Target="#ResidentData!A1"/><Relationship Id="rId6" Type="http://schemas.openxmlformats.org/officeDocument/2006/relationships/hyperlink" Target="#RunChartRules!A1"/><Relationship Id="rId11" Type="http://schemas.openxmlformats.org/officeDocument/2006/relationships/image" Target="../media/image6.gif"/><Relationship Id="rId5" Type="http://schemas.openxmlformats.org/officeDocument/2006/relationships/image" Target="../media/image2.png"/><Relationship Id="rId15" Type="http://schemas.openxmlformats.org/officeDocument/2006/relationships/hyperlink" Target="#ScatterPlot!A1"/><Relationship Id="rId10" Type="http://schemas.openxmlformats.org/officeDocument/2006/relationships/image" Target="../media/image5.png"/><Relationship Id="rId19" Type="http://schemas.openxmlformats.org/officeDocument/2006/relationships/hyperlink" Target="#RunChart2!A1"/><Relationship Id="rId4" Type="http://schemas.openxmlformats.org/officeDocument/2006/relationships/hyperlink" Target="#Home!A1"/><Relationship Id="rId9" Type="http://schemas.openxmlformats.org/officeDocument/2006/relationships/hyperlink" Target="#Summary!A1"/><Relationship Id="rId14" Type="http://schemas.openxmlformats.org/officeDocument/2006/relationships/hyperlink" Target="#Instructions!A1"/><Relationship Id="rId22" Type="http://schemas.openxmlformats.org/officeDocument/2006/relationships/hyperlink" Target="#MedList!A1"/></Relationships>
</file>

<file path=xl/drawings/_rels/drawing3.xml.rels><?xml version="1.0" encoding="UTF-8" standalone="yes"?>
<Relationships xmlns="http://schemas.openxmlformats.org/package/2006/relationships"><Relationship Id="rId8" Type="http://schemas.openxmlformats.org/officeDocument/2006/relationships/hyperlink" Target="#Histogram!A1"/><Relationship Id="rId13" Type="http://schemas.openxmlformats.org/officeDocument/2006/relationships/hyperlink" Target="#RunChart4!A1"/><Relationship Id="rId3" Type="http://schemas.openxmlformats.org/officeDocument/2006/relationships/hyperlink" Target="#Summary!A1"/><Relationship Id="rId7" Type="http://schemas.openxmlformats.org/officeDocument/2006/relationships/hyperlink" Target="#ScatterPlot!A1"/><Relationship Id="rId12" Type="http://schemas.openxmlformats.org/officeDocument/2006/relationships/hyperlink" Target="#RunChart3!A1"/><Relationship Id="rId2" Type="http://schemas.openxmlformats.org/officeDocument/2006/relationships/hyperlink" Target="#ResidentData!A1"/><Relationship Id="rId1" Type="http://schemas.openxmlformats.org/officeDocument/2006/relationships/hyperlink" Target="#Home!A1"/><Relationship Id="rId6" Type="http://schemas.openxmlformats.org/officeDocument/2006/relationships/hyperlink" Target="#PDSAData!A1"/><Relationship Id="rId11" Type="http://schemas.openxmlformats.org/officeDocument/2006/relationships/hyperlink" Target="#RunChart2!A1"/><Relationship Id="rId5" Type="http://schemas.openxmlformats.org/officeDocument/2006/relationships/hyperlink" Target="#Instructions!A1"/><Relationship Id="rId15" Type="http://schemas.openxmlformats.org/officeDocument/2006/relationships/hyperlink" Target="#MedList!A1"/><Relationship Id="rId10" Type="http://schemas.openxmlformats.org/officeDocument/2006/relationships/hyperlink" Target="#RunChart1!A1"/><Relationship Id="rId4" Type="http://schemas.openxmlformats.org/officeDocument/2006/relationships/hyperlink" Target="#ReductionForm!A1"/><Relationship Id="rId9" Type="http://schemas.openxmlformats.org/officeDocument/2006/relationships/hyperlink" Target="#Pareto!A1"/><Relationship Id="rId14" Type="http://schemas.openxmlformats.org/officeDocument/2006/relationships/hyperlink" Target="#RunChartRules!A1"/></Relationships>
</file>

<file path=xl/drawings/_rels/drawing4.xml.rels><?xml version="1.0" encoding="UTF-8" standalone="yes"?>
<Relationships xmlns="http://schemas.openxmlformats.org/package/2006/relationships"><Relationship Id="rId8" Type="http://schemas.openxmlformats.org/officeDocument/2006/relationships/hyperlink" Target="#Histogram!A1"/><Relationship Id="rId13" Type="http://schemas.openxmlformats.org/officeDocument/2006/relationships/hyperlink" Target="#RunChart4!A1"/><Relationship Id="rId3" Type="http://schemas.openxmlformats.org/officeDocument/2006/relationships/hyperlink" Target="#Summary!A1"/><Relationship Id="rId7" Type="http://schemas.openxmlformats.org/officeDocument/2006/relationships/hyperlink" Target="#ScatterPlot!A1"/><Relationship Id="rId12" Type="http://schemas.openxmlformats.org/officeDocument/2006/relationships/hyperlink" Target="#RunChart3!A1"/><Relationship Id="rId2" Type="http://schemas.openxmlformats.org/officeDocument/2006/relationships/hyperlink" Target="#ResidentData!A1"/><Relationship Id="rId1" Type="http://schemas.openxmlformats.org/officeDocument/2006/relationships/hyperlink" Target="#Home!A1"/><Relationship Id="rId6" Type="http://schemas.openxmlformats.org/officeDocument/2006/relationships/hyperlink" Target="#PDSAData!A1"/><Relationship Id="rId11" Type="http://schemas.openxmlformats.org/officeDocument/2006/relationships/hyperlink" Target="#RunChart2!A1"/><Relationship Id="rId5" Type="http://schemas.openxmlformats.org/officeDocument/2006/relationships/hyperlink" Target="#Instructions!A1"/><Relationship Id="rId15" Type="http://schemas.openxmlformats.org/officeDocument/2006/relationships/hyperlink" Target="#MedList!A1"/><Relationship Id="rId10" Type="http://schemas.openxmlformats.org/officeDocument/2006/relationships/hyperlink" Target="#RunChart1!A1"/><Relationship Id="rId4" Type="http://schemas.openxmlformats.org/officeDocument/2006/relationships/hyperlink" Target="#ReductionForm!A1"/><Relationship Id="rId9" Type="http://schemas.openxmlformats.org/officeDocument/2006/relationships/hyperlink" Target="#Pareto!A1"/><Relationship Id="rId14" Type="http://schemas.openxmlformats.org/officeDocument/2006/relationships/hyperlink" Target="#RunChartRules!A1"/></Relationships>
</file>

<file path=xl/drawings/_rels/drawing5.xml.rels><?xml version="1.0" encoding="UTF-8" standalone="yes"?>
<Relationships xmlns="http://schemas.openxmlformats.org/package/2006/relationships"><Relationship Id="rId8" Type="http://schemas.openxmlformats.org/officeDocument/2006/relationships/hyperlink" Target="#ResidentData!A1"/><Relationship Id="rId13" Type="http://schemas.openxmlformats.org/officeDocument/2006/relationships/hyperlink" Target="#ScatterPlot!A1"/><Relationship Id="rId18" Type="http://schemas.openxmlformats.org/officeDocument/2006/relationships/hyperlink" Target="#RunChart3!A1"/><Relationship Id="rId3" Type="http://schemas.openxmlformats.org/officeDocument/2006/relationships/chart" Target="../charts/chart3.xml"/><Relationship Id="rId21" Type="http://schemas.openxmlformats.org/officeDocument/2006/relationships/hyperlink" Target="#MedList!A1"/><Relationship Id="rId7" Type="http://schemas.openxmlformats.org/officeDocument/2006/relationships/hyperlink" Target="#Home!A1"/><Relationship Id="rId12" Type="http://schemas.openxmlformats.org/officeDocument/2006/relationships/hyperlink" Target="#ReductionForm!A1"/><Relationship Id="rId17" Type="http://schemas.openxmlformats.org/officeDocument/2006/relationships/hyperlink" Target="#RunChart2!A1"/><Relationship Id="rId2" Type="http://schemas.openxmlformats.org/officeDocument/2006/relationships/chart" Target="../charts/chart2.xml"/><Relationship Id="rId16" Type="http://schemas.openxmlformats.org/officeDocument/2006/relationships/hyperlink" Target="#RunChart1!A1"/><Relationship Id="rId20" Type="http://schemas.openxmlformats.org/officeDocument/2006/relationships/hyperlink" Target="#RunChartRules!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Summary!A1"/><Relationship Id="rId5" Type="http://schemas.openxmlformats.org/officeDocument/2006/relationships/chart" Target="../charts/chart5.xml"/><Relationship Id="rId15" Type="http://schemas.openxmlformats.org/officeDocument/2006/relationships/hyperlink" Target="#Pareto!A1"/><Relationship Id="rId10" Type="http://schemas.openxmlformats.org/officeDocument/2006/relationships/hyperlink" Target="#PDSAData!A1"/><Relationship Id="rId19" Type="http://schemas.openxmlformats.org/officeDocument/2006/relationships/hyperlink" Target="#RunChart4!A1"/><Relationship Id="rId4" Type="http://schemas.openxmlformats.org/officeDocument/2006/relationships/chart" Target="../charts/chart4.xml"/><Relationship Id="rId9" Type="http://schemas.openxmlformats.org/officeDocument/2006/relationships/hyperlink" Target="#Instructions!A1"/><Relationship Id="rId14" Type="http://schemas.openxmlformats.org/officeDocument/2006/relationships/hyperlink" Target="#Histogram!A1"/></Relationships>
</file>

<file path=xl/drawings/_rels/drawing12.xml.rels><?xml version="1.0" encoding="UTF-8" standalone="yes"?>
<Relationships xmlns="http://schemas.openxmlformats.org/package/2006/relationships"><Relationship Id="rId8" Type="http://schemas.openxmlformats.org/officeDocument/2006/relationships/hyperlink" Target="#Histogram!A1"/><Relationship Id="rId13" Type="http://schemas.openxmlformats.org/officeDocument/2006/relationships/hyperlink" Target="#RunChart4!A1"/><Relationship Id="rId3" Type="http://schemas.openxmlformats.org/officeDocument/2006/relationships/hyperlink" Target="#Instructions!A1"/><Relationship Id="rId7" Type="http://schemas.openxmlformats.org/officeDocument/2006/relationships/hyperlink" Target="#ScatterPlot!A1"/><Relationship Id="rId12" Type="http://schemas.openxmlformats.org/officeDocument/2006/relationships/hyperlink" Target="#RunChart3!A1"/><Relationship Id="rId2" Type="http://schemas.openxmlformats.org/officeDocument/2006/relationships/hyperlink" Target="#ResidentData!A1"/><Relationship Id="rId1" Type="http://schemas.openxmlformats.org/officeDocument/2006/relationships/hyperlink" Target="#Home!A1"/><Relationship Id="rId6" Type="http://schemas.openxmlformats.org/officeDocument/2006/relationships/hyperlink" Target="#ReductionForm!A1"/><Relationship Id="rId11" Type="http://schemas.openxmlformats.org/officeDocument/2006/relationships/hyperlink" Target="#RunChart2!A1"/><Relationship Id="rId5" Type="http://schemas.openxmlformats.org/officeDocument/2006/relationships/hyperlink" Target="#Summary!A1"/><Relationship Id="rId15" Type="http://schemas.openxmlformats.org/officeDocument/2006/relationships/hyperlink" Target="#MedList!A1"/><Relationship Id="rId10" Type="http://schemas.openxmlformats.org/officeDocument/2006/relationships/hyperlink" Target="#RunChart1!A1"/><Relationship Id="rId4" Type="http://schemas.openxmlformats.org/officeDocument/2006/relationships/hyperlink" Target="#PDSAData!A1"/><Relationship Id="rId9" Type="http://schemas.openxmlformats.org/officeDocument/2006/relationships/hyperlink" Target="#Pareto!A1"/><Relationship Id="rId14" Type="http://schemas.openxmlformats.org/officeDocument/2006/relationships/hyperlink" Target="#RunChartRules!A1"/></Relationships>
</file>

<file path=xl/drawings/_rels/drawing13.xml.rels><?xml version="1.0" encoding="UTF-8" standalone="yes"?>
<Relationships xmlns="http://schemas.openxmlformats.org/package/2006/relationships"><Relationship Id="rId8" Type="http://schemas.openxmlformats.org/officeDocument/2006/relationships/hyperlink" Target="#ScatterPlot!A1"/><Relationship Id="rId13" Type="http://schemas.openxmlformats.org/officeDocument/2006/relationships/hyperlink" Target="#RunChart3!A1"/><Relationship Id="rId3" Type="http://schemas.openxmlformats.org/officeDocument/2006/relationships/hyperlink" Target="#ResidentData!A1"/><Relationship Id="rId7" Type="http://schemas.openxmlformats.org/officeDocument/2006/relationships/hyperlink" Target="#ReductionForm!A1"/><Relationship Id="rId12" Type="http://schemas.openxmlformats.org/officeDocument/2006/relationships/hyperlink" Target="#RunChart2!A1"/><Relationship Id="rId2" Type="http://schemas.openxmlformats.org/officeDocument/2006/relationships/hyperlink" Target="#Home!A1"/><Relationship Id="rId16" Type="http://schemas.openxmlformats.org/officeDocument/2006/relationships/hyperlink" Target="#MedList!A1"/><Relationship Id="rId1" Type="http://schemas.openxmlformats.org/officeDocument/2006/relationships/chart" Target="../charts/chart7.xml"/><Relationship Id="rId6" Type="http://schemas.openxmlformats.org/officeDocument/2006/relationships/hyperlink" Target="#Summary!A1"/><Relationship Id="rId11" Type="http://schemas.openxmlformats.org/officeDocument/2006/relationships/hyperlink" Target="#RunChart1!A1"/><Relationship Id="rId5" Type="http://schemas.openxmlformats.org/officeDocument/2006/relationships/hyperlink" Target="#PDSAData!A1"/><Relationship Id="rId15" Type="http://schemas.openxmlformats.org/officeDocument/2006/relationships/hyperlink" Target="#RunChartRules!A1"/><Relationship Id="rId10" Type="http://schemas.openxmlformats.org/officeDocument/2006/relationships/hyperlink" Target="#Pareto!A1"/><Relationship Id="rId4" Type="http://schemas.openxmlformats.org/officeDocument/2006/relationships/hyperlink" Target="#Instructions!A1"/><Relationship Id="rId9" Type="http://schemas.openxmlformats.org/officeDocument/2006/relationships/hyperlink" Target="#Histogram!A1"/><Relationship Id="rId14" Type="http://schemas.openxmlformats.org/officeDocument/2006/relationships/hyperlink" Target="#RunChart4!A1"/></Relationships>
</file>

<file path=xl/drawings/_rels/drawing14.xml.rels><?xml version="1.0" encoding="UTF-8" standalone="yes"?>
<Relationships xmlns="http://schemas.openxmlformats.org/package/2006/relationships"><Relationship Id="rId8" Type="http://schemas.openxmlformats.org/officeDocument/2006/relationships/hyperlink" Target="#ScatterPlot!A1"/><Relationship Id="rId13" Type="http://schemas.openxmlformats.org/officeDocument/2006/relationships/hyperlink" Target="#RunChart3!A1"/><Relationship Id="rId3" Type="http://schemas.openxmlformats.org/officeDocument/2006/relationships/hyperlink" Target="#ResidentData!A1"/><Relationship Id="rId7" Type="http://schemas.openxmlformats.org/officeDocument/2006/relationships/hyperlink" Target="#ReductionForm!A1"/><Relationship Id="rId12" Type="http://schemas.openxmlformats.org/officeDocument/2006/relationships/hyperlink" Target="#RunChart2!A1"/><Relationship Id="rId2" Type="http://schemas.openxmlformats.org/officeDocument/2006/relationships/hyperlink" Target="#Home!A1"/><Relationship Id="rId16" Type="http://schemas.openxmlformats.org/officeDocument/2006/relationships/hyperlink" Target="#MedList!A1"/><Relationship Id="rId1" Type="http://schemas.openxmlformats.org/officeDocument/2006/relationships/chart" Target="../charts/chart8.xml"/><Relationship Id="rId6" Type="http://schemas.openxmlformats.org/officeDocument/2006/relationships/hyperlink" Target="#Summary!A1"/><Relationship Id="rId11" Type="http://schemas.openxmlformats.org/officeDocument/2006/relationships/hyperlink" Target="#RunChart1!A1"/><Relationship Id="rId5" Type="http://schemas.openxmlformats.org/officeDocument/2006/relationships/hyperlink" Target="#PDSAData!A1"/><Relationship Id="rId15" Type="http://schemas.openxmlformats.org/officeDocument/2006/relationships/hyperlink" Target="#RunChartRules!A1"/><Relationship Id="rId10" Type="http://schemas.openxmlformats.org/officeDocument/2006/relationships/hyperlink" Target="#Pareto!A1"/><Relationship Id="rId4" Type="http://schemas.openxmlformats.org/officeDocument/2006/relationships/hyperlink" Target="#Instructions!A1"/><Relationship Id="rId9" Type="http://schemas.openxmlformats.org/officeDocument/2006/relationships/hyperlink" Target="#Histogram!A1"/><Relationship Id="rId14" Type="http://schemas.openxmlformats.org/officeDocument/2006/relationships/hyperlink" Target="#RunChart4!A1"/></Relationships>
</file>

<file path=xl/drawings/_rels/drawing15.xml.rels><?xml version="1.0" encoding="UTF-8" standalone="yes"?>
<Relationships xmlns="http://schemas.openxmlformats.org/package/2006/relationships"><Relationship Id="rId8" Type="http://schemas.openxmlformats.org/officeDocument/2006/relationships/hyperlink" Target="#ScatterPlot!A1"/><Relationship Id="rId13" Type="http://schemas.openxmlformats.org/officeDocument/2006/relationships/hyperlink" Target="#RunChart3!A1"/><Relationship Id="rId3" Type="http://schemas.openxmlformats.org/officeDocument/2006/relationships/hyperlink" Target="#ResidentData!A1"/><Relationship Id="rId7" Type="http://schemas.openxmlformats.org/officeDocument/2006/relationships/hyperlink" Target="#ReductionForm!A1"/><Relationship Id="rId12" Type="http://schemas.openxmlformats.org/officeDocument/2006/relationships/hyperlink" Target="#RunChart2!A1"/><Relationship Id="rId2" Type="http://schemas.openxmlformats.org/officeDocument/2006/relationships/hyperlink" Target="#Home!A1"/><Relationship Id="rId16" Type="http://schemas.openxmlformats.org/officeDocument/2006/relationships/hyperlink" Target="#MedList!A1"/><Relationship Id="rId1" Type="http://schemas.openxmlformats.org/officeDocument/2006/relationships/chart" Target="../charts/chart9.xml"/><Relationship Id="rId6" Type="http://schemas.openxmlformats.org/officeDocument/2006/relationships/hyperlink" Target="#Summary!A1"/><Relationship Id="rId11" Type="http://schemas.openxmlformats.org/officeDocument/2006/relationships/hyperlink" Target="#RunChart1!A1"/><Relationship Id="rId5" Type="http://schemas.openxmlformats.org/officeDocument/2006/relationships/hyperlink" Target="#PDSAData!A1"/><Relationship Id="rId15" Type="http://schemas.openxmlformats.org/officeDocument/2006/relationships/hyperlink" Target="#RunChartRules!A1"/><Relationship Id="rId10" Type="http://schemas.openxmlformats.org/officeDocument/2006/relationships/hyperlink" Target="#Pareto!A1"/><Relationship Id="rId4" Type="http://schemas.openxmlformats.org/officeDocument/2006/relationships/hyperlink" Target="#Instructions!A1"/><Relationship Id="rId9" Type="http://schemas.openxmlformats.org/officeDocument/2006/relationships/hyperlink" Target="#Histogram!A1"/><Relationship Id="rId14" Type="http://schemas.openxmlformats.org/officeDocument/2006/relationships/hyperlink" Target="#RunChart4!A1"/></Relationships>
</file>

<file path=xl/drawings/_rels/drawing16.xml.rels><?xml version="1.0" encoding="UTF-8" standalone="yes"?>
<Relationships xmlns="http://schemas.openxmlformats.org/package/2006/relationships"><Relationship Id="rId8" Type="http://schemas.openxmlformats.org/officeDocument/2006/relationships/hyperlink" Target="#ScatterPlot!A1"/><Relationship Id="rId13" Type="http://schemas.openxmlformats.org/officeDocument/2006/relationships/hyperlink" Target="#RunChart3!A1"/><Relationship Id="rId3" Type="http://schemas.openxmlformats.org/officeDocument/2006/relationships/hyperlink" Target="#ResidentData!A1"/><Relationship Id="rId7" Type="http://schemas.openxmlformats.org/officeDocument/2006/relationships/hyperlink" Target="#ReductionForm!A1"/><Relationship Id="rId12" Type="http://schemas.openxmlformats.org/officeDocument/2006/relationships/hyperlink" Target="#RunChart2!A1"/><Relationship Id="rId2" Type="http://schemas.openxmlformats.org/officeDocument/2006/relationships/hyperlink" Target="#Home!A1"/><Relationship Id="rId16" Type="http://schemas.openxmlformats.org/officeDocument/2006/relationships/hyperlink" Target="#MedList!A1"/><Relationship Id="rId1" Type="http://schemas.openxmlformats.org/officeDocument/2006/relationships/chart" Target="../charts/chart10.xml"/><Relationship Id="rId6" Type="http://schemas.openxmlformats.org/officeDocument/2006/relationships/hyperlink" Target="#Summary!A1"/><Relationship Id="rId11" Type="http://schemas.openxmlformats.org/officeDocument/2006/relationships/hyperlink" Target="#RunChart1!A1"/><Relationship Id="rId5" Type="http://schemas.openxmlformats.org/officeDocument/2006/relationships/hyperlink" Target="#PDSAData!A1"/><Relationship Id="rId15" Type="http://schemas.openxmlformats.org/officeDocument/2006/relationships/hyperlink" Target="#RunChartRules!A1"/><Relationship Id="rId10" Type="http://schemas.openxmlformats.org/officeDocument/2006/relationships/hyperlink" Target="#Pareto!A1"/><Relationship Id="rId4" Type="http://schemas.openxmlformats.org/officeDocument/2006/relationships/hyperlink" Target="#Instructions!A1"/><Relationship Id="rId9" Type="http://schemas.openxmlformats.org/officeDocument/2006/relationships/hyperlink" Target="#Histogram!A1"/><Relationship Id="rId14" Type="http://schemas.openxmlformats.org/officeDocument/2006/relationships/hyperlink" Target="#RunChart4!A1"/></Relationships>
</file>

<file path=xl/drawings/_rels/drawing17.xml.rels><?xml version="1.0" encoding="UTF-8" standalone="yes"?>
<Relationships xmlns="http://schemas.openxmlformats.org/package/2006/relationships"><Relationship Id="rId8" Type="http://schemas.openxmlformats.org/officeDocument/2006/relationships/hyperlink" Target="#ScatterPlot!A1"/><Relationship Id="rId13" Type="http://schemas.openxmlformats.org/officeDocument/2006/relationships/hyperlink" Target="#RunChart3!A1"/><Relationship Id="rId3" Type="http://schemas.openxmlformats.org/officeDocument/2006/relationships/hyperlink" Target="#ResidentData!A1"/><Relationship Id="rId7" Type="http://schemas.openxmlformats.org/officeDocument/2006/relationships/hyperlink" Target="#ReductionForm!A1"/><Relationship Id="rId12" Type="http://schemas.openxmlformats.org/officeDocument/2006/relationships/hyperlink" Target="#RunChart2!A1"/><Relationship Id="rId2" Type="http://schemas.openxmlformats.org/officeDocument/2006/relationships/hyperlink" Target="#Home!A1"/><Relationship Id="rId16" Type="http://schemas.openxmlformats.org/officeDocument/2006/relationships/hyperlink" Target="#MedList!A1"/><Relationship Id="rId1" Type="http://schemas.openxmlformats.org/officeDocument/2006/relationships/chart" Target="../charts/chart11.xml"/><Relationship Id="rId6" Type="http://schemas.openxmlformats.org/officeDocument/2006/relationships/hyperlink" Target="#Summary!A1"/><Relationship Id="rId11" Type="http://schemas.openxmlformats.org/officeDocument/2006/relationships/hyperlink" Target="#RunChart1!A1"/><Relationship Id="rId5" Type="http://schemas.openxmlformats.org/officeDocument/2006/relationships/hyperlink" Target="#PDSAData!A1"/><Relationship Id="rId15" Type="http://schemas.openxmlformats.org/officeDocument/2006/relationships/hyperlink" Target="#RunChartRules!A1"/><Relationship Id="rId10" Type="http://schemas.openxmlformats.org/officeDocument/2006/relationships/hyperlink" Target="#Pareto!A1"/><Relationship Id="rId4" Type="http://schemas.openxmlformats.org/officeDocument/2006/relationships/hyperlink" Target="#Instructions!A1"/><Relationship Id="rId9" Type="http://schemas.openxmlformats.org/officeDocument/2006/relationships/hyperlink" Target="#Histogram!A1"/><Relationship Id="rId14" Type="http://schemas.openxmlformats.org/officeDocument/2006/relationships/hyperlink" Target="#RunChart4!A1"/></Relationships>
</file>

<file path=xl/drawings/_rels/drawing18.xml.rels><?xml version="1.0" encoding="UTF-8" standalone="yes"?>
<Relationships xmlns="http://schemas.openxmlformats.org/package/2006/relationships"><Relationship Id="rId8" Type="http://schemas.openxmlformats.org/officeDocument/2006/relationships/hyperlink" Target="#ScatterPlot!A1"/><Relationship Id="rId13" Type="http://schemas.openxmlformats.org/officeDocument/2006/relationships/hyperlink" Target="#RunChart3!A1"/><Relationship Id="rId3" Type="http://schemas.openxmlformats.org/officeDocument/2006/relationships/hyperlink" Target="#ResidentData!A1"/><Relationship Id="rId7" Type="http://schemas.openxmlformats.org/officeDocument/2006/relationships/hyperlink" Target="#ReductionForm!A1"/><Relationship Id="rId12" Type="http://schemas.openxmlformats.org/officeDocument/2006/relationships/hyperlink" Target="#RunChart2!A1"/><Relationship Id="rId2" Type="http://schemas.openxmlformats.org/officeDocument/2006/relationships/hyperlink" Target="#Home!A1"/><Relationship Id="rId16" Type="http://schemas.openxmlformats.org/officeDocument/2006/relationships/hyperlink" Target="#MedList!A1"/><Relationship Id="rId1" Type="http://schemas.openxmlformats.org/officeDocument/2006/relationships/chart" Target="../charts/chart12.xml"/><Relationship Id="rId6" Type="http://schemas.openxmlformats.org/officeDocument/2006/relationships/hyperlink" Target="#Summary!A1"/><Relationship Id="rId11" Type="http://schemas.openxmlformats.org/officeDocument/2006/relationships/hyperlink" Target="#RunChart1!A1"/><Relationship Id="rId5" Type="http://schemas.openxmlformats.org/officeDocument/2006/relationships/hyperlink" Target="#PDSAData!A1"/><Relationship Id="rId15" Type="http://schemas.openxmlformats.org/officeDocument/2006/relationships/hyperlink" Target="#RunChartRules!A1"/><Relationship Id="rId10" Type="http://schemas.openxmlformats.org/officeDocument/2006/relationships/hyperlink" Target="#Pareto!A1"/><Relationship Id="rId4" Type="http://schemas.openxmlformats.org/officeDocument/2006/relationships/hyperlink" Target="#Instructions!A1"/><Relationship Id="rId9" Type="http://schemas.openxmlformats.org/officeDocument/2006/relationships/hyperlink" Target="#Histogram!A1"/><Relationship Id="rId14" Type="http://schemas.openxmlformats.org/officeDocument/2006/relationships/hyperlink" Target="#RunChart4!A1"/></Relationships>
</file>

<file path=xl/drawings/_rels/drawing19.xml.rels><?xml version="1.0" encoding="UTF-8" standalone="yes"?>
<Relationships xmlns="http://schemas.openxmlformats.org/package/2006/relationships"><Relationship Id="rId8" Type="http://schemas.openxmlformats.org/officeDocument/2006/relationships/hyperlink" Target="#ScatterPlot!A1"/><Relationship Id="rId13" Type="http://schemas.openxmlformats.org/officeDocument/2006/relationships/hyperlink" Target="#RunChart3!A1"/><Relationship Id="rId3" Type="http://schemas.openxmlformats.org/officeDocument/2006/relationships/hyperlink" Target="#ResidentData!A1"/><Relationship Id="rId7" Type="http://schemas.openxmlformats.org/officeDocument/2006/relationships/hyperlink" Target="#ReductionForm!A1"/><Relationship Id="rId12" Type="http://schemas.openxmlformats.org/officeDocument/2006/relationships/hyperlink" Target="#RunChart2!A1"/><Relationship Id="rId2" Type="http://schemas.openxmlformats.org/officeDocument/2006/relationships/hyperlink" Target="#Home!A1"/><Relationship Id="rId16" Type="http://schemas.openxmlformats.org/officeDocument/2006/relationships/hyperlink" Target="#MedList!A1"/><Relationship Id="rId1" Type="http://schemas.openxmlformats.org/officeDocument/2006/relationships/chart" Target="../charts/chart13.xml"/><Relationship Id="rId6" Type="http://schemas.openxmlformats.org/officeDocument/2006/relationships/hyperlink" Target="#Summary!A1"/><Relationship Id="rId11" Type="http://schemas.openxmlformats.org/officeDocument/2006/relationships/hyperlink" Target="#RunChart1!A1"/><Relationship Id="rId5" Type="http://schemas.openxmlformats.org/officeDocument/2006/relationships/hyperlink" Target="#PDSAData!A1"/><Relationship Id="rId15" Type="http://schemas.openxmlformats.org/officeDocument/2006/relationships/hyperlink" Target="#RunChartRules!A1"/><Relationship Id="rId10" Type="http://schemas.openxmlformats.org/officeDocument/2006/relationships/hyperlink" Target="#Pareto!A1"/><Relationship Id="rId4" Type="http://schemas.openxmlformats.org/officeDocument/2006/relationships/hyperlink" Target="#Instructions!A1"/><Relationship Id="rId9" Type="http://schemas.openxmlformats.org/officeDocument/2006/relationships/hyperlink" Target="#Histogram!A1"/><Relationship Id="rId14" Type="http://schemas.openxmlformats.org/officeDocument/2006/relationships/hyperlink" Target="#RunChart4!A1"/></Relationships>
</file>

<file path=xl/drawings/_rels/drawing20.xml.rels><?xml version="1.0" encoding="UTF-8" standalone="yes"?>
<Relationships xmlns="http://schemas.openxmlformats.org/package/2006/relationships"><Relationship Id="rId8" Type="http://schemas.openxmlformats.org/officeDocument/2006/relationships/hyperlink" Target="#PDSAData!A1"/><Relationship Id="rId13" Type="http://schemas.openxmlformats.org/officeDocument/2006/relationships/hyperlink" Target="#Pareto!A1"/><Relationship Id="rId18" Type="http://schemas.openxmlformats.org/officeDocument/2006/relationships/hyperlink" Target="#RunChartRules!A1"/><Relationship Id="rId3" Type="http://schemas.openxmlformats.org/officeDocument/2006/relationships/chart" Target="../charts/chart16.xml"/><Relationship Id="rId7" Type="http://schemas.openxmlformats.org/officeDocument/2006/relationships/hyperlink" Target="#Instructions!A1"/><Relationship Id="rId12" Type="http://schemas.openxmlformats.org/officeDocument/2006/relationships/hyperlink" Target="#Histogram!A1"/><Relationship Id="rId17" Type="http://schemas.openxmlformats.org/officeDocument/2006/relationships/hyperlink" Target="#RunChart4!A1"/><Relationship Id="rId2" Type="http://schemas.openxmlformats.org/officeDocument/2006/relationships/chart" Target="../charts/chart15.xml"/><Relationship Id="rId16" Type="http://schemas.openxmlformats.org/officeDocument/2006/relationships/hyperlink" Target="#RunChart3!A1"/><Relationship Id="rId1" Type="http://schemas.openxmlformats.org/officeDocument/2006/relationships/chart" Target="../charts/chart14.xml"/><Relationship Id="rId6" Type="http://schemas.openxmlformats.org/officeDocument/2006/relationships/hyperlink" Target="#ResidentData!A1"/><Relationship Id="rId11" Type="http://schemas.openxmlformats.org/officeDocument/2006/relationships/hyperlink" Target="#ScatterPlot!A1"/><Relationship Id="rId5" Type="http://schemas.openxmlformats.org/officeDocument/2006/relationships/hyperlink" Target="#Home!A1"/><Relationship Id="rId15" Type="http://schemas.openxmlformats.org/officeDocument/2006/relationships/hyperlink" Target="#RunChart2!A1"/><Relationship Id="rId10" Type="http://schemas.openxmlformats.org/officeDocument/2006/relationships/hyperlink" Target="#ReductionForm!A1"/><Relationship Id="rId19" Type="http://schemas.openxmlformats.org/officeDocument/2006/relationships/hyperlink" Target="#MedList!A1"/><Relationship Id="rId4" Type="http://schemas.openxmlformats.org/officeDocument/2006/relationships/chart" Target="../charts/chart17.xml"/><Relationship Id="rId9" Type="http://schemas.openxmlformats.org/officeDocument/2006/relationships/hyperlink" Target="#Summary!A1"/><Relationship Id="rId14" Type="http://schemas.openxmlformats.org/officeDocument/2006/relationships/hyperlink" Target="#RunChart1!A1"/></Relationships>
</file>

<file path=xl/drawings/_rels/drawing21.xml.rels><?xml version="1.0" encoding="UTF-8" standalone="yes"?>
<Relationships xmlns="http://schemas.openxmlformats.org/package/2006/relationships"><Relationship Id="rId8" Type="http://schemas.openxmlformats.org/officeDocument/2006/relationships/hyperlink" Target="#Histogram!A1"/><Relationship Id="rId13" Type="http://schemas.openxmlformats.org/officeDocument/2006/relationships/hyperlink" Target="#RunChart4!A1"/><Relationship Id="rId3" Type="http://schemas.openxmlformats.org/officeDocument/2006/relationships/hyperlink" Target="#Instructions!A1"/><Relationship Id="rId7" Type="http://schemas.openxmlformats.org/officeDocument/2006/relationships/hyperlink" Target="#ScatterPlot!A1"/><Relationship Id="rId12" Type="http://schemas.openxmlformats.org/officeDocument/2006/relationships/hyperlink" Target="#RunChart3!A1"/><Relationship Id="rId2" Type="http://schemas.openxmlformats.org/officeDocument/2006/relationships/hyperlink" Target="#ResidentData!A1"/><Relationship Id="rId1" Type="http://schemas.openxmlformats.org/officeDocument/2006/relationships/hyperlink" Target="#Home!A1"/><Relationship Id="rId6" Type="http://schemas.openxmlformats.org/officeDocument/2006/relationships/hyperlink" Target="#ReductionForm!A1"/><Relationship Id="rId11" Type="http://schemas.openxmlformats.org/officeDocument/2006/relationships/hyperlink" Target="#RunChart2!A1"/><Relationship Id="rId5" Type="http://schemas.openxmlformats.org/officeDocument/2006/relationships/hyperlink" Target="#Summary!A1"/><Relationship Id="rId15" Type="http://schemas.openxmlformats.org/officeDocument/2006/relationships/hyperlink" Target="#RunChartRules!A1"/><Relationship Id="rId10" Type="http://schemas.openxmlformats.org/officeDocument/2006/relationships/hyperlink" Target="#RunChart1!A1"/><Relationship Id="rId4" Type="http://schemas.openxmlformats.org/officeDocument/2006/relationships/hyperlink" Target="#PDSAData!A1"/><Relationship Id="rId9" Type="http://schemas.openxmlformats.org/officeDocument/2006/relationships/hyperlink" Target="#Pareto!A1"/><Relationship Id="rId14" Type="http://schemas.openxmlformats.org/officeDocument/2006/relationships/hyperlink" Target="#MedList!A1"/></Relationships>
</file>

<file path=xl/drawings/drawing1.xml><?xml version="1.0" encoding="utf-8"?>
<xdr:wsDr xmlns:xdr="http://schemas.openxmlformats.org/drawingml/2006/spreadsheetDrawing" xmlns:a="http://schemas.openxmlformats.org/drawingml/2006/main">
  <xdr:twoCellAnchor>
    <xdr:from>
      <xdr:col>0</xdr:col>
      <xdr:colOff>361950</xdr:colOff>
      <xdr:row>11</xdr:row>
      <xdr:rowOff>219075</xdr:rowOff>
    </xdr:from>
    <xdr:to>
      <xdr:col>0</xdr:col>
      <xdr:colOff>1581150</xdr:colOff>
      <xdr:row>13</xdr:row>
      <xdr:rowOff>3075</xdr:rowOff>
    </xdr:to>
    <xdr:sp macro="" textlink="">
      <xdr:nvSpPr>
        <xdr:cNvPr id="10" name="Rounded Rectangle 9">
          <a:hlinkClick xmlns:r="http://schemas.openxmlformats.org/officeDocument/2006/relationships" r:id="rId1"/>
        </xdr:cNvPr>
        <xdr:cNvSpPr/>
      </xdr:nvSpPr>
      <xdr:spPr>
        <a:xfrm>
          <a:off x="361950" y="2714625"/>
          <a:ext cx="1219200"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Scatter Plot</a:t>
          </a:r>
        </a:p>
      </xdr:txBody>
    </xdr:sp>
    <xdr:clientData/>
  </xdr:twoCellAnchor>
  <xdr:twoCellAnchor>
    <xdr:from>
      <xdr:col>0</xdr:col>
      <xdr:colOff>361950</xdr:colOff>
      <xdr:row>13</xdr:row>
      <xdr:rowOff>219075</xdr:rowOff>
    </xdr:from>
    <xdr:to>
      <xdr:col>0</xdr:col>
      <xdr:colOff>1581150</xdr:colOff>
      <xdr:row>15</xdr:row>
      <xdr:rowOff>3075</xdr:rowOff>
    </xdr:to>
    <xdr:sp macro="" textlink="">
      <xdr:nvSpPr>
        <xdr:cNvPr id="11" name="Rounded Rectangle 10">
          <a:hlinkClick xmlns:r="http://schemas.openxmlformats.org/officeDocument/2006/relationships" r:id="rId2"/>
        </xdr:cNvPr>
        <xdr:cNvSpPr/>
      </xdr:nvSpPr>
      <xdr:spPr>
        <a:xfrm>
          <a:off x="361950" y="3171825"/>
          <a:ext cx="1219200"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Histogram</a:t>
          </a:r>
        </a:p>
      </xdr:txBody>
    </xdr:sp>
    <xdr:clientData/>
  </xdr:twoCellAnchor>
  <xdr:twoCellAnchor>
    <xdr:from>
      <xdr:col>0</xdr:col>
      <xdr:colOff>361950</xdr:colOff>
      <xdr:row>15</xdr:row>
      <xdr:rowOff>219075</xdr:rowOff>
    </xdr:from>
    <xdr:to>
      <xdr:col>0</xdr:col>
      <xdr:colOff>1581150</xdr:colOff>
      <xdr:row>17</xdr:row>
      <xdr:rowOff>3075</xdr:rowOff>
    </xdr:to>
    <xdr:sp macro="" textlink="">
      <xdr:nvSpPr>
        <xdr:cNvPr id="12" name="Rounded Rectangle 11">
          <a:hlinkClick xmlns:r="http://schemas.openxmlformats.org/officeDocument/2006/relationships" r:id="rId3"/>
        </xdr:cNvPr>
        <xdr:cNvSpPr/>
      </xdr:nvSpPr>
      <xdr:spPr>
        <a:xfrm>
          <a:off x="361950" y="3629025"/>
          <a:ext cx="1219200"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Pareto</a:t>
          </a:r>
        </a:p>
      </xdr:txBody>
    </xdr:sp>
    <xdr:clientData/>
  </xdr:twoCellAnchor>
  <xdr:twoCellAnchor>
    <xdr:from>
      <xdr:col>0</xdr:col>
      <xdr:colOff>361950</xdr:colOff>
      <xdr:row>17</xdr:row>
      <xdr:rowOff>219075</xdr:rowOff>
    </xdr:from>
    <xdr:to>
      <xdr:col>0</xdr:col>
      <xdr:colOff>1581150</xdr:colOff>
      <xdr:row>19</xdr:row>
      <xdr:rowOff>3075</xdr:rowOff>
    </xdr:to>
    <xdr:sp macro="" textlink="">
      <xdr:nvSpPr>
        <xdr:cNvPr id="13" name="Rounded Rectangle 12">
          <a:hlinkClick xmlns:r="http://schemas.openxmlformats.org/officeDocument/2006/relationships" r:id="rId4"/>
        </xdr:cNvPr>
        <xdr:cNvSpPr/>
      </xdr:nvSpPr>
      <xdr:spPr>
        <a:xfrm>
          <a:off x="361950" y="4086225"/>
          <a:ext cx="1219200"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Run Chart 1</a:t>
          </a:r>
        </a:p>
      </xdr:txBody>
    </xdr:sp>
    <xdr:clientData/>
  </xdr:twoCellAnchor>
  <xdr:twoCellAnchor>
    <xdr:from>
      <xdr:col>0</xdr:col>
      <xdr:colOff>361950</xdr:colOff>
      <xdr:row>19</xdr:row>
      <xdr:rowOff>219075</xdr:rowOff>
    </xdr:from>
    <xdr:to>
      <xdr:col>0</xdr:col>
      <xdr:colOff>1581150</xdr:colOff>
      <xdr:row>21</xdr:row>
      <xdr:rowOff>3075</xdr:rowOff>
    </xdr:to>
    <xdr:sp macro="" textlink="">
      <xdr:nvSpPr>
        <xdr:cNvPr id="14" name="Rounded Rectangle 13">
          <a:hlinkClick xmlns:r="http://schemas.openxmlformats.org/officeDocument/2006/relationships" r:id="rId5"/>
        </xdr:cNvPr>
        <xdr:cNvSpPr/>
      </xdr:nvSpPr>
      <xdr:spPr>
        <a:xfrm>
          <a:off x="361950" y="4543425"/>
          <a:ext cx="1219200"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Run Chart 2</a:t>
          </a:r>
        </a:p>
      </xdr:txBody>
    </xdr:sp>
    <xdr:clientData/>
  </xdr:twoCellAnchor>
  <xdr:twoCellAnchor>
    <xdr:from>
      <xdr:col>0</xdr:col>
      <xdr:colOff>361950</xdr:colOff>
      <xdr:row>21</xdr:row>
      <xdr:rowOff>219075</xdr:rowOff>
    </xdr:from>
    <xdr:to>
      <xdr:col>0</xdr:col>
      <xdr:colOff>1581150</xdr:colOff>
      <xdr:row>23</xdr:row>
      <xdr:rowOff>3075</xdr:rowOff>
    </xdr:to>
    <xdr:sp macro="" textlink="">
      <xdr:nvSpPr>
        <xdr:cNvPr id="15" name="Rounded Rectangle 14">
          <a:hlinkClick xmlns:r="http://schemas.openxmlformats.org/officeDocument/2006/relationships" r:id="rId6"/>
        </xdr:cNvPr>
        <xdr:cNvSpPr/>
      </xdr:nvSpPr>
      <xdr:spPr>
        <a:xfrm>
          <a:off x="361950" y="5000625"/>
          <a:ext cx="1219200"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Run Chart 3</a:t>
          </a:r>
        </a:p>
      </xdr:txBody>
    </xdr:sp>
    <xdr:clientData/>
  </xdr:twoCellAnchor>
  <xdr:twoCellAnchor>
    <xdr:from>
      <xdr:col>0</xdr:col>
      <xdr:colOff>361950</xdr:colOff>
      <xdr:row>23</xdr:row>
      <xdr:rowOff>219075</xdr:rowOff>
    </xdr:from>
    <xdr:to>
      <xdr:col>0</xdr:col>
      <xdr:colOff>1581150</xdr:colOff>
      <xdr:row>25</xdr:row>
      <xdr:rowOff>3075</xdr:rowOff>
    </xdr:to>
    <xdr:sp macro="" textlink="">
      <xdr:nvSpPr>
        <xdr:cNvPr id="16" name="Rounded Rectangle 15">
          <a:hlinkClick xmlns:r="http://schemas.openxmlformats.org/officeDocument/2006/relationships" r:id="rId7"/>
        </xdr:cNvPr>
        <xdr:cNvSpPr/>
      </xdr:nvSpPr>
      <xdr:spPr>
        <a:xfrm>
          <a:off x="361950" y="5457825"/>
          <a:ext cx="1219200"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Run Chart 4</a:t>
          </a:r>
        </a:p>
      </xdr:txBody>
    </xdr:sp>
    <xdr:clientData/>
  </xdr:twoCellAnchor>
  <xdr:twoCellAnchor>
    <xdr:from>
      <xdr:col>0</xdr:col>
      <xdr:colOff>352425</xdr:colOff>
      <xdr:row>26</xdr:row>
      <xdr:rowOff>0</xdr:rowOff>
    </xdr:from>
    <xdr:to>
      <xdr:col>0</xdr:col>
      <xdr:colOff>1571625</xdr:colOff>
      <xdr:row>27</xdr:row>
      <xdr:rowOff>22125</xdr:rowOff>
    </xdr:to>
    <xdr:sp macro="" textlink="">
      <xdr:nvSpPr>
        <xdr:cNvPr id="17" name="Rounded Rectangle 16">
          <a:hlinkClick xmlns:r="http://schemas.openxmlformats.org/officeDocument/2006/relationships" r:id="rId8"/>
        </xdr:cNvPr>
        <xdr:cNvSpPr/>
      </xdr:nvSpPr>
      <xdr:spPr>
        <a:xfrm>
          <a:off x="352425" y="594360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Run</a:t>
          </a:r>
          <a:r>
            <a:rPr lang="en-CA" sz="1300" b="0" baseline="0">
              <a:solidFill>
                <a:sysClr val="windowText" lastClr="000000"/>
              </a:solidFill>
            </a:rPr>
            <a:t> Chart Rules</a:t>
          </a:r>
          <a:endParaRPr lang="en-CA" sz="1300" b="0">
            <a:solidFill>
              <a:sysClr val="windowText" lastClr="000000"/>
            </a:solidFill>
          </a:endParaRPr>
        </a:p>
      </xdr:txBody>
    </xdr:sp>
    <xdr:clientData/>
  </xdr:twoCellAnchor>
  <xdr:twoCellAnchor editAs="oneCell">
    <xdr:from>
      <xdr:col>8</xdr:col>
      <xdr:colOff>438150</xdr:colOff>
      <xdr:row>2</xdr:row>
      <xdr:rowOff>66673</xdr:rowOff>
    </xdr:from>
    <xdr:to>
      <xdr:col>13</xdr:col>
      <xdr:colOff>0</xdr:colOff>
      <xdr:row>11</xdr:row>
      <xdr:rowOff>183441</xdr:rowOff>
    </xdr:to>
    <xdr:pic>
      <xdr:nvPicPr>
        <xdr:cNvPr id="3" name="Picture 2"/>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4386" t="9746" r="20755"/>
        <a:stretch/>
      </xdr:blipFill>
      <xdr:spPr>
        <a:xfrm>
          <a:off x="6391275" y="571498"/>
          <a:ext cx="2609850" cy="2145593"/>
        </a:xfrm>
        <a:prstGeom prst="rect">
          <a:avLst/>
        </a:prstGeom>
      </xdr:spPr>
    </xdr:pic>
    <xdr:clientData/>
  </xdr:twoCellAnchor>
  <xdr:twoCellAnchor>
    <xdr:from>
      <xdr:col>17</xdr:col>
      <xdr:colOff>514350</xdr:colOff>
      <xdr:row>5</xdr:row>
      <xdr:rowOff>114300</xdr:rowOff>
    </xdr:from>
    <xdr:to>
      <xdr:col>19</xdr:col>
      <xdr:colOff>514350</xdr:colOff>
      <xdr:row>6</xdr:row>
      <xdr:rowOff>126900</xdr:rowOff>
    </xdr:to>
    <xdr:sp macro="" textlink="">
      <xdr:nvSpPr>
        <xdr:cNvPr id="32" name="Rounded Rectangle 31">
          <a:hlinkClick xmlns:r="http://schemas.openxmlformats.org/officeDocument/2006/relationships" r:id="rId10"/>
        </xdr:cNvPr>
        <xdr:cNvSpPr/>
      </xdr:nvSpPr>
      <xdr:spPr>
        <a:xfrm>
          <a:off x="11953875" y="129540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Instructions</a:t>
          </a:r>
        </a:p>
      </xdr:txBody>
    </xdr:sp>
    <xdr:clientData/>
  </xdr:twoCellAnchor>
  <xdr:twoCellAnchor>
    <xdr:from>
      <xdr:col>1</xdr:col>
      <xdr:colOff>76200</xdr:colOff>
      <xdr:row>0</xdr:row>
      <xdr:rowOff>0</xdr:rowOff>
    </xdr:from>
    <xdr:to>
      <xdr:col>20</xdr:col>
      <xdr:colOff>238125</xdr:colOff>
      <xdr:row>0</xdr:row>
      <xdr:rowOff>241200</xdr:rowOff>
    </xdr:to>
    <xdr:grpSp>
      <xdr:nvGrpSpPr>
        <xdr:cNvPr id="4" name="Group 3"/>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762125" y="0"/>
            <a:chExt cx="10982324" cy="241200"/>
          </a:xfrm>
        </xdr:grpSpPr>
        <xdr:sp macro="" textlink="">
          <xdr:nvSpPr>
            <xdr:cNvPr id="20" name="Rounded Rectangle 19">
              <a:hlinkClick xmlns:r="http://schemas.openxmlformats.org/officeDocument/2006/relationships" r:id="rId11"/>
            </xdr:cNvPr>
            <xdr:cNvSpPr/>
          </xdr:nvSpPr>
          <xdr:spPr>
            <a:xfrm>
              <a:off x="1762125" y="0"/>
              <a:ext cx="1219200" cy="241200"/>
            </a:xfrm>
            <a:prstGeom prst="roundRect">
              <a:avLst/>
            </a:prstGeom>
            <a:solidFill>
              <a:schemeClr val="bg1">
                <a:lumMod val="85000"/>
              </a:schemeClr>
            </a:solidFill>
            <a:ln w="15875">
              <a:solidFill>
                <a:schemeClr val="tx1">
                  <a:lumMod val="50000"/>
                  <a:lumOff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1">
                  <a:solidFill>
                    <a:schemeClr val="tx1">
                      <a:lumMod val="50000"/>
                      <a:lumOff val="50000"/>
                    </a:schemeClr>
                  </a:solidFill>
                </a:rPr>
                <a:t>Home</a:t>
              </a:r>
            </a:p>
          </xdr:txBody>
        </xdr:sp>
        <xdr:sp macro="" textlink="">
          <xdr:nvSpPr>
            <xdr:cNvPr id="21" name="Rounded Rectangle 20">
              <a:hlinkClick xmlns:r="http://schemas.openxmlformats.org/officeDocument/2006/relationships" r:id="rId12"/>
            </xdr:cNvPr>
            <xdr:cNvSpPr/>
          </xdr:nvSpPr>
          <xdr:spPr>
            <a:xfrm>
              <a:off x="4444365"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22" name="Rounded Rectangle 21">
              <a:hlinkClick xmlns:r="http://schemas.openxmlformats.org/officeDocument/2006/relationships" r:id="rId13"/>
            </xdr:cNvPr>
            <xdr:cNvSpPr/>
          </xdr:nvSpPr>
          <xdr:spPr>
            <a:xfrm>
              <a:off x="5785485"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23" name="Rounded Rectangle 22">
              <a:hlinkClick xmlns:r="http://schemas.openxmlformats.org/officeDocument/2006/relationships" r:id="rId14"/>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Summary</a:t>
              </a:r>
            </a:p>
          </xdr:txBody>
        </xdr:sp>
        <xdr:sp macro="" textlink="">
          <xdr:nvSpPr>
            <xdr:cNvPr id="24" name="Rounded Rectangle 23">
              <a:hlinkClick xmlns:r="http://schemas.openxmlformats.org/officeDocument/2006/relationships" r:id="rId15"/>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Reduction Form</a:t>
              </a:r>
            </a:p>
          </xdr:txBody>
        </xdr:sp>
        <xdr:sp macro="" textlink="">
          <xdr:nvSpPr>
            <xdr:cNvPr id="25" name="Rounded Rectangle 24">
              <a:hlinkClick xmlns:r="http://schemas.openxmlformats.org/officeDocument/2006/relationships" r:id="rId10"/>
            </xdr:cNvPr>
            <xdr:cNvSpPr/>
          </xdr:nvSpPr>
          <xdr:spPr>
            <a:xfrm>
              <a:off x="310324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Instructions</a:t>
              </a:r>
            </a:p>
          </xdr:txBody>
        </xdr:sp>
        <xdr:sp macro="" textlink="">
          <xdr:nvSpPr>
            <xdr:cNvPr id="18" name="Rounded Rectangle 17">
              <a:hlinkClick xmlns:r="http://schemas.openxmlformats.org/officeDocument/2006/relationships" r:id="rId1"/>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9" name="Rounded Rectangle 18">
              <a:hlinkClick xmlns:r="http://schemas.openxmlformats.org/officeDocument/2006/relationships" r:id="rId2"/>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26" name="Rounded Rectangle 25">
              <a:hlinkClick xmlns:r="http://schemas.openxmlformats.org/officeDocument/2006/relationships" r:id="rId3"/>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27" name="Rounded Rectangle 26">
              <a:hlinkClick xmlns:r="http://schemas.openxmlformats.org/officeDocument/2006/relationships" r:id="rId4"/>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28" name="Rounded Rectangle 27">
              <a:hlinkClick xmlns:r="http://schemas.openxmlformats.org/officeDocument/2006/relationships" r:id="rId5"/>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9" name="Rounded Rectangle 28">
              <a:hlinkClick xmlns:r="http://schemas.openxmlformats.org/officeDocument/2006/relationships" r:id="rId6"/>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30" name="Rounded Rectangle 29">
              <a:hlinkClick xmlns:r="http://schemas.openxmlformats.org/officeDocument/2006/relationships" r:id="rId7"/>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31" name="Rounded Rectangle 30">
              <a:hlinkClick xmlns:r="http://schemas.openxmlformats.org/officeDocument/2006/relationships" r:id="rId8"/>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33" name="Rounded Rectangle 32">
            <a:hlinkClick xmlns:r="http://schemas.openxmlformats.org/officeDocument/2006/relationships" r:id="rId16"/>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447675</xdr:colOff>
      <xdr:row>31</xdr:row>
      <xdr:rowOff>35025</xdr:rowOff>
    </xdr:from>
    <xdr:to>
      <xdr:col>6</xdr:col>
      <xdr:colOff>447675</xdr:colOff>
      <xdr:row>32</xdr:row>
      <xdr:rowOff>95250</xdr:rowOff>
    </xdr:to>
    <xdr:sp macro="" textlink="">
      <xdr:nvSpPr>
        <xdr:cNvPr id="22" name="Rounded Rectangle 21">
          <a:hlinkClick xmlns:r="http://schemas.openxmlformats.org/officeDocument/2006/relationships" r:id="rId1"/>
        </xdr:cNvPr>
        <xdr:cNvSpPr/>
      </xdr:nvSpPr>
      <xdr:spPr>
        <a:xfrm>
          <a:off x="2886075" y="7331175"/>
          <a:ext cx="1219200" cy="250725"/>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clientData/>
  </xdr:twoCellAnchor>
  <xdr:twoCellAnchor>
    <xdr:from>
      <xdr:col>4</xdr:col>
      <xdr:colOff>438150</xdr:colOff>
      <xdr:row>37</xdr:row>
      <xdr:rowOff>35025</xdr:rowOff>
    </xdr:from>
    <xdr:to>
      <xdr:col>6</xdr:col>
      <xdr:colOff>438150</xdr:colOff>
      <xdr:row>38</xdr:row>
      <xdr:rowOff>104775</xdr:rowOff>
    </xdr:to>
    <xdr:sp macro="" textlink="">
      <xdr:nvSpPr>
        <xdr:cNvPr id="24" name="Rounded Rectangle 23">
          <a:hlinkClick xmlns:r="http://schemas.openxmlformats.org/officeDocument/2006/relationships" r:id="rId2"/>
        </xdr:cNvPr>
        <xdr:cNvSpPr/>
      </xdr:nvSpPr>
      <xdr:spPr>
        <a:xfrm>
          <a:off x="2876550" y="8483700"/>
          <a:ext cx="1219200" cy="26025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clientData/>
  </xdr:twoCellAnchor>
  <xdr:twoCellAnchor>
    <xdr:from>
      <xdr:col>4</xdr:col>
      <xdr:colOff>438150</xdr:colOff>
      <xdr:row>42</xdr:row>
      <xdr:rowOff>44550</xdr:rowOff>
    </xdr:from>
    <xdr:to>
      <xdr:col>6</xdr:col>
      <xdr:colOff>438150</xdr:colOff>
      <xdr:row>43</xdr:row>
      <xdr:rowOff>104775</xdr:rowOff>
    </xdr:to>
    <xdr:sp macro="" textlink="">
      <xdr:nvSpPr>
        <xdr:cNvPr id="26" name="Rounded Rectangle 25">
          <a:hlinkClick xmlns:r="http://schemas.openxmlformats.org/officeDocument/2006/relationships" r:id="rId3"/>
        </xdr:cNvPr>
        <xdr:cNvSpPr/>
      </xdr:nvSpPr>
      <xdr:spPr>
        <a:xfrm>
          <a:off x="2876550" y="9464775"/>
          <a:ext cx="1219200" cy="250725"/>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Reduction Form</a:t>
          </a:r>
        </a:p>
      </xdr:txBody>
    </xdr:sp>
    <xdr:clientData/>
  </xdr:twoCellAnchor>
  <xdr:twoCellAnchor>
    <xdr:from>
      <xdr:col>56</xdr:col>
      <xdr:colOff>209550</xdr:colOff>
      <xdr:row>9</xdr:row>
      <xdr:rowOff>0</xdr:rowOff>
    </xdr:from>
    <xdr:to>
      <xdr:col>58</xdr:col>
      <xdr:colOff>209550</xdr:colOff>
      <xdr:row>10</xdr:row>
      <xdr:rowOff>76887</xdr:rowOff>
    </xdr:to>
    <xdr:sp macro="" textlink="">
      <xdr:nvSpPr>
        <xdr:cNvPr id="28" name="Rounded Rectangle 27">
          <a:hlinkClick xmlns:r="http://schemas.openxmlformats.org/officeDocument/2006/relationships" r:id="rId4"/>
        </xdr:cNvPr>
        <xdr:cNvSpPr/>
      </xdr:nvSpPr>
      <xdr:spPr>
        <a:xfrm>
          <a:off x="209550" y="11220450"/>
          <a:ext cx="1219200" cy="295962"/>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clientData/>
  </xdr:twoCellAnchor>
  <xdr:twoCellAnchor editAs="oneCell">
    <xdr:from>
      <xdr:col>60</xdr:col>
      <xdr:colOff>0</xdr:colOff>
      <xdr:row>7</xdr:row>
      <xdr:rowOff>57150</xdr:rowOff>
    </xdr:from>
    <xdr:to>
      <xdr:col>60</xdr:col>
      <xdr:colOff>485927</xdr:colOff>
      <xdr:row>14</xdr:row>
      <xdr:rowOff>28575</xdr:rowOff>
    </xdr:to>
    <xdr:pic>
      <xdr:nvPicPr>
        <xdr:cNvPr id="31" name="Picture 30"/>
        <xdr:cNvPicPr>
          <a:picLocks noChangeAspect="1"/>
        </xdr:cNvPicPr>
      </xdr:nvPicPr>
      <xdr:blipFill>
        <a:blip xmlns:r="http://schemas.openxmlformats.org/officeDocument/2006/relationships" r:embed="rId5"/>
        <a:stretch>
          <a:fillRect/>
        </a:stretch>
      </xdr:blipFill>
      <xdr:spPr>
        <a:xfrm>
          <a:off x="15982950" y="1533525"/>
          <a:ext cx="485927" cy="1314450"/>
        </a:xfrm>
        <a:prstGeom prst="rect">
          <a:avLst/>
        </a:prstGeom>
      </xdr:spPr>
    </xdr:pic>
    <xdr:clientData/>
  </xdr:twoCellAnchor>
  <xdr:twoCellAnchor>
    <xdr:from>
      <xdr:col>58</xdr:col>
      <xdr:colOff>371475</xdr:colOff>
      <xdr:row>9</xdr:row>
      <xdr:rowOff>161925</xdr:rowOff>
    </xdr:from>
    <xdr:to>
      <xdr:col>59</xdr:col>
      <xdr:colOff>371475</xdr:colOff>
      <xdr:row>9</xdr:row>
      <xdr:rowOff>161925</xdr:rowOff>
    </xdr:to>
    <xdr:cxnSp macro="">
      <xdr:nvCxnSpPr>
        <xdr:cNvPr id="33" name="Straight Arrow Connector 32"/>
        <xdr:cNvCxnSpPr/>
      </xdr:nvCxnSpPr>
      <xdr:spPr>
        <a:xfrm>
          <a:off x="1590675" y="11382375"/>
          <a:ext cx="609600" cy="0"/>
        </a:xfrm>
        <a:prstGeom prst="straightConnector1">
          <a:avLst/>
        </a:prstGeom>
        <a:ln w="38100">
          <a:headEnd type="none" w="med" len="med"/>
          <a:tailEnd type="stealth"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438150</xdr:colOff>
      <xdr:row>34</xdr:row>
      <xdr:rowOff>44550</xdr:rowOff>
    </xdr:from>
    <xdr:to>
      <xdr:col>62</xdr:col>
      <xdr:colOff>438150</xdr:colOff>
      <xdr:row>35</xdr:row>
      <xdr:rowOff>104775</xdr:rowOff>
    </xdr:to>
    <xdr:sp macro="" textlink="">
      <xdr:nvSpPr>
        <xdr:cNvPr id="40" name="Rounded Rectangle 39">
          <a:hlinkClick xmlns:r="http://schemas.openxmlformats.org/officeDocument/2006/relationships" r:id="rId6"/>
        </xdr:cNvPr>
        <xdr:cNvSpPr/>
      </xdr:nvSpPr>
      <xdr:spPr>
        <a:xfrm>
          <a:off x="18859500" y="4235550"/>
          <a:ext cx="1219200" cy="250725"/>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Run</a:t>
          </a:r>
          <a:r>
            <a:rPr lang="en-CA" sz="1300" b="0" baseline="0">
              <a:solidFill>
                <a:sysClr val="windowText" lastClr="000000"/>
              </a:solidFill>
            </a:rPr>
            <a:t> Chart Rules</a:t>
          </a:r>
          <a:endParaRPr lang="en-CA" sz="1300" b="0">
            <a:solidFill>
              <a:sysClr val="windowText" lastClr="000000"/>
            </a:solidFill>
          </a:endParaRPr>
        </a:p>
      </xdr:txBody>
    </xdr:sp>
    <xdr:clientData/>
  </xdr:twoCellAnchor>
  <xdr:twoCellAnchor editAs="oneCell">
    <xdr:from>
      <xdr:col>1</xdr:col>
      <xdr:colOff>104775</xdr:colOff>
      <xdr:row>17</xdr:row>
      <xdr:rowOff>47649</xdr:rowOff>
    </xdr:from>
    <xdr:to>
      <xdr:col>6</xdr:col>
      <xdr:colOff>285750</xdr:colOff>
      <xdr:row>18</xdr:row>
      <xdr:rowOff>47625</xdr:rowOff>
    </xdr:to>
    <xdr:pic>
      <xdr:nvPicPr>
        <xdr:cNvPr id="4" name="Picture 3"/>
        <xdr:cNvPicPr>
          <a:picLocks noChangeAspect="1"/>
        </xdr:cNvPicPr>
      </xdr:nvPicPr>
      <xdr:blipFill rotWithShape="1">
        <a:blip xmlns:r="http://schemas.openxmlformats.org/officeDocument/2006/relationships" r:embed="rId7"/>
        <a:srcRect r="34166"/>
        <a:stretch/>
      </xdr:blipFill>
      <xdr:spPr>
        <a:xfrm>
          <a:off x="714375" y="3476649"/>
          <a:ext cx="3228975" cy="190476"/>
        </a:xfrm>
        <a:prstGeom prst="rect">
          <a:avLst/>
        </a:prstGeom>
      </xdr:spPr>
    </xdr:pic>
    <xdr:clientData/>
  </xdr:twoCellAnchor>
  <xdr:twoCellAnchor editAs="oneCell">
    <xdr:from>
      <xdr:col>1</xdr:col>
      <xdr:colOff>1008</xdr:colOff>
      <xdr:row>15</xdr:row>
      <xdr:rowOff>85725</xdr:rowOff>
    </xdr:from>
    <xdr:to>
      <xdr:col>6</xdr:col>
      <xdr:colOff>561975</xdr:colOff>
      <xdr:row>16</xdr:row>
      <xdr:rowOff>100028</xdr:rowOff>
    </xdr:to>
    <xdr:pic>
      <xdr:nvPicPr>
        <xdr:cNvPr id="5" name="Picture 4"/>
        <xdr:cNvPicPr>
          <a:picLocks noChangeAspect="1"/>
        </xdr:cNvPicPr>
      </xdr:nvPicPr>
      <xdr:blipFill rotWithShape="1">
        <a:blip xmlns:r="http://schemas.openxmlformats.org/officeDocument/2006/relationships" r:embed="rId8"/>
        <a:srcRect l="1" t="23800" r="33416"/>
        <a:stretch/>
      </xdr:blipFill>
      <xdr:spPr>
        <a:xfrm>
          <a:off x="610608" y="3114675"/>
          <a:ext cx="3608967" cy="204803"/>
        </a:xfrm>
        <a:prstGeom prst="rect">
          <a:avLst/>
        </a:prstGeom>
      </xdr:spPr>
    </xdr:pic>
    <xdr:clientData/>
  </xdr:twoCellAnchor>
  <xdr:twoCellAnchor>
    <xdr:from>
      <xdr:col>36</xdr:col>
      <xdr:colOff>466725</xdr:colOff>
      <xdr:row>7</xdr:row>
      <xdr:rowOff>54075</xdr:rowOff>
    </xdr:from>
    <xdr:to>
      <xdr:col>38</xdr:col>
      <xdr:colOff>466725</xdr:colOff>
      <xdr:row>8</xdr:row>
      <xdr:rowOff>104775</xdr:rowOff>
    </xdr:to>
    <xdr:sp macro="" textlink="">
      <xdr:nvSpPr>
        <xdr:cNvPr id="21" name="Rounded Rectangle 20">
          <a:hlinkClick xmlns:r="http://schemas.openxmlformats.org/officeDocument/2006/relationships" r:id="rId9"/>
        </xdr:cNvPr>
        <xdr:cNvSpPr/>
      </xdr:nvSpPr>
      <xdr:spPr>
        <a:xfrm>
          <a:off x="20964525" y="153045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Summary</a:t>
          </a:r>
        </a:p>
      </xdr:txBody>
    </xdr:sp>
    <xdr:clientData/>
  </xdr:twoCellAnchor>
  <xdr:twoCellAnchor editAs="oneCell">
    <xdr:from>
      <xdr:col>32</xdr:col>
      <xdr:colOff>283386</xdr:colOff>
      <xdr:row>38</xdr:row>
      <xdr:rowOff>44196</xdr:rowOff>
    </xdr:from>
    <xdr:to>
      <xdr:col>38</xdr:col>
      <xdr:colOff>326815</xdr:colOff>
      <xdr:row>42</xdr:row>
      <xdr:rowOff>135838</xdr:rowOff>
    </xdr:to>
    <xdr:pic>
      <xdr:nvPicPr>
        <xdr:cNvPr id="23" name="Picture 22"/>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18307617" y="7700831"/>
          <a:ext cx="3692236" cy="860969"/>
        </a:xfrm>
        <a:prstGeom prst="rect">
          <a:avLst/>
        </a:prstGeom>
      </xdr:spPr>
    </xdr:pic>
    <xdr:clientData/>
  </xdr:twoCellAnchor>
  <xdr:twoCellAnchor editAs="oneCell">
    <xdr:from>
      <xdr:col>66</xdr:col>
      <xdr:colOff>466725</xdr:colOff>
      <xdr:row>10</xdr:row>
      <xdr:rowOff>19050</xdr:rowOff>
    </xdr:from>
    <xdr:to>
      <xdr:col>67</xdr:col>
      <xdr:colOff>19050</xdr:colOff>
      <xdr:row>10</xdr:row>
      <xdr:rowOff>180975</xdr:rowOff>
    </xdr:to>
    <xdr:pic>
      <xdr:nvPicPr>
        <xdr:cNvPr id="41" name="Picture 40" descr="Filter drop-down arrow"/>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804725" y="2076450"/>
          <a:ext cx="161925" cy="161925"/>
        </a:xfrm>
        <a:prstGeom prst="rect">
          <a:avLst/>
        </a:prstGeom>
        <a:noFill/>
        <a:ln>
          <a:noFill/>
        </a:ln>
      </xdr:spPr>
    </xdr:pic>
    <xdr:clientData/>
  </xdr:twoCellAnchor>
  <xdr:twoCellAnchor editAs="oneCell">
    <xdr:from>
      <xdr:col>64</xdr:col>
      <xdr:colOff>278569</xdr:colOff>
      <xdr:row>11</xdr:row>
      <xdr:rowOff>173355</xdr:rowOff>
    </xdr:from>
    <xdr:to>
      <xdr:col>70</xdr:col>
      <xdr:colOff>281821</xdr:colOff>
      <xdr:row>24</xdr:row>
      <xdr:rowOff>133350</xdr:rowOff>
    </xdr:to>
    <xdr:pic>
      <xdr:nvPicPr>
        <xdr:cNvPr id="42" name="Picture 41"/>
        <xdr:cNvPicPr/>
      </xdr:nvPicPr>
      <xdr:blipFill>
        <a:blip xmlns:r="http://schemas.openxmlformats.org/officeDocument/2006/relationships" r:embed="rId12"/>
        <a:stretch>
          <a:fillRect/>
        </a:stretch>
      </xdr:blipFill>
      <xdr:spPr>
        <a:xfrm>
          <a:off x="36397369" y="2421255"/>
          <a:ext cx="3660852" cy="2474595"/>
        </a:xfrm>
        <a:prstGeom prst="rect">
          <a:avLst/>
        </a:prstGeom>
      </xdr:spPr>
    </xdr:pic>
    <xdr:clientData/>
  </xdr:twoCellAnchor>
  <xdr:twoCellAnchor editAs="oneCell">
    <xdr:from>
      <xdr:col>64</xdr:col>
      <xdr:colOff>352425</xdr:colOff>
      <xdr:row>29</xdr:row>
      <xdr:rowOff>152400</xdr:rowOff>
    </xdr:from>
    <xdr:to>
      <xdr:col>64</xdr:col>
      <xdr:colOff>514350</xdr:colOff>
      <xdr:row>30</xdr:row>
      <xdr:rowOff>114300</xdr:rowOff>
    </xdr:to>
    <xdr:pic>
      <xdr:nvPicPr>
        <xdr:cNvPr id="43" name="Picture 42" descr="Applied filter icon"/>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6471225" y="5886450"/>
          <a:ext cx="161925" cy="161925"/>
        </a:xfrm>
        <a:prstGeom prst="rect">
          <a:avLst/>
        </a:prstGeom>
        <a:noFill/>
        <a:ln>
          <a:noFill/>
        </a:ln>
      </xdr:spPr>
    </xdr:pic>
    <xdr:clientData/>
  </xdr:twoCellAnchor>
  <xdr:twoCellAnchor>
    <xdr:from>
      <xdr:col>2</xdr:col>
      <xdr:colOff>541725</xdr:colOff>
      <xdr:row>0</xdr:row>
      <xdr:rowOff>0</xdr:rowOff>
    </xdr:from>
    <xdr:to>
      <xdr:col>23</xdr:col>
      <xdr:colOff>213120</xdr:colOff>
      <xdr:row>0</xdr:row>
      <xdr:rowOff>241200</xdr:rowOff>
    </xdr:to>
    <xdr:grpSp>
      <xdr:nvGrpSpPr>
        <xdr:cNvPr id="3" name="Group 2"/>
        <xdr:cNvGrpSpPr/>
      </xdr:nvGrpSpPr>
      <xdr:grpSpPr>
        <a:xfrm>
          <a:off x="1760925" y="0"/>
          <a:ext cx="11749095" cy="241200"/>
          <a:chOff x="1760925" y="0"/>
          <a:chExt cx="11749095" cy="241200"/>
        </a:xfrm>
      </xdr:grpSpPr>
      <xdr:grpSp>
        <xdr:nvGrpSpPr>
          <xdr:cNvPr id="2" name="Group 1"/>
          <xdr:cNvGrpSpPr/>
        </xdr:nvGrpSpPr>
        <xdr:grpSpPr>
          <a:xfrm>
            <a:off x="1760925" y="0"/>
            <a:ext cx="10983524" cy="241200"/>
            <a:chOff x="1760925" y="0"/>
            <a:chExt cx="10983524" cy="241200"/>
          </a:xfrm>
        </xdr:grpSpPr>
        <xdr:sp macro="" textlink="">
          <xdr:nvSpPr>
            <xdr:cNvPr id="14" name="Rounded Rectangle 13">
              <a:hlinkClick xmlns:r="http://schemas.openxmlformats.org/officeDocument/2006/relationships" r:id="rId4"/>
            </xdr:cNvPr>
            <xdr:cNvSpPr/>
          </xdr:nvSpPr>
          <xdr:spPr>
            <a:xfrm>
              <a:off x="17609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5" name="Rounded Rectangle 14">
              <a:hlinkClick xmlns:r="http://schemas.openxmlformats.org/officeDocument/2006/relationships" r:id="rId1"/>
            </xdr:cNvPr>
            <xdr:cNvSpPr/>
          </xdr:nvSpPr>
          <xdr:spPr>
            <a:xfrm>
              <a:off x="4443165"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6" name="Rounded Rectangle 15">
              <a:hlinkClick xmlns:r="http://schemas.openxmlformats.org/officeDocument/2006/relationships" r:id="rId2"/>
            </xdr:cNvPr>
            <xdr:cNvSpPr/>
          </xdr:nvSpPr>
          <xdr:spPr>
            <a:xfrm>
              <a:off x="5784285"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7" name="Rounded Rectangle 16">
              <a:hlinkClick xmlns:r="http://schemas.openxmlformats.org/officeDocument/2006/relationships" r:id="rId9"/>
            </xdr:cNvPr>
            <xdr:cNvSpPr/>
          </xdr:nvSpPr>
          <xdr:spPr>
            <a:xfrm>
              <a:off x="71254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Summary</a:t>
              </a:r>
            </a:p>
          </xdr:txBody>
        </xdr:sp>
        <xdr:sp macro="" textlink="">
          <xdr:nvSpPr>
            <xdr:cNvPr id="19" name="Rounded Rectangle 18">
              <a:hlinkClick xmlns:r="http://schemas.openxmlformats.org/officeDocument/2006/relationships" r:id="rId3"/>
            </xdr:cNvPr>
            <xdr:cNvSpPr/>
          </xdr:nvSpPr>
          <xdr:spPr>
            <a:xfrm>
              <a:off x="8466525" y="0"/>
              <a:ext cx="12204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Reduction Form</a:t>
              </a:r>
            </a:p>
          </xdr:txBody>
        </xdr:sp>
        <xdr:sp macro="" textlink="">
          <xdr:nvSpPr>
            <xdr:cNvPr id="20" name="Rounded Rectangle 19">
              <a:hlinkClick xmlns:r="http://schemas.openxmlformats.org/officeDocument/2006/relationships" r:id="rId14"/>
            </xdr:cNvPr>
            <xdr:cNvSpPr/>
          </xdr:nvSpPr>
          <xdr:spPr>
            <a:xfrm>
              <a:off x="3102045" y="0"/>
              <a:ext cx="1219200" cy="241200"/>
            </a:xfrm>
            <a:prstGeom prst="roundRect">
              <a:avLst/>
            </a:prstGeom>
            <a:solidFill>
              <a:schemeClr val="bg1">
                <a:lumMod val="85000"/>
              </a:schemeClr>
            </a:solidFill>
            <a:ln w="15875">
              <a:solidFill>
                <a:schemeClr val="tx1">
                  <a:lumMod val="50000"/>
                  <a:lumOff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1">
                  <a:solidFill>
                    <a:schemeClr val="tx1">
                      <a:lumMod val="50000"/>
                      <a:lumOff val="50000"/>
                    </a:schemeClr>
                  </a:solidFill>
                </a:rPr>
                <a:t>Instructions</a:t>
              </a:r>
            </a:p>
          </xdr:txBody>
        </xdr:sp>
        <xdr:sp macro="" textlink="">
          <xdr:nvSpPr>
            <xdr:cNvPr id="25" name="Rounded Rectangle 24">
              <a:hlinkClick xmlns:r="http://schemas.openxmlformats.org/officeDocument/2006/relationships" r:id="rId15"/>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27" name="Rounded Rectangle 26">
              <a:hlinkClick xmlns:r="http://schemas.openxmlformats.org/officeDocument/2006/relationships" r:id="rId16"/>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29" name="Rounded Rectangle 28">
              <a:hlinkClick xmlns:r="http://schemas.openxmlformats.org/officeDocument/2006/relationships" r:id="rId17"/>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30" name="Rounded Rectangle 29">
              <a:hlinkClick xmlns:r="http://schemas.openxmlformats.org/officeDocument/2006/relationships" r:id="rId18"/>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32" name="Rounded Rectangle 31">
              <a:hlinkClick xmlns:r="http://schemas.openxmlformats.org/officeDocument/2006/relationships" r:id="rId19"/>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34" name="Rounded Rectangle 33">
              <a:hlinkClick xmlns:r="http://schemas.openxmlformats.org/officeDocument/2006/relationships" r:id="rId20"/>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35" name="Rounded Rectangle 34">
              <a:hlinkClick xmlns:r="http://schemas.openxmlformats.org/officeDocument/2006/relationships" r:id="rId21"/>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36" name="Rounded Rectangle 35">
              <a:hlinkClick xmlns:r="http://schemas.openxmlformats.org/officeDocument/2006/relationships" r:id="rId6"/>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37" name="Rounded Rectangle 36">
            <a:hlinkClick xmlns:r="http://schemas.openxmlformats.org/officeDocument/2006/relationships" r:id="rId22"/>
          </xdr:cNvPr>
          <xdr:cNvSpPr/>
        </xdr:nvSpPr>
        <xdr:spPr>
          <a:xfrm>
            <a:off x="1283374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twoCellAnchor>
    <xdr:from>
      <xdr:col>21</xdr:col>
      <xdr:colOff>371475</xdr:colOff>
      <xdr:row>15</xdr:row>
      <xdr:rowOff>66675</xdr:rowOff>
    </xdr:from>
    <xdr:to>
      <xdr:col>22</xdr:col>
      <xdr:colOff>438150</xdr:colOff>
      <xdr:row>16</xdr:row>
      <xdr:rowOff>117375</xdr:rowOff>
    </xdr:to>
    <xdr:sp macro="" textlink="">
      <xdr:nvSpPr>
        <xdr:cNvPr id="38" name="Rounded Rectangle 37">
          <a:hlinkClick xmlns:r="http://schemas.openxmlformats.org/officeDocument/2006/relationships" r:id="rId22"/>
        </xdr:cNvPr>
        <xdr:cNvSpPr/>
      </xdr:nvSpPr>
      <xdr:spPr>
        <a:xfrm>
          <a:off x="12449175" y="308610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0</xdr:row>
      <xdr:rowOff>0</xdr:rowOff>
    </xdr:from>
    <xdr:to>
      <xdr:col>11</xdr:col>
      <xdr:colOff>1181100</xdr:colOff>
      <xdr:row>0</xdr:row>
      <xdr:rowOff>241200</xdr:rowOff>
    </xdr:to>
    <xdr:grpSp>
      <xdr:nvGrpSpPr>
        <xdr:cNvPr id="2" name="Group 1"/>
        <xdr:cNvGrpSpPr/>
      </xdr:nvGrpSpPr>
      <xdr:grpSpPr>
        <a:xfrm>
          <a:off x="1762125" y="0"/>
          <a:ext cx="11744325" cy="241200"/>
          <a:chOff x="1762125" y="0"/>
          <a:chExt cx="11744325" cy="241200"/>
        </a:xfrm>
      </xdr:grpSpPr>
      <xdr:grpSp>
        <xdr:nvGrpSpPr>
          <xdr:cNvPr id="37" name="Group 36"/>
          <xdr:cNvGrpSpPr/>
        </xdr:nvGrpSpPr>
        <xdr:grpSpPr>
          <a:xfrm>
            <a:off x="1762125" y="0"/>
            <a:ext cx="10982324" cy="241200"/>
            <a:chOff x="1762125" y="0"/>
            <a:chExt cx="10982324" cy="241200"/>
          </a:xfrm>
        </xdr:grpSpPr>
        <xdr:sp macro="" textlink="">
          <xdr:nvSpPr>
            <xdr:cNvPr id="38" name="Rounded Rectangle 37">
              <a:hlinkClick xmlns:r="http://schemas.openxmlformats.org/officeDocument/2006/relationships" r:id="rId1"/>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39" name="Rounded Rectangle 38">
              <a:hlinkClick xmlns:r="http://schemas.openxmlformats.org/officeDocument/2006/relationships" r:id="rId2"/>
            </xdr:cNvPr>
            <xdr:cNvSpPr/>
          </xdr:nvSpPr>
          <xdr:spPr>
            <a:xfrm>
              <a:off x="4444365" y="0"/>
              <a:ext cx="1219200" cy="241200"/>
            </a:xfrm>
            <a:prstGeom prst="roundRect">
              <a:avLst/>
            </a:prstGeom>
            <a:solidFill>
              <a:schemeClr val="bg1">
                <a:lumMod val="85000"/>
              </a:schemeClr>
            </a:solidFill>
            <a:ln w="15875">
              <a:solidFill>
                <a:schemeClr val="tx1">
                  <a:lumMod val="50000"/>
                  <a:lumOff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1">
                  <a:solidFill>
                    <a:schemeClr val="bg1">
                      <a:lumMod val="50000"/>
                    </a:schemeClr>
                  </a:solidFill>
                </a:rPr>
                <a:t>Resident</a:t>
              </a:r>
              <a:r>
                <a:rPr lang="en-CA" sz="1300" b="1" baseline="0">
                  <a:solidFill>
                    <a:schemeClr val="bg1">
                      <a:lumMod val="50000"/>
                    </a:schemeClr>
                  </a:solidFill>
                </a:rPr>
                <a:t> Data</a:t>
              </a:r>
              <a:endParaRPr lang="en-CA" sz="1300" b="1">
                <a:solidFill>
                  <a:schemeClr val="bg1">
                    <a:lumMod val="50000"/>
                  </a:schemeClr>
                </a:solidFill>
              </a:endParaRPr>
            </a:p>
          </xdr:txBody>
        </xdr:sp>
        <xdr:sp macro="" textlink="">
          <xdr:nvSpPr>
            <xdr:cNvPr id="40" name="Rounded Rectangle 39">
              <a:hlinkClick xmlns:r="http://schemas.openxmlformats.org/officeDocument/2006/relationships" r:id="rId3"/>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Summary</a:t>
              </a:r>
            </a:p>
          </xdr:txBody>
        </xdr:sp>
        <xdr:sp macro="" textlink="">
          <xdr:nvSpPr>
            <xdr:cNvPr id="41" name="Rounded Rectangle 40">
              <a:hlinkClick xmlns:r="http://schemas.openxmlformats.org/officeDocument/2006/relationships" r:id="rId4"/>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Reduction Form</a:t>
              </a:r>
            </a:p>
          </xdr:txBody>
        </xdr:sp>
        <xdr:sp macro="" textlink="">
          <xdr:nvSpPr>
            <xdr:cNvPr id="42" name="Rounded Rectangle 41">
              <a:hlinkClick xmlns:r="http://schemas.openxmlformats.org/officeDocument/2006/relationships" r:id="rId5"/>
            </xdr:cNvPr>
            <xdr:cNvSpPr/>
          </xdr:nvSpPr>
          <xdr:spPr>
            <a:xfrm>
              <a:off x="310324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43" name="Rounded Rectangle 42">
              <a:hlinkClick xmlns:r="http://schemas.openxmlformats.org/officeDocument/2006/relationships" r:id="rId6"/>
            </xdr:cNvPr>
            <xdr:cNvSpPr/>
          </xdr:nvSpPr>
          <xdr:spPr>
            <a:xfrm>
              <a:off x="5785485"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PDSA Data</a:t>
              </a:r>
            </a:p>
          </xdr:txBody>
        </xdr:sp>
        <xdr:sp macro="" textlink="">
          <xdr:nvSpPr>
            <xdr:cNvPr id="44" name="Rounded Rectangle 43">
              <a:hlinkClick xmlns:r="http://schemas.openxmlformats.org/officeDocument/2006/relationships" r:id="rId7"/>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45" name="Rounded Rectangle 44">
              <a:hlinkClick xmlns:r="http://schemas.openxmlformats.org/officeDocument/2006/relationships" r:id="rId8"/>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46" name="Rounded Rectangle 45">
              <a:hlinkClick xmlns:r="http://schemas.openxmlformats.org/officeDocument/2006/relationships" r:id="rId9"/>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47" name="Rounded Rectangle 46">
              <a:hlinkClick xmlns:r="http://schemas.openxmlformats.org/officeDocument/2006/relationships" r:id="rId10"/>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48" name="Rounded Rectangle 47">
              <a:hlinkClick xmlns:r="http://schemas.openxmlformats.org/officeDocument/2006/relationships" r:id="rId11"/>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49" name="Rounded Rectangle 48">
              <a:hlinkClick xmlns:r="http://schemas.openxmlformats.org/officeDocument/2006/relationships" r:id="rId12"/>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50" name="Rounded Rectangle 49">
              <a:hlinkClick xmlns:r="http://schemas.openxmlformats.org/officeDocument/2006/relationships" r:id="rId13"/>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51" name="Rounded Rectangle 50">
              <a:hlinkClick xmlns:r="http://schemas.openxmlformats.org/officeDocument/2006/relationships" r:id="rId14"/>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17" name="Rounded Rectangle 16">
            <a:hlinkClick xmlns:r="http://schemas.openxmlformats.org/officeDocument/2006/relationships" r:id="rId15"/>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0</xdr:rowOff>
    </xdr:from>
    <xdr:to>
      <xdr:col>26</xdr:col>
      <xdr:colOff>200025</xdr:colOff>
      <xdr:row>0</xdr:row>
      <xdr:rowOff>241200</xdr:rowOff>
    </xdr:to>
    <xdr:grpSp>
      <xdr:nvGrpSpPr>
        <xdr:cNvPr id="18" name="Group 17"/>
        <xdr:cNvGrpSpPr/>
      </xdr:nvGrpSpPr>
      <xdr:grpSpPr>
        <a:xfrm>
          <a:off x="1762125" y="0"/>
          <a:ext cx="11744325" cy="241200"/>
          <a:chOff x="1762125" y="0"/>
          <a:chExt cx="11744325" cy="241200"/>
        </a:xfrm>
      </xdr:grpSpPr>
      <xdr:grpSp>
        <xdr:nvGrpSpPr>
          <xdr:cNvPr id="4" name="Group 3"/>
          <xdr:cNvGrpSpPr/>
        </xdr:nvGrpSpPr>
        <xdr:grpSpPr>
          <a:xfrm>
            <a:off x="1762125" y="0"/>
            <a:ext cx="10982324" cy="241200"/>
            <a:chOff x="1762125" y="0"/>
            <a:chExt cx="10982324" cy="241200"/>
          </a:xfrm>
        </xdr:grpSpPr>
        <xdr:sp macro="" textlink="">
          <xdr:nvSpPr>
            <xdr:cNvPr id="2" name="Rounded Rectangle 1">
              <a:hlinkClick xmlns:r="http://schemas.openxmlformats.org/officeDocument/2006/relationships" r:id="rId1"/>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3" name="Rounded Rectangle 2">
              <a:hlinkClick xmlns:r="http://schemas.openxmlformats.org/officeDocument/2006/relationships" r:id="rId2"/>
            </xdr:cNvPr>
            <xdr:cNvSpPr/>
          </xdr:nvSpPr>
          <xdr:spPr>
            <a:xfrm>
              <a:off x="4444365"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5" name="Rounded Rectangle 4">
              <a:hlinkClick xmlns:r="http://schemas.openxmlformats.org/officeDocument/2006/relationships" r:id="rId3"/>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Summary</a:t>
              </a:r>
            </a:p>
          </xdr:txBody>
        </xdr:sp>
        <xdr:sp macro="" textlink="">
          <xdr:nvSpPr>
            <xdr:cNvPr id="6" name="Rounded Rectangle 5">
              <a:hlinkClick xmlns:r="http://schemas.openxmlformats.org/officeDocument/2006/relationships" r:id="rId4"/>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Reduction Form</a:t>
              </a:r>
            </a:p>
          </xdr:txBody>
        </xdr:sp>
        <xdr:sp macro="" textlink="">
          <xdr:nvSpPr>
            <xdr:cNvPr id="7" name="Rounded Rectangle 6">
              <a:hlinkClick xmlns:r="http://schemas.openxmlformats.org/officeDocument/2006/relationships" r:id="rId5"/>
            </xdr:cNvPr>
            <xdr:cNvSpPr/>
          </xdr:nvSpPr>
          <xdr:spPr>
            <a:xfrm>
              <a:off x="310324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9" name="Rounded Rectangle 8">
              <a:hlinkClick xmlns:r="http://schemas.openxmlformats.org/officeDocument/2006/relationships" r:id="rId6"/>
            </xdr:cNvPr>
            <xdr:cNvSpPr/>
          </xdr:nvSpPr>
          <xdr:spPr>
            <a:xfrm>
              <a:off x="5785485" y="0"/>
              <a:ext cx="1219200" cy="241200"/>
            </a:xfrm>
            <a:prstGeom prst="roundRect">
              <a:avLst/>
            </a:prstGeom>
            <a:solidFill>
              <a:schemeClr val="bg1">
                <a:lumMod val="85000"/>
              </a:schemeClr>
            </a:solidFill>
            <a:ln w="15875">
              <a:solidFill>
                <a:schemeClr val="tx1">
                  <a:lumMod val="50000"/>
                  <a:lumOff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1">
                  <a:solidFill>
                    <a:schemeClr val="tx1">
                      <a:lumMod val="50000"/>
                      <a:lumOff val="50000"/>
                    </a:schemeClr>
                  </a:solidFill>
                </a:rPr>
                <a:t>PDSA Data</a:t>
              </a:r>
            </a:p>
          </xdr:txBody>
        </xdr:sp>
        <xdr:sp macro="" textlink="">
          <xdr:nvSpPr>
            <xdr:cNvPr id="8" name="Rounded Rectangle 7">
              <a:hlinkClick xmlns:r="http://schemas.openxmlformats.org/officeDocument/2006/relationships" r:id="rId7"/>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0" name="Rounded Rectangle 9">
              <a:hlinkClick xmlns:r="http://schemas.openxmlformats.org/officeDocument/2006/relationships" r:id="rId8"/>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1" name="Rounded Rectangle 10">
              <a:hlinkClick xmlns:r="http://schemas.openxmlformats.org/officeDocument/2006/relationships" r:id="rId9"/>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2" name="Rounded Rectangle 11">
              <a:hlinkClick xmlns:r="http://schemas.openxmlformats.org/officeDocument/2006/relationships" r:id="rId10"/>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13" name="Rounded Rectangle 12">
              <a:hlinkClick xmlns:r="http://schemas.openxmlformats.org/officeDocument/2006/relationships" r:id="rId11"/>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14" name="Rounded Rectangle 13">
              <a:hlinkClick xmlns:r="http://schemas.openxmlformats.org/officeDocument/2006/relationships" r:id="rId12"/>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15" name="Rounded Rectangle 14">
              <a:hlinkClick xmlns:r="http://schemas.openxmlformats.org/officeDocument/2006/relationships" r:id="rId13"/>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16" name="Rounded Rectangle 15">
              <a:hlinkClick xmlns:r="http://schemas.openxmlformats.org/officeDocument/2006/relationships" r:id="rId14"/>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17" name="Rounded Rectangle 16">
            <a:hlinkClick xmlns:r="http://schemas.openxmlformats.org/officeDocument/2006/relationships" r:id="rId15"/>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171</xdr:row>
      <xdr:rowOff>0</xdr:rowOff>
    </xdr:from>
    <xdr:to>
      <xdr:col>18</xdr:col>
      <xdr:colOff>1</xdr:colOff>
      <xdr:row>191</xdr:row>
      <xdr:rowOff>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1955</xdr:colOff>
      <xdr:row>88</xdr:row>
      <xdr:rowOff>0</xdr:rowOff>
    </xdr:from>
    <xdr:to>
      <xdr:col>10</xdr:col>
      <xdr:colOff>276225</xdr:colOff>
      <xdr:row>101</xdr:row>
      <xdr:rowOff>0</xdr:rowOff>
    </xdr:to>
    <xdr:grpSp>
      <xdr:nvGrpSpPr>
        <xdr:cNvPr id="67" name="Group 66"/>
        <xdr:cNvGrpSpPr/>
      </xdr:nvGrpSpPr>
      <xdr:grpSpPr>
        <a:xfrm>
          <a:off x="1955" y="15668625"/>
          <a:ext cx="3284170" cy="2476500"/>
          <a:chOff x="1954" y="14597063"/>
          <a:chExt cx="3292505" cy="2476500"/>
        </a:xfrm>
      </xdr:grpSpPr>
      <xdr:grpSp>
        <xdr:nvGrpSpPr>
          <xdr:cNvPr id="5195" name="Group 5194"/>
          <xdr:cNvGrpSpPr/>
        </xdr:nvGrpSpPr>
        <xdr:grpSpPr>
          <a:xfrm>
            <a:off x="1954" y="14597063"/>
            <a:ext cx="3292505" cy="2476500"/>
            <a:chOff x="1954" y="14597063"/>
            <a:chExt cx="3292505" cy="2476500"/>
          </a:xfrm>
        </xdr:grpSpPr>
        <xdr:grpSp>
          <xdr:nvGrpSpPr>
            <xdr:cNvPr id="7" name="Group 6"/>
            <xdr:cNvGrpSpPr/>
          </xdr:nvGrpSpPr>
          <xdr:grpSpPr>
            <a:xfrm>
              <a:off x="1954" y="14597063"/>
              <a:ext cx="877164" cy="590550"/>
              <a:chOff x="576699" y="14963775"/>
              <a:chExt cx="877164" cy="590550"/>
            </a:xfrm>
          </xdr:grpSpPr>
          <xdr:sp macro="" textlink="$C$76">
            <xdr:nvSpPr>
              <xdr:cNvPr id="4" name="Rounded Rectangle 3"/>
              <xdr:cNvSpPr/>
            </xdr:nvSpPr>
            <xdr:spPr>
              <a:xfrm>
                <a:off x="576699" y="14963775"/>
                <a:ext cx="877164" cy="590550"/>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F52DA30F-20C5-4D37-BCE2-44C824D5718C}"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6" name="TextBox 5"/>
              <xdr:cNvSpPr txBox="1"/>
            </xdr:nvSpPr>
            <xdr:spPr>
              <a:xfrm>
                <a:off x="592309" y="14963775"/>
                <a:ext cx="84594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Cohort Size</a:t>
                </a:r>
              </a:p>
            </xdr:txBody>
          </xdr:sp>
        </xdr:grpSp>
        <xdr:grpSp>
          <xdr:nvGrpSpPr>
            <xdr:cNvPr id="26" name="Group 25"/>
            <xdr:cNvGrpSpPr/>
          </xdr:nvGrpSpPr>
          <xdr:grpSpPr>
            <a:xfrm>
              <a:off x="1190771" y="14597063"/>
              <a:ext cx="881396" cy="590550"/>
              <a:chOff x="552066" y="14963775"/>
              <a:chExt cx="877824" cy="590550"/>
            </a:xfrm>
          </xdr:grpSpPr>
          <xdr:sp macro="" textlink="$F$76">
            <xdr:nvSpPr>
              <xdr:cNvPr id="27" name="Rounded Rectangle 26"/>
              <xdr:cNvSpPr/>
            </xdr:nvSpPr>
            <xdr:spPr>
              <a:xfrm>
                <a:off x="552066" y="14963775"/>
                <a:ext cx="877824" cy="59055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3D30A7F0-FDD1-4459-8B11-2E84335194ED}"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28" name="TextBox 27"/>
              <xdr:cNvSpPr txBox="1"/>
            </xdr:nvSpPr>
            <xdr:spPr>
              <a:xfrm>
                <a:off x="716385" y="14963775"/>
                <a:ext cx="5482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On AP</a:t>
                </a:r>
              </a:p>
            </xdr:txBody>
          </xdr:sp>
        </xdr:grpSp>
        <xdr:grpSp>
          <xdr:nvGrpSpPr>
            <xdr:cNvPr id="29" name="Group 28"/>
            <xdr:cNvGrpSpPr/>
          </xdr:nvGrpSpPr>
          <xdr:grpSpPr>
            <a:xfrm>
              <a:off x="1190292" y="15530513"/>
              <a:ext cx="881396" cy="590550"/>
              <a:chOff x="551586" y="15135225"/>
              <a:chExt cx="877824" cy="590550"/>
            </a:xfrm>
          </xdr:grpSpPr>
          <xdr:sp macro="" textlink="$F$80">
            <xdr:nvSpPr>
              <xdr:cNvPr id="30" name="Rounded Rectangle 29"/>
              <xdr:cNvSpPr/>
            </xdr:nvSpPr>
            <xdr:spPr>
              <a:xfrm>
                <a:off x="551586" y="15135225"/>
                <a:ext cx="877824" cy="590550"/>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C75D131F-806B-4B9F-80CE-624403421FF6}"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35" name="TextBox 34"/>
              <xdr:cNvSpPr txBox="1"/>
            </xdr:nvSpPr>
            <xdr:spPr>
              <a:xfrm>
                <a:off x="601385" y="15154275"/>
                <a:ext cx="7782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Not on AP</a:t>
                </a:r>
              </a:p>
            </xdr:txBody>
          </xdr:sp>
        </xdr:grpSp>
        <xdr:grpSp>
          <xdr:nvGrpSpPr>
            <xdr:cNvPr id="36" name="Group 35"/>
            <xdr:cNvGrpSpPr/>
          </xdr:nvGrpSpPr>
          <xdr:grpSpPr>
            <a:xfrm>
              <a:off x="2387203" y="14597063"/>
              <a:ext cx="880205" cy="590550"/>
              <a:chOff x="551586" y="14963775"/>
              <a:chExt cx="877824" cy="590550"/>
            </a:xfrm>
          </xdr:grpSpPr>
          <xdr:sp macro="" textlink="$J$76">
            <xdr:nvSpPr>
              <xdr:cNvPr id="37" name="Rounded Rectangle 36"/>
              <xdr:cNvSpPr/>
            </xdr:nvSpPr>
            <xdr:spPr>
              <a:xfrm>
                <a:off x="551586" y="14963775"/>
                <a:ext cx="877824" cy="59055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6A5E0FAC-6405-4C16-859E-AD37483898A0}"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38" name="TextBox 37"/>
              <xdr:cNvSpPr txBox="1"/>
            </xdr:nvSpPr>
            <xdr:spPr>
              <a:xfrm>
                <a:off x="716385" y="14963775"/>
                <a:ext cx="5482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On AP</a:t>
                </a:r>
              </a:p>
            </xdr:txBody>
          </xdr:sp>
        </xdr:grpSp>
        <xdr:grpSp>
          <xdr:nvGrpSpPr>
            <xdr:cNvPr id="39" name="Group 38"/>
            <xdr:cNvGrpSpPr/>
          </xdr:nvGrpSpPr>
          <xdr:grpSpPr>
            <a:xfrm>
              <a:off x="2386998" y="15530513"/>
              <a:ext cx="880410" cy="590550"/>
              <a:chOff x="551586" y="15135225"/>
              <a:chExt cx="877824" cy="590550"/>
            </a:xfrm>
          </xdr:grpSpPr>
          <xdr:sp macro="" textlink="$J$80">
            <xdr:nvSpPr>
              <xdr:cNvPr id="40" name="Rounded Rectangle 39"/>
              <xdr:cNvSpPr/>
            </xdr:nvSpPr>
            <xdr:spPr>
              <a:xfrm>
                <a:off x="551586" y="15135225"/>
                <a:ext cx="877824" cy="590550"/>
              </a:xfrm>
              <a:prstGeom prst="round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5E9F7BED-829B-4C6F-9284-C8DBB53242FD}"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41" name="TextBox 40"/>
              <xdr:cNvSpPr txBox="1"/>
            </xdr:nvSpPr>
            <xdr:spPr>
              <a:xfrm>
                <a:off x="644281" y="15154275"/>
                <a:ext cx="6924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Reduced</a:t>
                </a:r>
              </a:p>
            </xdr:txBody>
          </xdr:sp>
        </xdr:grpSp>
        <xdr:grpSp>
          <xdr:nvGrpSpPr>
            <xdr:cNvPr id="42" name="Group 41"/>
            <xdr:cNvGrpSpPr/>
          </xdr:nvGrpSpPr>
          <xdr:grpSpPr>
            <a:xfrm>
              <a:off x="2333959" y="16483013"/>
              <a:ext cx="960500" cy="590550"/>
              <a:chOff x="574745" y="15325725"/>
              <a:chExt cx="956929" cy="590550"/>
            </a:xfrm>
          </xdr:grpSpPr>
          <xdr:sp macro="" textlink="$J$84">
            <xdr:nvSpPr>
              <xdr:cNvPr id="43" name="Rounded Rectangle 42"/>
              <xdr:cNvSpPr/>
            </xdr:nvSpPr>
            <xdr:spPr>
              <a:xfrm>
                <a:off x="614297" y="15325725"/>
                <a:ext cx="877824" cy="590550"/>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06E230F6-F17E-4D4A-B1BD-E25C28C0965C}"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44" name="TextBox 43"/>
              <xdr:cNvSpPr txBox="1"/>
            </xdr:nvSpPr>
            <xdr:spPr>
              <a:xfrm>
                <a:off x="574745" y="15344775"/>
                <a:ext cx="956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Discontinued</a:t>
                </a:r>
              </a:p>
            </xdr:txBody>
          </xdr:sp>
        </xdr:grpSp>
      </xdr:grpSp>
      <xdr:grpSp>
        <xdr:nvGrpSpPr>
          <xdr:cNvPr id="5190" name="Group 5189"/>
          <xdr:cNvGrpSpPr/>
        </xdr:nvGrpSpPr>
        <xdr:grpSpPr>
          <a:xfrm>
            <a:off x="809625" y="14626464"/>
            <a:ext cx="428721" cy="265874"/>
            <a:chOff x="811696" y="14590227"/>
            <a:chExt cx="427944" cy="265874"/>
          </a:xfrm>
        </xdr:grpSpPr>
        <xdr:sp macro="" textlink="$G$76">
          <xdr:nvSpPr>
            <xdr:cNvPr id="5188" name="TextBox 5187"/>
            <xdr:cNvSpPr txBox="1"/>
          </xdr:nvSpPr>
          <xdr:spPr>
            <a:xfrm>
              <a:off x="811696" y="14590227"/>
              <a:ext cx="4279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5B517DDC-3F2A-4D5A-88A5-88E2CFD69BB1}" type="TxLink">
                <a:rPr lang="en-US" sz="1100" b="1" i="0" u="none" strike="noStrike">
                  <a:solidFill>
                    <a:srgbClr val="000000"/>
                  </a:solidFill>
                  <a:latin typeface="Calibri"/>
                  <a:cs typeface="Calibri"/>
                </a:rPr>
                <a:pPr/>
                <a:t>0%</a:t>
              </a:fld>
              <a:endParaRPr lang="en-CA" sz="1100" b="1"/>
            </a:p>
          </xdr:txBody>
        </xdr:sp>
        <xdr:cxnSp macro="">
          <xdr:nvCxnSpPr>
            <xdr:cNvPr id="11" name="Straight Arrow Connector 10"/>
            <xdr:cNvCxnSpPr>
              <a:stCxn id="4" idx="3"/>
              <a:endCxn id="27" idx="1"/>
            </xdr:cNvCxnSpPr>
          </xdr:nvCxnSpPr>
          <xdr:spPr>
            <a:xfrm>
              <a:off x="881063" y="14856101"/>
              <a:ext cx="311088" cy="0"/>
            </a:xfrm>
            <a:prstGeom prst="straightConnector1">
              <a:avLst/>
            </a:prstGeom>
            <a:ln w="19050">
              <a:solidFill>
                <a:schemeClr val="accent2">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grpSp>
      <xdr:grpSp>
        <xdr:nvGrpSpPr>
          <xdr:cNvPr id="5194" name="Group 5193"/>
          <xdr:cNvGrpSpPr/>
        </xdr:nvGrpSpPr>
        <xdr:grpSpPr>
          <a:xfrm>
            <a:off x="2012361" y="14626464"/>
            <a:ext cx="428926" cy="265874"/>
            <a:chOff x="2012361" y="14626464"/>
            <a:chExt cx="428926" cy="265874"/>
          </a:xfrm>
        </xdr:grpSpPr>
        <xdr:sp macro="" textlink="$K$76">
          <xdr:nvSpPr>
            <xdr:cNvPr id="73" name="TextBox 72"/>
            <xdr:cNvSpPr txBox="1"/>
          </xdr:nvSpPr>
          <xdr:spPr>
            <a:xfrm>
              <a:off x="2012361" y="14626464"/>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F8074CF5-B8A9-4621-9F6B-9CADC32FE73A}" type="TxLink">
                <a:rPr lang="en-US" sz="1100" b="1" i="0" u="none" strike="noStrike">
                  <a:solidFill>
                    <a:srgbClr val="000000"/>
                  </a:solidFill>
                  <a:latin typeface="Calibri"/>
                  <a:cs typeface="Calibri"/>
                </a:rPr>
                <a:pPr/>
                <a:t>0%</a:t>
              </a:fld>
              <a:endParaRPr lang="en-CA" sz="1100" b="1"/>
            </a:p>
          </xdr:txBody>
        </xdr:sp>
        <xdr:cxnSp macro="">
          <xdr:nvCxnSpPr>
            <xdr:cNvPr id="49" name="Straight Arrow Connector 48"/>
            <xdr:cNvCxnSpPr>
              <a:stCxn id="27" idx="3"/>
              <a:endCxn id="37" idx="1"/>
            </xdr:cNvCxnSpPr>
          </xdr:nvCxnSpPr>
          <xdr:spPr>
            <a:xfrm>
              <a:off x="2072167" y="14892338"/>
              <a:ext cx="315036" cy="0"/>
            </a:xfrm>
            <a:prstGeom prst="straightConnector1">
              <a:avLst/>
            </a:prstGeom>
            <a:ln w="19050">
              <a:solidFill>
                <a:schemeClr val="accent2">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grpSp>
      <xdr:grpSp>
        <xdr:nvGrpSpPr>
          <xdr:cNvPr id="5191" name="Group 5190"/>
          <xdr:cNvGrpSpPr/>
        </xdr:nvGrpSpPr>
        <xdr:grpSpPr>
          <a:xfrm>
            <a:off x="809625" y="14892338"/>
            <a:ext cx="428721" cy="933450"/>
            <a:chOff x="811696" y="14856101"/>
            <a:chExt cx="427944" cy="933450"/>
          </a:xfrm>
        </xdr:grpSpPr>
        <xdr:cxnSp macro="">
          <xdr:nvCxnSpPr>
            <xdr:cNvPr id="60" name="Straight Arrow Connector 59"/>
            <xdr:cNvCxnSpPr>
              <a:stCxn id="4" idx="3"/>
              <a:endCxn id="30" idx="1"/>
            </xdr:cNvCxnSpPr>
          </xdr:nvCxnSpPr>
          <xdr:spPr>
            <a:xfrm>
              <a:off x="881063" y="14856101"/>
              <a:ext cx="310609" cy="933450"/>
            </a:xfrm>
            <a:prstGeom prst="straightConnector1">
              <a:avLst/>
            </a:prstGeom>
            <a:ln w="19050">
              <a:solidFill>
                <a:schemeClr val="accent1">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G$80">
          <xdr:nvSpPr>
            <xdr:cNvPr id="72" name="TextBox 71"/>
            <xdr:cNvSpPr txBox="1"/>
          </xdr:nvSpPr>
          <xdr:spPr>
            <a:xfrm>
              <a:off x="811696" y="15243998"/>
              <a:ext cx="4279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7D8CEDEC-C086-4C83-85E3-38500CA53B05}" type="TxLink">
                <a:rPr lang="en-US" sz="1100" b="1" i="0" u="none" strike="noStrike">
                  <a:solidFill>
                    <a:srgbClr val="000000"/>
                  </a:solidFill>
                  <a:latin typeface="Calibri"/>
                  <a:cs typeface="Calibri"/>
                </a:rPr>
                <a:pPr/>
                <a:t>0%</a:t>
              </a:fld>
              <a:endParaRPr lang="en-CA" sz="1100" b="1"/>
            </a:p>
          </xdr:txBody>
        </xdr:sp>
      </xdr:grpSp>
      <xdr:grpSp>
        <xdr:nvGrpSpPr>
          <xdr:cNvPr id="5193" name="Group 5192"/>
          <xdr:cNvGrpSpPr/>
        </xdr:nvGrpSpPr>
        <xdr:grpSpPr>
          <a:xfrm>
            <a:off x="2012361" y="14892338"/>
            <a:ext cx="428926" cy="1885950"/>
            <a:chOff x="2012361" y="14892338"/>
            <a:chExt cx="428926" cy="1885950"/>
          </a:xfrm>
        </xdr:grpSpPr>
        <xdr:cxnSp macro="">
          <xdr:nvCxnSpPr>
            <xdr:cNvPr id="55" name="Straight Arrow Connector 54"/>
            <xdr:cNvCxnSpPr>
              <a:stCxn id="27" idx="3"/>
              <a:endCxn id="43" idx="1"/>
            </xdr:cNvCxnSpPr>
          </xdr:nvCxnSpPr>
          <xdr:spPr>
            <a:xfrm>
              <a:off x="2072168" y="14892338"/>
              <a:ext cx="301490" cy="1885950"/>
            </a:xfrm>
            <a:prstGeom prst="straightConnector1">
              <a:avLst/>
            </a:prstGeom>
            <a:ln w="19050">
              <a:solidFill>
                <a:schemeClr val="accent3"/>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K$84">
          <xdr:nvSpPr>
            <xdr:cNvPr id="75" name="TextBox 74"/>
            <xdr:cNvSpPr txBox="1"/>
          </xdr:nvSpPr>
          <xdr:spPr>
            <a:xfrm>
              <a:off x="2012361" y="16237503"/>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D9825795-FEFA-46EA-A45E-E84B9BDB7696}" type="TxLink">
                <a:rPr lang="en-US" sz="1100" b="1" i="0" u="none" strike="noStrike">
                  <a:solidFill>
                    <a:srgbClr val="000000"/>
                  </a:solidFill>
                  <a:latin typeface="Calibri"/>
                  <a:cs typeface="Calibri"/>
                </a:rPr>
                <a:pPr/>
                <a:t>0%</a:t>
              </a:fld>
              <a:endParaRPr lang="en-CA" sz="1100" b="1"/>
            </a:p>
          </xdr:txBody>
        </xdr:sp>
      </xdr:grpSp>
      <xdr:grpSp>
        <xdr:nvGrpSpPr>
          <xdr:cNvPr id="5192" name="Group 5191"/>
          <xdr:cNvGrpSpPr/>
        </xdr:nvGrpSpPr>
        <xdr:grpSpPr>
          <a:xfrm>
            <a:off x="2012361" y="14892338"/>
            <a:ext cx="428926" cy="933450"/>
            <a:chOff x="2012361" y="14892338"/>
            <a:chExt cx="428926" cy="933450"/>
          </a:xfrm>
        </xdr:grpSpPr>
        <xdr:cxnSp macro="">
          <xdr:nvCxnSpPr>
            <xdr:cNvPr id="52" name="Straight Arrow Connector 51"/>
            <xdr:cNvCxnSpPr>
              <a:stCxn id="27" idx="3"/>
              <a:endCxn id="40" idx="1"/>
            </xdr:cNvCxnSpPr>
          </xdr:nvCxnSpPr>
          <xdr:spPr>
            <a:xfrm>
              <a:off x="2072168" y="14892338"/>
              <a:ext cx="314830" cy="933450"/>
            </a:xfrm>
            <a:prstGeom prst="straightConnector1">
              <a:avLst/>
            </a:prstGeom>
            <a:ln w="19050">
              <a:solidFill>
                <a:schemeClr val="accent3">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K$80">
          <xdr:nvSpPr>
            <xdr:cNvPr id="74" name="TextBox 73"/>
            <xdr:cNvSpPr txBox="1"/>
          </xdr:nvSpPr>
          <xdr:spPr>
            <a:xfrm>
              <a:off x="2012361" y="15285003"/>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D031CE71-E6B3-4BCA-B528-380B698A0D2C}" type="TxLink">
                <a:rPr lang="en-US" sz="1100" b="1" i="0" u="none" strike="noStrike">
                  <a:solidFill>
                    <a:srgbClr val="000000"/>
                  </a:solidFill>
                  <a:latin typeface="Calibri"/>
                  <a:cs typeface="Calibri"/>
                </a:rPr>
                <a:pPr/>
                <a:t>0%</a:t>
              </a:fld>
              <a:endParaRPr lang="en-CA" sz="1100" b="1"/>
            </a:p>
          </xdr:txBody>
        </xdr:sp>
      </xdr:grpSp>
    </xdr:grpSp>
    <xdr:clientData/>
  </xdr:twoCellAnchor>
  <xdr:twoCellAnchor>
    <xdr:from>
      <xdr:col>14</xdr:col>
      <xdr:colOff>0</xdr:colOff>
      <xdr:row>89</xdr:row>
      <xdr:rowOff>0</xdr:rowOff>
    </xdr:from>
    <xdr:to>
      <xdr:col>14</xdr:col>
      <xdr:colOff>0</xdr:colOff>
      <xdr:row>89</xdr:row>
      <xdr:rowOff>0</xdr:rowOff>
    </xdr:to>
    <xdr:cxnSp macro="">
      <xdr:nvCxnSpPr>
        <xdr:cNvPr id="5215" name="Straight Arrow Connector 5214"/>
        <xdr:cNvCxnSpPr/>
      </xdr:nvCxnSpPr>
      <xdr:spPr>
        <a:xfrm>
          <a:off x="4280297" y="14978063"/>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59105</xdr:colOff>
      <xdr:row>88</xdr:row>
      <xdr:rowOff>0</xdr:rowOff>
    </xdr:from>
    <xdr:to>
      <xdr:col>22</xdr:col>
      <xdr:colOff>200025</xdr:colOff>
      <xdr:row>101</xdr:row>
      <xdr:rowOff>0</xdr:rowOff>
    </xdr:to>
    <xdr:grpSp>
      <xdr:nvGrpSpPr>
        <xdr:cNvPr id="105" name="Group 104"/>
        <xdr:cNvGrpSpPr/>
      </xdr:nvGrpSpPr>
      <xdr:grpSpPr>
        <a:xfrm>
          <a:off x="3697655" y="15668625"/>
          <a:ext cx="3284170" cy="2476500"/>
          <a:chOff x="1955" y="14597063"/>
          <a:chExt cx="3292504" cy="2476500"/>
        </a:xfrm>
      </xdr:grpSpPr>
      <xdr:grpSp>
        <xdr:nvGrpSpPr>
          <xdr:cNvPr id="106" name="Group 105"/>
          <xdr:cNvGrpSpPr/>
        </xdr:nvGrpSpPr>
        <xdr:grpSpPr>
          <a:xfrm>
            <a:off x="1955" y="14597063"/>
            <a:ext cx="3292504" cy="2476500"/>
            <a:chOff x="1955" y="14597063"/>
            <a:chExt cx="3292504" cy="2476500"/>
          </a:xfrm>
        </xdr:grpSpPr>
        <xdr:grpSp>
          <xdr:nvGrpSpPr>
            <xdr:cNvPr id="122" name="Group 121"/>
            <xdr:cNvGrpSpPr/>
          </xdr:nvGrpSpPr>
          <xdr:grpSpPr>
            <a:xfrm>
              <a:off x="1955" y="14597063"/>
              <a:ext cx="877164" cy="590550"/>
              <a:chOff x="576700" y="14963775"/>
              <a:chExt cx="877164" cy="590550"/>
            </a:xfrm>
          </xdr:grpSpPr>
          <xdr:sp macro="" textlink="$O$76">
            <xdr:nvSpPr>
              <xdr:cNvPr id="138" name="Rounded Rectangle 137"/>
              <xdr:cNvSpPr/>
            </xdr:nvSpPr>
            <xdr:spPr>
              <a:xfrm>
                <a:off x="576700" y="14963775"/>
                <a:ext cx="877164" cy="590550"/>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154B4826-508F-4B70-AD7E-36FB6509E580}"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139" name="TextBox 138"/>
              <xdr:cNvSpPr txBox="1"/>
            </xdr:nvSpPr>
            <xdr:spPr>
              <a:xfrm>
                <a:off x="592120" y="14963775"/>
                <a:ext cx="8463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Cohort Size</a:t>
                </a:r>
              </a:p>
            </xdr:txBody>
          </xdr:sp>
        </xdr:grpSp>
        <xdr:grpSp>
          <xdr:nvGrpSpPr>
            <xdr:cNvPr id="123" name="Group 122"/>
            <xdr:cNvGrpSpPr/>
          </xdr:nvGrpSpPr>
          <xdr:grpSpPr>
            <a:xfrm>
              <a:off x="1190292" y="14597063"/>
              <a:ext cx="881396" cy="590550"/>
              <a:chOff x="551586" y="14963775"/>
              <a:chExt cx="877824" cy="590550"/>
            </a:xfrm>
          </xdr:grpSpPr>
          <xdr:sp macro="" textlink="$R$76">
            <xdr:nvSpPr>
              <xdr:cNvPr id="136" name="Rounded Rectangle 135"/>
              <xdr:cNvSpPr/>
            </xdr:nvSpPr>
            <xdr:spPr>
              <a:xfrm>
                <a:off x="551586" y="14963775"/>
                <a:ext cx="877824" cy="59055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7419A4D9-39A3-4D74-8C0C-165840BEFA0B}"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137" name="TextBox 136"/>
              <xdr:cNvSpPr txBox="1"/>
            </xdr:nvSpPr>
            <xdr:spPr>
              <a:xfrm>
                <a:off x="716385" y="14963775"/>
                <a:ext cx="5482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On AP</a:t>
                </a:r>
              </a:p>
            </xdr:txBody>
          </xdr:sp>
        </xdr:grpSp>
        <xdr:grpSp>
          <xdr:nvGrpSpPr>
            <xdr:cNvPr id="124" name="Group 123"/>
            <xdr:cNvGrpSpPr/>
          </xdr:nvGrpSpPr>
          <xdr:grpSpPr>
            <a:xfrm>
              <a:off x="1190292" y="15530513"/>
              <a:ext cx="881396" cy="590550"/>
              <a:chOff x="551586" y="15135225"/>
              <a:chExt cx="877824" cy="590550"/>
            </a:xfrm>
          </xdr:grpSpPr>
          <xdr:sp macro="" textlink="$R$80">
            <xdr:nvSpPr>
              <xdr:cNvPr id="134" name="Rounded Rectangle 133"/>
              <xdr:cNvSpPr/>
            </xdr:nvSpPr>
            <xdr:spPr>
              <a:xfrm>
                <a:off x="551586" y="15135225"/>
                <a:ext cx="877824" cy="590550"/>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8D20584B-B750-42DC-91DE-A2D9DABC3B26}"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135" name="TextBox 134"/>
              <xdr:cNvSpPr txBox="1"/>
            </xdr:nvSpPr>
            <xdr:spPr>
              <a:xfrm>
                <a:off x="601385" y="15154275"/>
                <a:ext cx="7782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Not on AP</a:t>
                </a:r>
              </a:p>
            </xdr:txBody>
          </xdr:sp>
        </xdr:grpSp>
        <xdr:grpSp>
          <xdr:nvGrpSpPr>
            <xdr:cNvPr id="125" name="Group 124"/>
            <xdr:cNvGrpSpPr/>
          </xdr:nvGrpSpPr>
          <xdr:grpSpPr>
            <a:xfrm>
              <a:off x="2387203" y="14597063"/>
              <a:ext cx="880205" cy="590550"/>
              <a:chOff x="551586" y="14963775"/>
              <a:chExt cx="877824" cy="590550"/>
            </a:xfrm>
          </xdr:grpSpPr>
          <xdr:sp macro="" textlink="$V$76">
            <xdr:nvSpPr>
              <xdr:cNvPr id="132" name="Rounded Rectangle 131"/>
              <xdr:cNvSpPr/>
            </xdr:nvSpPr>
            <xdr:spPr>
              <a:xfrm>
                <a:off x="551586" y="14963775"/>
                <a:ext cx="877824" cy="59055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378E0B4D-E554-4366-96D7-93B24D498B27}"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133" name="TextBox 132"/>
              <xdr:cNvSpPr txBox="1"/>
            </xdr:nvSpPr>
            <xdr:spPr>
              <a:xfrm>
                <a:off x="716385" y="14963775"/>
                <a:ext cx="5482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On AP</a:t>
                </a:r>
              </a:p>
            </xdr:txBody>
          </xdr:sp>
        </xdr:grpSp>
        <xdr:grpSp>
          <xdr:nvGrpSpPr>
            <xdr:cNvPr id="126" name="Group 125"/>
            <xdr:cNvGrpSpPr/>
          </xdr:nvGrpSpPr>
          <xdr:grpSpPr>
            <a:xfrm>
              <a:off x="2386998" y="15530513"/>
              <a:ext cx="880410" cy="590550"/>
              <a:chOff x="551586" y="15135225"/>
              <a:chExt cx="877824" cy="590550"/>
            </a:xfrm>
          </xdr:grpSpPr>
          <xdr:sp macro="" textlink="$V$80">
            <xdr:nvSpPr>
              <xdr:cNvPr id="130" name="Rounded Rectangle 129"/>
              <xdr:cNvSpPr/>
            </xdr:nvSpPr>
            <xdr:spPr>
              <a:xfrm>
                <a:off x="551586" y="15135225"/>
                <a:ext cx="877824" cy="590550"/>
              </a:xfrm>
              <a:prstGeom prst="round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B2220252-68BB-4492-8681-D4F41396086E}"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131" name="TextBox 130"/>
              <xdr:cNvSpPr txBox="1"/>
            </xdr:nvSpPr>
            <xdr:spPr>
              <a:xfrm>
                <a:off x="644281" y="15154275"/>
                <a:ext cx="6924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Reduced</a:t>
                </a:r>
              </a:p>
            </xdr:txBody>
          </xdr:sp>
        </xdr:grpSp>
        <xdr:grpSp>
          <xdr:nvGrpSpPr>
            <xdr:cNvPr id="127" name="Group 126"/>
            <xdr:cNvGrpSpPr/>
          </xdr:nvGrpSpPr>
          <xdr:grpSpPr>
            <a:xfrm>
              <a:off x="2333959" y="16483013"/>
              <a:ext cx="960500" cy="590550"/>
              <a:chOff x="574745" y="15325725"/>
              <a:chExt cx="956929" cy="590550"/>
            </a:xfrm>
          </xdr:grpSpPr>
          <xdr:sp macro="" textlink="$V$84">
            <xdr:nvSpPr>
              <xdr:cNvPr id="128" name="Rounded Rectangle 127"/>
              <xdr:cNvSpPr/>
            </xdr:nvSpPr>
            <xdr:spPr>
              <a:xfrm>
                <a:off x="614297" y="15325725"/>
                <a:ext cx="877824" cy="590550"/>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6622D474-BF5B-4512-893F-71467A284B37}"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129" name="TextBox 128"/>
              <xdr:cNvSpPr txBox="1"/>
            </xdr:nvSpPr>
            <xdr:spPr>
              <a:xfrm>
                <a:off x="574745" y="15344775"/>
                <a:ext cx="956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Discontinued</a:t>
                </a:r>
              </a:p>
            </xdr:txBody>
          </xdr:sp>
        </xdr:grpSp>
      </xdr:grpSp>
      <xdr:grpSp>
        <xdr:nvGrpSpPr>
          <xdr:cNvPr id="107" name="Group 106"/>
          <xdr:cNvGrpSpPr/>
        </xdr:nvGrpSpPr>
        <xdr:grpSpPr>
          <a:xfrm>
            <a:off x="809625" y="14626464"/>
            <a:ext cx="428721" cy="265874"/>
            <a:chOff x="811696" y="14590227"/>
            <a:chExt cx="427944" cy="265874"/>
          </a:xfrm>
        </xdr:grpSpPr>
        <xdr:sp macro="" textlink="$S$76">
          <xdr:nvSpPr>
            <xdr:cNvPr id="120" name="TextBox 119"/>
            <xdr:cNvSpPr txBox="1"/>
          </xdr:nvSpPr>
          <xdr:spPr>
            <a:xfrm>
              <a:off x="811696" y="14590227"/>
              <a:ext cx="4279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E214E142-DFC5-428C-8A20-17EA7666B2EF}" type="TxLink">
                <a:rPr lang="en-US" sz="1100" b="1" i="0" u="none" strike="noStrike">
                  <a:solidFill>
                    <a:srgbClr val="000000"/>
                  </a:solidFill>
                  <a:latin typeface="Calibri"/>
                  <a:cs typeface="Calibri"/>
                </a:rPr>
                <a:pPr/>
                <a:t>0%</a:t>
              </a:fld>
              <a:endParaRPr lang="en-CA" sz="1100" b="1"/>
            </a:p>
          </xdr:txBody>
        </xdr:sp>
        <xdr:cxnSp macro="">
          <xdr:nvCxnSpPr>
            <xdr:cNvPr id="121" name="Straight Arrow Connector 120"/>
            <xdr:cNvCxnSpPr>
              <a:stCxn id="138" idx="3"/>
              <a:endCxn id="136" idx="1"/>
            </xdr:cNvCxnSpPr>
          </xdr:nvCxnSpPr>
          <xdr:spPr>
            <a:xfrm>
              <a:off x="881064" y="14856101"/>
              <a:ext cx="310609" cy="0"/>
            </a:xfrm>
            <a:prstGeom prst="straightConnector1">
              <a:avLst/>
            </a:prstGeom>
            <a:ln w="19050">
              <a:solidFill>
                <a:schemeClr val="accent2">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grpSp>
      <xdr:grpSp>
        <xdr:nvGrpSpPr>
          <xdr:cNvPr id="108" name="Group 107"/>
          <xdr:cNvGrpSpPr/>
        </xdr:nvGrpSpPr>
        <xdr:grpSpPr>
          <a:xfrm>
            <a:off x="2012361" y="14626464"/>
            <a:ext cx="428926" cy="265874"/>
            <a:chOff x="2012361" y="14626464"/>
            <a:chExt cx="428926" cy="265874"/>
          </a:xfrm>
        </xdr:grpSpPr>
        <xdr:sp macro="" textlink="$W$76">
          <xdr:nvSpPr>
            <xdr:cNvPr id="118" name="TextBox 117"/>
            <xdr:cNvSpPr txBox="1"/>
          </xdr:nvSpPr>
          <xdr:spPr>
            <a:xfrm>
              <a:off x="2012361" y="14626464"/>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44B28858-D0E8-445D-9A40-F9B775007916}" type="TxLink">
                <a:rPr lang="en-US" sz="1100" b="1" i="0" u="none" strike="noStrike">
                  <a:solidFill>
                    <a:srgbClr val="000000"/>
                  </a:solidFill>
                  <a:latin typeface="Calibri"/>
                  <a:cs typeface="Calibri"/>
                </a:rPr>
                <a:pPr/>
                <a:t>0%</a:t>
              </a:fld>
              <a:endParaRPr lang="en-CA" sz="1100" b="1"/>
            </a:p>
          </xdr:txBody>
        </xdr:sp>
        <xdr:cxnSp macro="">
          <xdr:nvCxnSpPr>
            <xdr:cNvPr id="119" name="Straight Arrow Connector 118"/>
            <xdr:cNvCxnSpPr>
              <a:stCxn id="136" idx="3"/>
              <a:endCxn id="132" idx="1"/>
            </xdr:cNvCxnSpPr>
          </xdr:nvCxnSpPr>
          <xdr:spPr>
            <a:xfrm>
              <a:off x="2071688" y="14892338"/>
              <a:ext cx="315310" cy="0"/>
            </a:xfrm>
            <a:prstGeom prst="straightConnector1">
              <a:avLst/>
            </a:prstGeom>
            <a:ln w="19050">
              <a:solidFill>
                <a:schemeClr val="accent2">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grpSp>
      <xdr:grpSp>
        <xdr:nvGrpSpPr>
          <xdr:cNvPr id="109" name="Group 108"/>
          <xdr:cNvGrpSpPr/>
        </xdr:nvGrpSpPr>
        <xdr:grpSpPr>
          <a:xfrm>
            <a:off x="809625" y="14892338"/>
            <a:ext cx="428721" cy="933450"/>
            <a:chOff x="811696" y="14856101"/>
            <a:chExt cx="427944" cy="933450"/>
          </a:xfrm>
        </xdr:grpSpPr>
        <xdr:cxnSp macro="">
          <xdr:nvCxnSpPr>
            <xdr:cNvPr id="116" name="Straight Arrow Connector 115"/>
            <xdr:cNvCxnSpPr>
              <a:stCxn id="138" idx="3"/>
              <a:endCxn id="134" idx="1"/>
            </xdr:cNvCxnSpPr>
          </xdr:nvCxnSpPr>
          <xdr:spPr>
            <a:xfrm>
              <a:off x="881064" y="14856101"/>
              <a:ext cx="310609" cy="933450"/>
            </a:xfrm>
            <a:prstGeom prst="straightConnector1">
              <a:avLst/>
            </a:prstGeom>
            <a:ln w="19050">
              <a:solidFill>
                <a:schemeClr val="accent1">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S$80">
          <xdr:nvSpPr>
            <xdr:cNvPr id="117" name="TextBox 116"/>
            <xdr:cNvSpPr txBox="1"/>
          </xdr:nvSpPr>
          <xdr:spPr>
            <a:xfrm>
              <a:off x="811696" y="15243998"/>
              <a:ext cx="4279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3218CF36-ECAA-48D8-A588-A80796DBEB1F}" type="TxLink">
                <a:rPr lang="en-US" sz="1100" b="1" i="0" u="none" strike="noStrike">
                  <a:solidFill>
                    <a:srgbClr val="000000"/>
                  </a:solidFill>
                  <a:latin typeface="Calibri"/>
                  <a:cs typeface="Calibri"/>
                </a:rPr>
                <a:pPr/>
                <a:t>0%</a:t>
              </a:fld>
              <a:endParaRPr lang="en-CA" sz="1100" b="1"/>
            </a:p>
          </xdr:txBody>
        </xdr:sp>
      </xdr:grpSp>
      <xdr:grpSp>
        <xdr:nvGrpSpPr>
          <xdr:cNvPr id="110" name="Group 109"/>
          <xdr:cNvGrpSpPr/>
        </xdr:nvGrpSpPr>
        <xdr:grpSpPr>
          <a:xfrm>
            <a:off x="2012361" y="14892338"/>
            <a:ext cx="428926" cy="1885950"/>
            <a:chOff x="2012361" y="14892338"/>
            <a:chExt cx="428926" cy="1885950"/>
          </a:xfrm>
        </xdr:grpSpPr>
        <xdr:cxnSp macro="">
          <xdr:nvCxnSpPr>
            <xdr:cNvPr id="114" name="Straight Arrow Connector 113"/>
            <xdr:cNvCxnSpPr>
              <a:stCxn id="136" idx="3"/>
              <a:endCxn id="128" idx="1"/>
            </xdr:cNvCxnSpPr>
          </xdr:nvCxnSpPr>
          <xdr:spPr>
            <a:xfrm>
              <a:off x="2071688" y="14892338"/>
              <a:ext cx="301970" cy="1885950"/>
            </a:xfrm>
            <a:prstGeom prst="straightConnector1">
              <a:avLst/>
            </a:prstGeom>
            <a:ln w="19050">
              <a:solidFill>
                <a:schemeClr val="accent3"/>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W$84">
          <xdr:nvSpPr>
            <xdr:cNvPr id="115" name="TextBox 114"/>
            <xdr:cNvSpPr txBox="1"/>
          </xdr:nvSpPr>
          <xdr:spPr>
            <a:xfrm>
              <a:off x="2012361" y="16237503"/>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7C2F34DE-26FB-45D3-878E-9611B7C290C3}" type="TxLink">
                <a:rPr lang="en-US" sz="1100" b="1" i="0" u="none" strike="noStrike">
                  <a:solidFill>
                    <a:srgbClr val="000000"/>
                  </a:solidFill>
                  <a:latin typeface="Calibri"/>
                  <a:cs typeface="Calibri"/>
                </a:rPr>
                <a:pPr/>
                <a:t>0%</a:t>
              </a:fld>
              <a:endParaRPr lang="en-CA" sz="1100" b="1"/>
            </a:p>
          </xdr:txBody>
        </xdr:sp>
      </xdr:grpSp>
      <xdr:grpSp>
        <xdr:nvGrpSpPr>
          <xdr:cNvPr id="111" name="Group 110"/>
          <xdr:cNvGrpSpPr/>
        </xdr:nvGrpSpPr>
        <xdr:grpSpPr>
          <a:xfrm>
            <a:off x="2012361" y="14892338"/>
            <a:ext cx="428926" cy="933450"/>
            <a:chOff x="2012361" y="14892338"/>
            <a:chExt cx="428926" cy="933450"/>
          </a:xfrm>
        </xdr:grpSpPr>
        <xdr:cxnSp macro="">
          <xdr:nvCxnSpPr>
            <xdr:cNvPr id="112" name="Straight Arrow Connector 111"/>
            <xdr:cNvCxnSpPr>
              <a:stCxn id="136" idx="3"/>
              <a:endCxn id="130" idx="1"/>
            </xdr:cNvCxnSpPr>
          </xdr:nvCxnSpPr>
          <xdr:spPr>
            <a:xfrm>
              <a:off x="2071688" y="14892338"/>
              <a:ext cx="315309" cy="933450"/>
            </a:xfrm>
            <a:prstGeom prst="straightConnector1">
              <a:avLst/>
            </a:prstGeom>
            <a:ln w="19050">
              <a:solidFill>
                <a:schemeClr val="accent3">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W$80">
          <xdr:nvSpPr>
            <xdr:cNvPr id="113" name="TextBox 112"/>
            <xdr:cNvSpPr txBox="1"/>
          </xdr:nvSpPr>
          <xdr:spPr>
            <a:xfrm>
              <a:off x="2012361" y="15285003"/>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5E805996-1AE1-4872-9CA2-EF7F8894B171}" type="TxLink">
                <a:rPr lang="en-US" sz="1100" b="1" i="0" u="none" strike="noStrike">
                  <a:solidFill>
                    <a:srgbClr val="000000"/>
                  </a:solidFill>
                  <a:latin typeface="Calibri"/>
                  <a:cs typeface="Calibri"/>
                </a:rPr>
                <a:pPr/>
                <a:t>0%</a:t>
              </a:fld>
              <a:endParaRPr lang="en-CA" sz="1100" b="1"/>
            </a:p>
          </xdr:txBody>
        </xdr:sp>
      </xdr:grpSp>
    </xdr:grpSp>
    <xdr:clientData/>
  </xdr:twoCellAnchor>
  <xdr:twoCellAnchor>
    <xdr:from>
      <xdr:col>24</xdr:col>
      <xdr:colOff>1955</xdr:colOff>
      <xdr:row>88</xdr:row>
      <xdr:rowOff>0</xdr:rowOff>
    </xdr:from>
    <xdr:to>
      <xdr:col>34</xdr:col>
      <xdr:colOff>142874</xdr:colOff>
      <xdr:row>101</xdr:row>
      <xdr:rowOff>0</xdr:rowOff>
    </xdr:to>
    <xdr:grpSp>
      <xdr:nvGrpSpPr>
        <xdr:cNvPr id="140" name="Group 139"/>
        <xdr:cNvGrpSpPr/>
      </xdr:nvGrpSpPr>
      <xdr:grpSpPr>
        <a:xfrm>
          <a:off x="7412405" y="15668625"/>
          <a:ext cx="3284169" cy="2476500"/>
          <a:chOff x="1955" y="14597063"/>
          <a:chExt cx="3292503" cy="2476500"/>
        </a:xfrm>
      </xdr:grpSpPr>
      <xdr:grpSp>
        <xdr:nvGrpSpPr>
          <xdr:cNvPr id="141" name="Group 140"/>
          <xdr:cNvGrpSpPr/>
        </xdr:nvGrpSpPr>
        <xdr:grpSpPr>
          <a:xfrm>
            <a:off x="1955" y="14597063"/>
            <a:ext cx="3292503" cy="2476500"/>
            <a:chOff x="1955" y="14597063"/>
            <a:chExt cx="3292503" cy="2476500"/>
          </a:xfrm>
        </xdr:grpSpPr>
        <xdr:grpSp>
          <xdr:nvGrpSpPr>
            <xdr:cNvPr id="157" name="Group 156"/>
            <xdr:cNvGrpSpPr/>
          </xdr:nvGrpSpPr>
          <xdr:grpSpPr>
            <a:xfrm>
              <a:off x="1955" y="14597063"/>
              <a:ext cx="877164" cy="590550"/>
              <a:chOff x="576700" y="14963775"/>
              <a:chExt cx="877164" cy="590550"/>
            </a:xfrm>
          </xdr:grpSpPr>
          <xdr:sp macro="" textlink="$AA$76">
            <xdr:nvSpPr>
              <xdr:cNvPr id="173" name="Rounded Rectangle 172"/>
              <xdr:cNvSpPr/>
            </xdr:nvSpPr>
            <xdr:spPr>
              <a:xfrm>
                <a:off x="576700" y="14963775"/>
                <a:ext cx="877164" cy="590550"/>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28BAE5AA-68FF-474C-8318-874604ADB311}"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174" name="TextBox 173"/>
              <xdr:cNvSpPr txBox="1"/>
            </xdr:nvSpPr>
            <xdr:spPr>
              <a:xfrm>
                <a:off x="592120" y="14963775"/>
                <a:ext cx="8463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Cohort Size</a:t>
                </a:r>
              </a:p>
            </xdr:txBody>
          </xdr:sp>
        </xdr:grpSp>
        <xdr:grpSp>
          <xdr:nvGrpSpPr>
            <xdr:cNvPr id="158" name="Group 157"/>
            <xdr:cNvGrpSpPr/>
          </xdr:nvGrpSpPr>
          <xdr:grpSpPr>
            <a:xfrm>
              <a:off x="1190292" y="14597063"/>
              <a:ext cx="881396" cy="590550"/>
              <a:chOff x="551586" y="14963775"/>
              <a:chExt cx="877824" cy="590550"/>
            </a:xfrm>
          </xdr:grpSpPr>
          <xdr:sp macro="" textlink="$AD$76">
            <xdr:nvSpPr>
              <xdr:cNvPr id="171" name="Rounded Rectangle 170"/>
              <xdr:cNvSpPr/>
            </xdr:nvSpPr>
            <xdr:spPr>
              <a:xfrm>
                <a:off x="551586" y="14963775"/>
                <a:ext cx="877824" cy="59055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FAC5925A-46B2-4DBB-B016-77B5867483D2}"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172" name="TextBox 171"/>
              <xdr:cNvSpPr txBox="1"/>
            </xdr:nvSpPr>
            <xdr:spPr>
              <a:xfrm>
                <a:off x="716385" y="14963775"/>
                <a:ext cx="5482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On AP</a:t>
                </a:r>
              </a:p>
            </xdr:txBody>
          </xdr:sp>
        </xdr:grpSp>
        <xdr:grpSp>
          <xdr:nvGrpSpPr>
            <xdr:cNvPr id="159" name="Group 158"/>
            <xdr:cNvGrpSpPr/>
          </xdr:nvGrpSpPr>
          <xdr:grpSpPr>
            <a:xfrm>
              <a:off x="1190292" y="15530513"/>
              <a:ext cx="881396" cy="590550"/>
              <a:chOff x="551586" y="15135225"/>
              <a:chExt cx="877824" cy="590550"/>
            </a:xfrm>
          </xdr:grpSpPr>
          <xdr:sp macro="" textlink="$AD$80">
            <xdr:nvSpPr>
              <xdr:cNvPr id="169" name="Rounded Rectangle 168"/>
              <xdr:cNvSpPr/>
            </xdr:nvSpPr>
            <xdr:spPr>
              <a:xfrm>
                <a:off x="551586" y="15135225"/>
                <a:ext cx="877824" cy="590550"/>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7CF3131D-996D-44FD-8D9C-1AD4580BAC9B}"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170" name="TextBox 169"/>
              <xdr:cNvSpPr txBox="1"/>
            </xdr:nvSpPr>
            <xdr:spPr>
              <a:xfrm>
                <a:off x="601385" y="15154275"/>
                <a:ext cx="7782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Not on AP</a:t>
                </a:r>
              </a:p>
            </xdr:txBody>
          </xdr:sp>
        </xdr:grpSp>
        <xdr:grpSp>
          <xdr:nvGrpSpPr>
            <xdr:cNvPr id="160" name="Group 159"/>
            <xdr:cNvGrpSpPr/>
          </xdr:nvGrpSpPr>
          <xdr:grpSpPr>
            <a:xfrm>
              <a:off x="2387203" y="14597063"/>
              <a:ext cx="880205" cy="590550"/>
              <a:chOff x="551586" y="14963775"/>
              <a:chExt cx="877824" cy="590550"/>
            </a:xfrm>
          </xdr:grpSpPr>
          <xdr:sp macro="" textlink="$AH$76">
            <xdr:nvSpPr>
              <xdr:cNvPr id="167" name="Rounded Rectangle 166"/>
              <xdr:cNvSpPr/>
            </xdr:nvSpPr>
            <xdr:spPr>
              <a:xfrm>
                <a:off x="551586" y="14963775"/>
                <a:ext cx="877824" cy="59055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9ED90066-EC25-4679-AD2C-B999072C89E7}"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168" name="TextBox 167"/>
              <xdr:cNvSpPr txBox="1"/>
            </xdr:nvSpPr>
            <xdr:spPr>
              <a:xfrm>
                <a:off x="716385" y="14963775"/>
                <a:ext cx="5482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On AP</a:t>
                </a:r>
              </a:p>
            </xdr:txBody>
          </xdr:sp>
        </xdr:grpSp>
        <xdr:grpSp>
          <xdr:nvGrpSpPr>
            <xdr:cNvPr id="161" name="Group 160"/>
            <xdr:cNvGrpSpPr/>
          </xdr:nvGrpSpPr>
          <xdr:grpSpPr>
            <a:xfrm>
              <a:off x="2386998" y="15530513"/>
              <a:ext cx="880410" cy="590550"/>
              <a:chOff x="551586" y="15135225"/>
              <a:chExt cx="877824" cy="590550"/>
            </a:xfrm>
          </xdr:grpSpPr>
          <xdr:sp macro="" textlink="$AH$80">
            <xdr:nvSpPr>
              <xdr:cNvPr id="165" name="Rounded Rectangle 164"/>
              <xdr:cNvSpPr/>
            </xdr:nvSpPr>
            <xdr:spPr>
              <a:xfrm>
                <a:off x="551586" y="15135225"/>
                <a:ext cx="877824" cy="590550"/>
              </a:xfrm>
              <a:prstGeom prst="round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F803E1C8-A065-439C-8506-18014169AF7C}"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166" name="TextBox 165"/>
              <xdr:cNvSpPr txBox="1"/>
            </xdr:nvSpPr>
            <xdr:spPr>
              <a:xfrm>
                <a:off x="644281" y="15154275"/>
                <a:ext cx="6924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Reduced</a:t>
                </a:r>
              </a:p>
            </xdr:txBody>
          </xdr:sp>
        </xdr:grpSp>
        <xdr:grpSp>
          <xdr:nvGrpSpPr>
            <xdr:cNvPr id="162" name="Group 161"/>
            <xdr:cNvGrpSpPr/>
          </xdr:nvGrpSpPr>
          <xdr:grpSpPr>
            <a:xfrm>
              <a:off x="2333959" y="16483013"/>
              <a:ext cx="960499" cy="590550"/>
              <a:chOff x="574745" y="15325725"/>
              <a:chExt cx="956928" cy="590550"/>
            </a:xfrm>
          </xdr:grpSpPr>
          <xdr:sp macro="" textlink="$AH$84">
            <xdr:nvSpPr>
              <xdr:cNvPr id="163" name="Rounded Rectangle 162"/>
              <xdr:cNvSpPr/>
            </xdr:nvSpPr>
            <xdr:spPr>
              <a:xfrm>
                <a:off x="614297" y="15325725"/>
                <a:ext cx="877824" cy="590550"/>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CCD6D8DF-2C20-4390-BA68-691DBBA5F01D}" type="TxLink">
                  <a:rPr lang="en-US" sz="1600" b="1" i="0" u="none" strike="noStrike">
                    <a:solidFill>
                      <a:srgbClr val="000000"/>
                    </a:solidFill>
                    <a:latin typeface="Calibri"/>
                    <a:cs typeface="Calibri"/>
                  </a:rPr>
                  <a:pPr algn="ctr"/>
                  <a:t>0</a:t>
                </a:fld>
                <a:endParaRPr lang="en-CA" sz="1600" b="1">
                  <a:solidFill>
                    <a:sysClr val="windowText" lastClr="000000"/>
                  </a:solidFill>
                </a:endParaRPr>
              </a:p>
            </xdr:txBody>
          </xdr:sp>
          <xdr:sp macro="" textlink="">
            <xdr:nvSpPr>
              <xdr:cNvPr id="164" name="TextBox 163"/>
              <xdr:cNvSpPr txBox="1"/>
            </xdr:nvSpPr>
            <xdr:spPr>
              <a:xfrm>
                <a:off x="574745" y="15344775"/>
                <a:ext cx="9569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Discontinued</a:t>
                </a:r>
              </a:p>
            </xdr:txBody>
          </xdr:sp>
        </xdr:grpSp>
      </xdr:grpSp>
      <xdr:grpSp>
        <xdr:nvGrpSpPr>
          <xdr:cNvPr id="142" name="Group 141"/>
          <xdr:cNvGrpSpPr/>
        </xdr:nvGrpSpPr>
        <xdr:grpSpPr>
          <a:xfrm>
            <a:off x="809625" y="14626464"/>
            <a:ext cx="428721" cy="265874"/>
            <a:chOff x="811696" y="14590227"/>
            <a:chExt cx="427944" cy="265874"/>
          </a:xfrm>
        </xdr:grpSpPr>
        <xdr:sp macro="" textlink="$AE$76">
          <xdr:nvSpPr>
            <xdr:cNvPr id="155" name="TextBox 154"/>
            <xdr:cNvSpPr txBox="1"/>
          </xdr:nvSpPr>
          <xdr:spPr>
            <a:xfrm>
              <a:off x="811696" y="14590227"/>
              <a:ext cx="4279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71375F7A-AAD4-464E-B14C-9675A6E06732}" type="TxLink">
                <a:rPr lang="en-US" sz="1100" b="1" i="0" u="none" strike="noStrike">
                  <a:solidFill>
                    <a:srgbClr val="000000"/>
                  </a:solidFill>
                  <a:latin typeface="Calibri"/>
                  <a:cs typeface="Calibri"/>
                </a:rPr>
                <a:pPr/>
                <a:t>0%</a:t>
              </a:fld>
              <a:endParaRPr lang="en-CA" sz="1100" b="1"/>
            </a:p>
          </xdr:txBody>
        </xdr:sp>
        <xdr:cxnSp macro="">
          <xdr:nvCxnSpPr>
            <xdr:cNvPr id="156" name="Straight Arrow Connector 155"/>
            <xdr:cNvCxnSpPr>
              <a:stCxn id="173" idx="3"/>
              <a:endCxn id="171" idx="1"/>
            </xdr:cNvCxnSpPr>
          </xdr:nvCxnSpPr>
          <xdr:spPr>
            <a:xfrm>
              <a:off x="881064" y="14856101"/>
              <a:ext cx="310609" cy="0"/>
            </a:xfrm>
            <a:prstGeom prst="straightConnector1">
              <a:avLst/>
            </a:prstGeom>
            <a:ln w="19050">
              <a:solidFill>
                <a:schemeClr val="accent2">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grpSp>
      <xdr:grpSp>
        <xdr:nvGrpSpPr>
          <xdr:cNvPr id="143" name="Group 142"/>
          <xdr:cNvGrpSpPr/>
        </xdr:nvGrpSpPr>
        <xdr:grpSpPr>
          <a:xfrm>
            <a:off x="2012361" y="14626464"/>
            <a:ext cx="428926" cy="265874"/>
            <a:chOff x="2012361" y="14626464"/>
            <a:chExt cx="428926" cy="265874"/>
          </a:xfrm>
        </xdr:grpSpPr>
        <xdr:sp macro="" textlink="$AI$76">
          <xdr:nvSpPr>
            <xdr:cNvPr id="153" name="TextBox 152"/>
            <xdr:cNvSpPr txBox="1"/>
          </xdr:nvSpPr>
          <xdr:spPr>
            <a:xfrm>
              <a:off x="2012361" y="14626464"/>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1DFB1149-6F46-458D-BA62-A92C8A3C94D6}" type="TxLink">
                <a:rPr lang="en-US" sz="1100" b="1" i="0" u="none" strike="noStrike">
                  <a:solidFill>
                    <a:srgbClr val="000000"/>
                  </a:solidFill>
                  <a:latin typeface="Calibri"/>
                  <a:cs typeface="Calibri"/>
                </a:rPr>
                <a:pPr/>
                <a:t>0%</a:t>
              </a:fld>
              <a:endParaRPr lang="en-CA" sz="1100" b="1"/>
            </a:p>
          </xdr:txBody>
        </xdr:sp>
        <xdr:cxnSp macro="">
          <xdr:nvCxnSpPr>
            <xdr:cNvPr id="154" name="Straight Arrow Connector 153"/>
            <xdr:cNvCxnSpPr>
              <a:stCxn id="171" idx="3"/>
              <a:endCxn id="167" idx="1"/>
            </xdr:cNvCxnSpPr>
          </xdr:nvCxnSpPr>
          <xdr:spPr>
            <a:xfrm>
              <a:off x="2071688" y="14892338"/>
              <a:ext cx="315310" cy="0"/>
            </a:xfrm>
            <a:prstGeom prst="straightConnector1">
              <a:avLst/>
            </a:prstGeom>
            <a:ln w="19050">
              <a:solidFill>
                <a:schemeClr val="accent2">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grpSp>
      <xdr:grpSp>
        <xdr:nvGrpSpPr>
          <xdr:cNvPr id="144" name="Group 143"/>
          <xdr:cNvGrpSpPr/>
        </xdr:nvGrpSpPr>
        <xdr:grpSpPr>
          <a:xfrm>
            <a:off x="809625" y="14892338"/>
            <a:ext cx="428721" cy="933450"/>
            <a:chOff x="811696" y="14856101"/>
            <a:chExt cx="427944" cy="933450"/>
          </a:xfrm>
        </xdr:grpSpPr>
        <xdr:cxnSp macro="">
          <xdr:nvCxnSpPr>
            <xdr:cNvPr id="151" name="Straight Arrow Connector 150"/>
            <xdr:cNvCxnSpPr>
              <a:stCxn id="173" idx="3"/>
              <a:endCxn id="169" idx="1"/>
            </xdr:cNvCxnSpPr>
          </xdr:nvCxnSpPr>
          <xdr:spPr>
            <a:xfrm>
              <a:off x="881064" y="14856101"/>
              <a:ext cx="310609" cy="933450"/>
            </a:xfrm>
            <a:prstGeom prst="straightConnector1">
              <a:avLst/>
            </a:prstGeom>
            <a:ln w="19050">
              <a:solidFill>
                <a:schemeClr val="accent1">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AE$80">
          <xdr:nvSpPr>
            <xdr:cNvPr id="152" name="TextBox 151"/>
            <xdr:cNvSpPr txBox="1"/>
          </xdr:nvSpPr>
          <xdr:spPr>
            <a:xfrm>
              <a:off x="811696" y="15243998"/>
              <a:ext cx="4279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896BD9A4-DBF3-4995-8BE3-D3EB49BF8D42}" type="TxLink">
                <a:rPr lang="en-US" sz="1100" b="1" i="0" u="none" strike="noStrike">
                  <a:solidFill>
                    <a:srgbClr val="000000"/>
                  </a:solidFill>
                  <a:latin typeface="Calibri"/>
                  <a:cs typeface="Calibri"/>
                </a:rPr>
                <a:pPr/>
                <a:t>0%</a:t>
              </a:fld>
              <a:endParaRPr lang="en-CA" sz="1100" b="1"/>
            </a:p>
          </xdr:txBody>
        </xdr:sp>
      </xdr:grpSp>
      <xdr:grpSp>
        <xdr:nvGrpSpPr>
          <xdr:cNvPr id="145" name="Group 144"/>
          <xdr:cNvGrpSpPr/>
        </xdr:nvGrpSpPr>
        <xdr:grpSpPr>
          <a:xfrm>
            <a:off x="2012361" y="14892338"/>
            <a:ext cx="428926" cy="1885950"/>
            <a:chOff x="2012361" y="14892338"/>
            <a:chExt cx="428926" cy="1885950"/>
          </a:xfrm>
        </xdr:grpSpPr>
        <xdr:cxnSp macro="">
          <xdr:nvCxnSpPr>
            <xdr:cNvPr id="149" name="Straight Arrow Connector 148"/>
            <xdr:cNvCxnSpPr>
              <a:stCxn id="171" idx="3"/>
              <a:endCxn id="163" idx="1"/>
            </xdr:cNvCxnSpPr>
          </xdr:nvCxnSpPr>
          <xdr:spPr>
            <a:xfrm>
              <a:off x="2071688" y="14892338"/>
              <a:ext cx="301970" cy="1885950"/>
            </a:xfrm>
            <a:prstGeom prst="straightConnector1">
              <a:avLst/>
            </a:prstGeom>
            <a:ln w="19050">
              <a:solidFill>
                <a:schemeClr val="accent3"/>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AI$84">
          <xdr:nvSpPr>
            <xdr:cNvPr id="150" name="TextBox 149"/>
            <xdr:cNvSpPr txBox="1"/>
          </xdr:nvSpPr>
          <xdr:spPr>
            <a:xfrm>
              <a:off x="2012361" y="16237503"/>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E7DC3255-A345-4234-BA59-E2CDCBA817FA}" type="TxLink">
                <a:rPr lang="en-US" sz="1100" b="1" i="0" u="none" strike="noStrike">
                  <a:solidFill>
                    <a:srgbClr val="000000"/>
                  </a:solidFill>
                  <a:latin typeface="Calibri"/>
                  <a:cs typeface="Calibri"/>
                </a:rPr>
                <a:pPr/>
                <a:t>0%</a:t>
              </a:fld>
              <a:endParaRPr lang="en-CA" sz="1100" b="1"/>
            </a:p>
          </xdr:txBody>
        </xdr:sp>
      </xdr:grpSp>
      <xdr:grpSp>
        <xdr:nvGrpSpPr>
          <xdr:cNvPr id="146" name="Group 145"/>
          <xdr:cNvGrpSpPr/>
        </xdr:nvGrpSpPr>
        <xdr:grpSpPr>
          <a:xfrm>
            <a:off x="2012361" y="14892338"/>
            <a:ext cx="428926" cy="933450"/>
            <a:chOff x="2012361" y="14892338"/>
            <a:chExt cx="428926" cy="933450"/>
          </a:xfrm>
        </xdr:grpSpPr>
        <xdr:cxnSp macro="">
          <xdr:nvCxnSpPr>
            <xdr:cNvPr id="147" name="Straight Arrow Connector 146"/>
            <xdr:cNvCxnSpPr>
              <a:stCxn id="171" idx="3"/>
              <a:endCxn id="165" idx="1"/>
            </xdr:cNvCxnSpPr>
          </xdr:nvCxnSpPr>
          <xdr:spPr>
            <a:xfrm>
              <a:off x="2071688" y="14892338"/>
              <a:ext cx="315309" cy="933450"/>
            </a:xfrm>
            <a:prstGeom prst="straightConnector1">
              <a:avLst/>
            </a:prstGeom>
            <a:ln w="19050">
              <a:solidFill>
                <a:schemeClr val="accent3">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AI$80">
          <xdr:nvSpPr>
            <xdr:cNvPr id="148" name="TextBox 147"/>
            <xdr:cNvSpPr txBox="1"/>
          </xdr:nvSpPr>
          <xdr:spPr>
            <a:xfrm>
              <a:off x="2012361" y="15285003"/>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FC3B2E26-9B52-42A6-A419-4DB1EEAD91B6}" type="TxLink">
                <a:rPr lang="en-US" sz="1100" b="1" i="0" u="none" strike="noStrike">
                  <a:solidFill>
                    <a:srgbClr val="000000"/>
                  </a:solidFill>
                  <a:latin typeface="Calibri"/>
                  <a:cs typeface="Calibri"/>
                </a:rPr>
                <a:pPr/>
                <a:t>0%</a:t>
              </a:fld>
              <a:endParaRPr lang="en-CA" sz="1100" b="1"/>
            </a:p>
          </xdr:txBody>
        </xdr:sp>
      </xdr:grpSp>
    </xdr:grpSp>
    <xdr:clientData/>
  </xdr:twoCellAnchor>
  <xdr:twoCellAnchor>
    <xdr:from>
      <xdr:col>1</xdr:col>
      <xdr:colOff>0</xdr:colOff>
      <xdr:row>150</xdr:row>
      <xdr:rowOff>0</xdr:rowOff>
    </xdr:from>
    <xdr:to>
      <xdr:col>18</xdr:col>
      <xdr:colOff>0</xdr:colOff>
      <xdr:row>170</xdr:row>
      <xdr:rowOff>0</xdr:rowOff>
    </xdr:to>
    <xdr:graphicFrame macro="">
      <xdr:nvGraphicFramePr>
        <xdr:cNvPr id="176" name="Chart 1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150</xdr:row>
      <xdr:rowOff>0</xdr:rowOff>
    </xdr:from>
    <xdr:to>
      <xdr:col>35</xdr:col>
      <xdr:colOff>0</xdr:colOff>
      <xdr:row>170</xdr:row>
      <xdr:rowOff>0</xdr:rowOff>
    </xdr:to>
    <xdr:graphicFrame macro="">
      <xdr:nvGraphicFramePr>
        <xdr:cNvPr id="178" name="Chart 1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314324</xdr:colOff>
      <xdr:row>171</xdr:row>
      <xdr:rowOff>0</xdr:rowOff>
    </xdr:from>
    <xdr:to>
      <xdr:col>34</xdr:col>
      <xdr:colOff>314324</xdr:colOff>
      <xdr:row>191</xdr:row>
      <xdr:rowOff>0</xdr:rowOff>
    </xdr:to>
    <xdr:graphicFrame macro="">
      <xdr:nvGraphicFramePr>
        <xdr:cNvPr id="179" name="Chart 1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xdr:colOff>
      <xdr:row>36</xdr:row>
      <xdr:rowOff>0</xdr:rowOff>
    </xdr:from>
    <xdr:to>
      <xdr:col>18</xdr:col>
      <xdr:colOff>0</xdr:colOff>
      <xdr:row>56</xdr:row>
      <xdr:rowOff>0</xdr:rowOff>
    </xdr:to>
    <xdr:graphicFrame macro="">
      <xdr:nvGraphicFramePr>
        <xdr:cNvPr id="180" name="Chart 1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314324</xdr:colOff>
      <xdr:row>36</xdr:row>
      <xdr:rowOff>0</xdr:rowOff>
    </xdr:from>
    <xdr:to>
      <xdr:col>34</xdr:col>
      <xdr:colOff>314324</xdr:colOff>
      <xdr:row>56</xdr:row>
      <xdr:rowOff>0</xdr:rowOff>
    </xdr:to>
    <xdr:graphicFrame macro="">
      <xdr:nvGraphicFramePr>
        <xdr:cNvPr id="181" name="Chart 1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9525</xdr:colOff>
      <xdr:row>0</xdr:row>
      <xdr:rowOff>0</xdr:rowOff>
    </xdr:from>
    <xdr:to>
      <xdr:col>38</xdr:col>
      <xdr:colOff>762000</xdr:colOff>
      <xdr:row>0</xdr:row>
      <xdr:rowOff>241200</xdr:rowOff>
    </xdr:to>
    <xdr:grpSp>
      <xdr:nvGrpSpPr>
        <xdr:cNvPr id="10" name="Group 9"/>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0868025" y="0"/>
            <a:chExt cx="10982324" cy="241200"/>
          </a:xfrm>
        </xdr:grpSpPr>
        <xdr:sp macro="" textlink="">
          <xdr:nvSpPr>
            <xdr:cNvPr id="3" name="Rounded Rectangle 2">
              <a:hlinkClick xmlns:r="http://schemas.openxmlformats.org/officeDocument/2006/relationships" r:id="rId7"/>
            </xdr:cNvPr>
            <xdr:cNvSpPr/>
          </xdr:nvSpPr>
          <xdr:spPr>
            <a:xfrm>
              <a:off x="108680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5" name="Rounded Rectangle 4">
              <a:hlinkClick xmlns:r="http://schemas.openxmlformats.org/officeDocument/2006/relationships" r:id="rId8"/>
            </xdr:cNvPr>
            <xdr:cNvSpPr/>
          </xdr:nvSpPr>
          <xdr:spPr>
            <a:xfrm>
              <a:off x="135493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8" name="Rounded Rectangle 7">
              <a:hlinkClick xmlns:r="http://schemas.openxmlformats.org/officeDocument/2006/relationships" r:id="rId9"/>
            </xdr:cNvPr>
            <xdr:cNvSpPr/>
          </xdr:nvSpPr>
          <xdr:spPr>
            <a:xfrm>
              <a:off x="122086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9" name="Rounded Rectangle 8">
              <a:hlinkClick xmlns:r="http://schemas.openxmlformats.org/officeDocument/2006/relationships" r:id="rId10"/>
            </xdr:cNvPr>
            <xdr:cNvSpPr/>
          </xdr:nvSpPr>
          <xdr:spPr>
            <a:xfrm>
              <a:off x="148899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2" name="Rounded Rectangle 11">
              <a:hlinkClick xmlns:r="http://schemas.openxmlformats.org/officeDocument/2006/relationships" r:id="rId11"/>
            </xdr:cNvPr>
            <xdr:cNvSpPr/>
          </xdr:nvSpPr>
          <xdr:spPr>
            <a:xfrm>
              <a:off x="16232505" y="0"/>
              <a:ext cx="1219200" cy="241200"/>
            </a:xfrm>
            <a:prstGeom prst="roundRect">
              <a:avLst/>
            </a:prstGeom>
            <a:solidFill>
              <a:schemeClr val="bg1">
                <a:lumMod val="85000"/>
              </a:schemeClr>
            </a:solidFill>
            <a:ln w="15875">
              <a:solidFill>
                <a:schemeClr val="tx1">
                  <a:lumMod val="50000"/>
                  <a:lumOff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1">
                  <a:solidFill>
                    <a:schemeClr val="tx1">
                      <a:lumMod val="50000"/>
                      <a:lumOff val="50000"/>
                    </a:schemeClr>
                  </a:solidFill>
                </a:rPr>
                <a:t>Summary</a:t>
              </a:r>
            </a:p>
          </xdr:txBody>
        </xdr:sp>
        <xdr:sp macro="" textlink="">
          <xdr:nvSpPr>
            <xdr:cNvPr id="13" name="Rounded Rectangle 12">
              <a:hlinkClick xmlns:r="http://schemas.openxmlformats.org/officeDocument/2006/relationships" r:id="rId12"/>
            </xdr:cNvPr>
            <xdr:cNvSpPr/>
          </xdr:nvSpPr>
          <xdr:spPr>
            <a:xfrm>
              <a:off x="175736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Reduction Form</a:t>
              </a:r>
            </a:p>
          </xdr:txBody>
        </xdr:sp>
        <xdr:sp macro="" textlink="">
          <xdr:nvSpPr>
            <xdr:cNvPr id="14" name="Rounded Rectangle 13">
              <a:hlinkClick xmlns:r="http://schemas.openxmlformats.org/officeDocument/2006/relationships" r:id="rId13"/>
            </xdr:cNvPr>
            <xdr:cNvSpPr/>
          </xdr:nvSpPr>
          <xdr:spPr>
            <a:xfrm>
              <a:off x="188880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5" name="Rounded Rectangle 14">
              <a:hlinkClick xmlns:r="http://schemas.openxmlformats.org/officeDocument/2006/relationships" r:id="rId14"/>
            </xdr:cNvPr>
            <xdr:cNvSpPr/>
          </xdr:nvSpPr>
          <xdr:spPr>
            <a:xfrm>
              <a:off x="192581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6" name="Rounded Rectangle 15">
              <a:hlinkClick xmlns:r="http://schemas.openxmlformats.org/officeDocument/2006/relationships" r:id="rId15"/>
            </xdr:cNvPr>
            <xdr:cNvSpPr/>
          </xdr:nvSpPr>
          <xdr:spPr>
            <a:xfrm>
              <a:off x="196283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7" name="Rounded Rectangle 16">
              <a:hlinkClick xmlns:r="http://schemas.openxmlformats.org/officeDocument/2006/relationships" r:id="rId16"/>
            </xdr:cNvPr>
            <xdr:cNvSpPr/>
          </xdr:nvSpPr>
          <xdr:spPr>
            <a:xfrm>
              <a:off x="199984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18" name="Rounded Rectangle 17">
              <a:hlinkClick xmlns:r="http://schemas.openxmlformats.org/officeDocument/2006/relationships" r:id="rId17"/>
            </xdr:cNvPr>
            <xdr:cNvSpPr/>
          </xdr:nvSpPr>
          <xdr:spPr>
            <a:xfrm>
              <a:off x="203685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1" name="Rounded Rectangle 20">
              <a:hlinkClick xmlns:r="http://schemas.openxmlformats.org/officeDocument/2006/relationships" r:id="rId18"/>
            </xdr:cNvPr>
            <xdr:cNvSpPr/>
          </xdr:nvSpPr>
          <xdr:spPr>
            <a:xfrm>
              <a:off x="207386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22" name="Rounded Rectangle 21">
              <a:hlinkClick xmlns:r="http://schemas.openxmlformats.org/officeDocument/2006/relationships" r:id="rId19"/>
            </xdr:cNvPr>
            <xdr:cNvSpPr/>
          </xdr:nvSpPr>
          <xdr:spPr>
            <a:xfrm>
              <a:off x="211087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23" name="Rounded Rectangle 22">
              <a:hlinkClick xmlns:r="http://schemas.openxmlformats.org/officeDocument/2006/relationships" r:id="rId20"/>
            </xdr:cNvPr>
            <xdr:cNvSpPr/>
          </xdr:nvSpPr>
          <xdr:spPr>
            <a:xfrm>
              <a:off x="214788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175" name="Rounded Rectangle 174">
            <a:hlinkClick xmlns:r="http://schemas.openxmlformats.org/officeDocument/2006/relationships" r:id="rId21"/>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0.88916</cdr:x>
      <cdr:y>0.1159</cdr:y>
    </cdr:from>
    <cdr:to>
      <cdr:x>0.97008</cdr:x>
      <cdr:y>0.18533</cdr:y>
    </cdr:to>
    <cdr:sp macro="" textlink="Summary!$A$137">
      <cdr:nvSpPr>
        <cdr:cNvPr id="3" name="TextBox 1"/>
        <cdr:cNvSpPr txBox="1"/>
      </cdr:nvSpPr>
      <cdr:spPr>
        <a:xfrm xmlns:a="http://schemas.openxmlformats.org/drawingml/2006/main">
          <a:off x="4708928" y="441560"/>
          <a:ext cx="428514" cy="26456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BFC6247E-3037-47E1-B66A-13FAE9A009DF}" type="TxLink">
            <a:rPr lang="en-CA" sz="1100"/>
            <a:pPr/>
            <a:t>#NUM!</a:t>
          </a:fld>
          <a:endParaRPr lang="en-CA" sz="1100"/>
        </a:p>
      </cdr:txBody>
    </cdr:sp>
  </cdr:relSizeAnchor>
  <cdr:relSizeAnchor xmlns:cdr="http://schemas.openxmlformats.org/drawingml/2006/chartDrawing">
    <cdr:from>
      <cdr:x>0.78657</cdr:x>
      <cdr:y>0.11333</cdr:y>
    </cdr:from>
    <cdr:to>
      <cdr:x>0.9247</cdr:x>
      <cdr:y>0.18533</cdr:y>
    </cdr:to>
    <cdr:sp macro="" textlink="">
      <cdr:nvSpPr>
        <cdr:cNvPr id="4" name="TextBox 1"/>
        <cdr:cNvSpPr txBox="1"/>
      </cdr:nvSpPr>
      <cdr:spPr>
        <a:xfrm xmlns:a="http://schemas.openxmlformats.org/drawingml/2006/main">
          <a:off x="4165600" y="431800"/>
          <a:ext cx="73152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100"/>
            <a:t>Median:</a:t>
          </a:r>
        </a:p>
      </cdr:txBody>
    </cdr:sp>
  </cdr:relSizeAnchor>
</c:userShapes>
</file>

<file path=xl/drawings/drawing7.xml><?xml version="1.0" encoding="utf-8"?>
<c:userShapes xmlns:c="http://schemas.openxmlformats.org/drawingml/2006/chart">
  <cdr:relSizeAnchor xmlns:cdr="http://schemas.openxmlformats.org/drawingml/2006/chartDrawing">
    <cdr:from>
      <cdr:x>0.88805</cdr:x>
      <cdr:y>0.11333</cdr:y>
    </cdr:from>
    <cdr:to>
      <cdr:x>0.95704</cdr:x>
      <cdr:y>0.18533</cdr:y>
    </cdr:to>
    <cdr:sp macro="" textlink="Summary!$A$115">
      <cdr:nvSpPr>
        <cdr:cNvPr id="3" name="TextBox 1"/>
        <cdr:cNvSpPr txBox="1"/>
      </cdr:nvSpPr>
      <cdr:spPr>
        <a:xfrm xmlns:a="http://schemas.openxmlformats.org/drawingml/2006/main">
          <a:off x="4708313" y="431799"/>
          <a:ext cx="36576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4636D796-6466-472E-A621-CF4897A22D4F}" type="TxLink">
            <a:rPr lang="en-CA" sz="1100" b="0" i="0" u="none" strike="noStrike">
              <a:solidFill>
                <a:srgbClr val="000000"/>
              </a:solidFill>
              <a:latin typeface="Calibri"/>
              <a:cs typeface="Calibri"/>
            </a:rPr>
            <a:pPr/>
            <a:t>#NUM!</a:t>
          </a:fld>
          <a:endParaRPr lang="en-CA" sz="1100"/>
        </a:p>
      </cdr:txBody>
    </cdr:sp>
  </cdr:relSizeAnchor>
  <cdr:relSizeAnchor xmlns:cdr="http://schemas.openxmlformats.org/drawingml/2006/chartDrawing">
    <cdr:from>
      <cdr:x>0.78657</cdr:x>
      <cdr:y>0.11333</cdr:y>
    </cdr:from>
    <cdr:to>
      <cdr:x>0.9247</cdr:x>
      <cdr:y>0.18533</cdr:y>
    </cdr:to>
    <cdr:sp macro="" textlink="">
      <cdr:nvSpPr>
        <cdr:cNvPr id="4" name="TextBox 1"/>
        <cdr:cNvSpPr txBox="1"/>
      </cdr:nvSpPr>
      <cdr:spPr>
        <a:xfrm xmlns:a="http://schemas.openxmlformats.org/drawingml/2006/main">
          <a:off x="4170282" y="431799"/>
          <a:ext cx="732343"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100"/>
            <a:t>Median:</a:t>
          </a:r>
        </a:p>
      </cdr:txBody>
    </cdr:sp>
  </cdr:relSizeAnchor>
</c:userShapes>
</file>

<file path=xl/drawings/drawing8.xml><?xml version="1.0" encoding="utf-8"?>
<c:userShapes xmlns:c="http://schemas.openxmlformats.org/drawingml/2006/chart">
  <cdr:relSizeAnchor xmlns:cdr="http://schemas.openxmlformats.org/drawingml/2006/chartDrawing">
    <cdr:from>
      <cdr:x>0.88295</cdr:x>
      <cdr:y>0.11333</cdr:y>
    </cdr:from>
    <cdr:to>
      <cdr:x>0.9554</cdr:x>
      <cdr:y>0.18533</cdr:y>
    </cdr:to>
    <cdr:sp macro="" textlink="Summary!$A$124">
      <cdr:nvSpPr>
        <cdr:cNvPr id="2" name="TextBox 1"/>
        <cdr:cNvSpPr txBox="1"/>
      </cdr:nvSpPr>
      <cdr:spPr>
        <a:xfrm xmlns:a="http://schemas.openxmlformats.org/drawingml/2006/main">
          <a:off x="4457354" y="431799"/>
          <a:ext cx="36576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527CACA3-AB5F-4EB8-9BEB-DD0EB81BFE92}" type="TxLink">
            <a:rPr lang="en-CA" sz="1100" b="0" i="0" u="none" strike="noStrike">
              <a:solidFill>
                <a:srgbClr val="000000"/>
              </a:solidFill>
              <a:latin typeface="Calibri"/>
              <a:cs typeface="Calibri"/>
            </a:rPr>
            <a:pPr/>
            <a:t>#NUM!</a:t>
          </a:fld>
          <a:endParaRPr lang="en-CA" sz="1100"/>
        </a:p>
      </cdr:txBody>
    </cdr:sp>
  </cdr:relSizeAnchor>
  <cdr:relSizeAnchor xmlns:cdr="http://schemas.openxmlformats.org/drawingml/2006/chartDrawing">
    <cdr:from>
      <cdr:x>0.77525</cdr:x>
      <cdr:y>0.11333</cdr:y>
    </cdr:from>
    <cdr:to>
      <cdr:x>0.92071</cdr:x>
      <cdr:y>0.18533</cdr:y>
    </cdr:to>
    <cdr:sp macro="" textlink="">
      <cdr:nvSpPr>
        <cdr:cNvPr id="3" name="TextBox 1"/>
        <cdr:cNvSpPr txBox="1"/>
      </cdr:nvSpPr>
      <cdr:spPr>
        <a:xfrm xmlns:a="http://schemas.openxmlformats.org/drawingml/2006/main">
          <a:off x="3913669" y="431799"/>
          <a:ext cx="73429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100"/>
            <a:t>Median:</a:t>
          </a:r>
        </a:p>
      </cdr:txBody>
    </cdr:sp>
  </cdr:relSizeAnchor>
</c:userShapes>
</file>

<file path=xl/drawings/drawing9.xml><?xml version="1.0" encoding="utf-8"?>
<c:userShapes xmlns:c="http://schemas.openxmlformats.org/drawingml/2006/chart">
  <cdr:relSizeAnchor xmlns:cdr="http://schemas.openxmlformats.org/drawingml/2006/chartDrawing">
    <cdr:from>
      <cdr:x>0.88177</cdr:x>
      <cdr:y>0.11169</cdr:y>
    </cdr:from>
    <cdr:to>
      <cdr:x>0.96698</cdr:x>
      <cdr:y>0.18113</cdr:y>
    </cdr:to>
    <cdr:sp macro="" textlink="Summary!$A$146">
      <cdr:nvSpPr>
        <cdr:cNvPr id="2" name="TextBox 1"/>
        <cdr:cNvSpPr txBox="1"/>
      </cdr:nvSpPr>
      <cdr:spPr>
        <a:xfrm xmlns:a="http://schemas.openxmlformats.org/drawingml/2006/main">
          <a:off x="4451401" y="425539"/>
          <a:ext cx="430161" cy="2645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3AC0CB51-3BAE-4013-99CB-8E7AA2E5484E}" type="TxLink">
            <a:rPr lang="en-CA" sz="1100" b="0" i="0" u="none" strike="noStrike">
              <a:solidFill>
                <a:srgbClr val="000000"/>
              </a:solidFill>
              <a:latin typeface="Calibri"/>
              <a:cs typeface="Calibri"/>
            </a:rPr>
            <a:pPr/>
            <a:t>#NUM!</a:t>
          </a:fld>
          <a:endParaRPr lang="en-CA" sz="1100"/>
        </a:p>
      </cdr:txBody>
    </cdr:sp>
  </cdr:relSizeAnchor>
  <cdr:relSizeAnchor xmlns:cdr="http://schemas.openxmlformats.org/drawingml/2006/chartDrawing">
    <cdr:from>
      <cdr:x>0.77525</cdr:x>
      <cdr:y>0.11169</cdr:y>
    </cdr:from>
    <cdr:to>
      <cdr:x>0.92071</cdr:x>
      <cdr:y>0.18369</cdr:y>
    </cdr:to>
    <cdr:sp macro="" textlink="">
      <cdr:nvSpPr>
        <cdr:cNvPr id="3" name="TextBox 1"/>
        <cdr:cNvSpPr txBox="1"/>
      </cdr:nvSpPr>
      <cdr:spPr>
        <a:xfrm xmlns:a="http://schemas.openxmlformats.org/drawingml/2006/main">
          <a:off x="3913669" y="425538"/>
          <a:ext cx="73429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100"/>
            <a:t>Median:</a:t>
          </a:r>
        </a:p>
      </cdr:txBody>
    </cdr:sp>
  </cdr:relSizeAnchor>
</c:userShapes>
</file>

<file path=xl/drawings/drawing10.xml><?xml version="1.0" encoding="utf-8"?>
<c:userShapes xmlns:c="http://schemas.openxmlformats.org/drawingml/2006/chart">
  <cdr:relSizeAnchor xmlns:cdr="http://schemas.openxmlformats.org/drawingml/2006/chartDrawing">
    <cdr:from>
      <cdr:x>0.88813</cdr:x>
      <cdr:y>0.11333</cdr:y>
    </cdr:from>
    <cdr:to>
      <cdr:x>0.95712</cdr:x>
      <cdr:y>0.18529</cdr:y>
    </cdr:to>
    <cdr:sp macro="" textlink="Summary!$A$19">
      <cdr:nvSpPr>
        <cdr:cNvPr id="3" name="TextBox 1"/>
        <cdr:cNvSpPr txBox="1"/>
      </cdr:nvSpPr>
      <cdr:spPr>
        <a:xfrm xmlns:a="http://schemas.openxmlformats.org/drawingml/2006/main">
          <a:off x="4708750" y="432063"/>
          <a:ext cx="36576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D6F56601-2F45-4252-9B33-5FC69BF91937}" type="TxLink">
            <a:rPr lang="en-CA" sz="1100" b="0" i="0" u="none" strike="noStrike">
              <a:solidFill>
                <a:srgbClr val="000000"/>
              </a:solidFill>
              <a:latin typeface="Calibri"/>
              <a:cs typeface="Calibri"/>
            </a:rPr>
            <a:pPr/>
            <a:t>#NUM!</a:t>
          </a:fld>
          <a:endParaRPr lang="en-CA" sz="1100"/>
        </a:p>
      </cdr:txBody>
    </cdr:sp>
  </cdr:relSizeAnchor>
  <cdr:relSizeAnchor xmlns:cdr="http://schemas.openxmlformats.org/drawingml/2006/chartDrawing">
    <cdr:from>
      <cdr:x>0.78657</cdr:x>
      <cdr:y>0.11333</cdr:y>
    </cdr:from>
    <cdr:to>
      <cdr:x>0.92455</cdr:x>
      <cdr:y>0.18529</cdr:y>
    </cdr:to>
    <cdr:sp macro="" textlink="">
      <cdr:nvSpPr>
        <cdr:cNvPr id="4" name="TextBox 1"/>
        <cdr:cNvSpPr txBox="1"/>
      </cdr:nvSpPr>
      <cdr:spPr>
        <a:xfrm xmlns:a="http://schemas.openxmlformats.org/drawingml/2006/main">
          <a:off x="4170282" y="432069"/>
          <a:ext cx="73152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100"/>
            <a:t>Median:</a:t>
          </a:r>
        </a:p>
      </cdr:txBody>
    </cdr:sp>
  </cdr:relSizeAnchor>
</c:userShapes>
</file>

<file path=xl/drawings/drawing11.xml><?xml version="1.0" encoding="utf-8"?>
<c:userShapes xmlns:c="http://schemas.openxmlformats.org/drawingml/2006/chart">
  <cdr:relSizeAnchor xmlns:cdr="http://schemas.openxmlformats.org/drawingml/2006/chartDrawing">
    <cdr:from>
      <cdr:x>0.88194</cdr:x>
      <cdr:y>0.11417</cdr:y>
    </cdr:from>
    <cdr:to>
      <cdr:x>0.95439</cdr:x>
      <cdr:y>0.18613</cdr:y>
    </cdr:to>
    <cdr:sp macro="" textlink="Summary!$A$28">
      <cdr:nvSpPr>
        <cdr:cNvPr id="2" name="TextBox 1"/>
        <cdr:cNvSpPr txBox="1"/>
      </cdr:nvSpPr>
      <cdr:spPr>
        <a:xfrm xmlns:a="http://schemas.openxmlformats.org/drawingml/2006/main">
          <a:off x="4452252" y="435260"/>
          <a:ext cx="36576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7AD5E270-7327-45A1-B084-01D45A345455}" type="TxLink">
            <a:rPr lang="en-CA" sz="1100" b="0" i="0" u="none" strike="noStrike">
              <a:solidFill>
                <a:srgbClr val="000000"/>
              </a:solidFill>
              <a:latin typeface="Calibri"/>
              <a:cs typeface="Calibri"/>
            </a:rPr>
            <a:pPr/>
            <a:t>#NUM!</a:t>
          </a:fld>
          <a:endParaRPr lang="en-CA" sz="1100"/>
        </a:p>
      </cdr:txBody>
    </cdr:sp>
  </cdr:relSizeAnchor>
  <cdr:relSizeAnchor xmlns:cdr="http://schemas.openxmlformats.org/drawingml/2006/chartDrawing">
    <cdr:from>
      <cdr:x>0.77525</cdr:x>
      <cdr:y>0.11333</cdr:y>
    </cdr:from>
    <cdr:to>
      <cdr:x>0.92071</cdr:x>
      <cdr:y>0.18529</cdr:y>
    </cdr:to>
    <cdr:sp macro="" textlink="">
      <cdr:nvSpPr>
        <cdr:cNvPr id="3" name="TextBox 1"/>
        <cdr:cNvSpPr txBox="1"/>
      </cdr:nvSpPr>
      <cdr:spPr>
        <a:xfrm xmlns:a="http://schemas.openxmlformats.org/drawingml/2006/main">
          <a:off x="3913669" y="432069"/>
          <a:ext cx="73429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100"/>
            <a:t>Median:</a:t>
          </a:r>
        </a:p>
      </cdr:txBody>
    </cdr:sp>
  </cdr:relSizeAnchor>
</c:userShapes>
</file>

<file path=xl/drawings/drawing12.xml><?xml version="1.0" encoding="utf-8"?>
<xdr:wsDr xmlns:xdr="http://schemas.openxmlformats.org/drawingml/2006/spreadsheetDrawing" xmlns:a="http://schemas.openxmlformats.org/drawingml/2006/main">
  <xdr:twoCellAnchor>
    <xdr:from>
      <xdr:col>4</xdr:col>
      <xdr:colOff>85725</xdr:colOff>
      <xdr:row>0</xdr:row>
      <xdr:rowOff>0</xdr:rowOff>
    </xdr:from>
    <xdr:to>
      <xdr:col>32</xdr:col>
      <xdr:colOff>95250</xdr:colOff>
      <xdr:row>0</xdr:row>
      <xdr:rowOff>241200</xdr:rowOff>
    </xdr:to>
    <xdr:grpSp>
      <xdr:nvGrpSpPr>
        <xdr:cNvPr id="3" name="Group 2"/>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762125" y="0"/>
            <a:chExt cx="10982324" cy="241200"/>
          </a:xfrm>
        </xdr:grpSpPr>
        <xdr:sp macro="" textlink="">
          <xdr:nvSpPr>
            <xdr:cNvPr id="12" name="Rounded Rectangle 11">
              <a:hlinkClick xmlns:r="http://schemas.openxmlformats.org/officeDocument/2006/relationships" r:id="rId1"/>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3" name="Rounded Rectangle 12">
              <a:hlinkClick xmlns:r="http://schemas.openxmlformats.org/officeDocument/2006/relationships" r:id="rId2"/>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4" name="Rounded Rectangle 13">
              <a:hlinkClick xmlns:r="http://schemas.openxmlformats.org/officeDocument/2006/relationships" r:id="rId3"/>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15" name="Rounded Rectangle 14">
              <a:hlinkClick xmlns:r="http://schemas.openxmlformats.org/officeDocument/2006/relationships" r:id="rId4"/>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6" name="Rounded Rectangle 15">
              <a:hlinkClick xmlns:r="http://schemas.openxmlformats.org/officeDocument/2006/relationships" r:id="rId5"/>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17" name="Rounded Rectangle 16">
              <a:hlinkClick xmlns:r="http://schemas.openxmlformats.org/officeDocument/2006/relationships" r:id="rId6"/>
            </xdr:cNvPr>
            <xdr:cNvSpPr/>
          </xdr:nvSpPr>
          <xdr:spPr>
            <a:xfrm>
              <a:off x="8467725" y="0"/>
              <a:ext cx="1219200" cy="241200"/>
            </a:xfrm>
            <a:prstGeom prst="roundRect">
              <a:avLst/>
            </a:prstGeom>
            <a:solidFill>
              <a:schemeClr val="bg1">
                <a:lumMod val="85000"/>
              </a:schemeClr>
            </a:solidFill>
            <a:ln w="15875">
              <a:solidFill>
                <a:schemeClr val="tx1">
                  <a:lumMod val="50000"/>
                  <a:lumOff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tx1">
                      <a:lumMod val="50000"/>
                      <a:lumOff val="50000"/>
                    </a:schemeClr>
                  </a:solidFill>
                </a:rPr>
                <a:t>Reduction Form</a:t>
              </a:r>
            </a:p>
          </xdr:txBody>
        </xdr:sp>
        <xdr:sp macro="" textlink="">
          <xdr:nvSpPr>
            <xdr:cNvPr id="8" name="Rounded Rectangle 7">
              <a:hlinkClick xmlns:r="http://schemas.openxmlformats.org/officeDocument/2006/relationships" r:id="rId7"/>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9" name="Rounded Rectangle 8">
              <a:hlinkClick xmlns:r="http://schemas.openxmlformats.org/officeDocument/2006/relationships" r:id="rId8"/>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0" name="Rounded Rectangle 9">
              <a:hlinkClick xmlns:r="http://schemas.openxmlformats.org/officeDocument/2006/relationships" r:id="rId9"/>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1" name="Rounded Rectangle 10">
              <a:hlinkClick xmlns:r="http://schemas.openxmlformats.org/officeDocument/2006/relationships" r:id="rId10"/>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18" name="Rounded Rectangle 17">
              <a:hlinkClick xmlns:r="http://schemas.openxmlformats.org/officeDocument/2006/relationships" r:id="rId11"/>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19" name="Rounded Rectangle 18">
              <a:hlinkClick xmlns:r="http://schemas.openxmlformats.org/officeDocument/2006/relationships" r:id="rId12"/>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20" name="Rounded Rectangle 19">
              <a:hlinkClick xmlns:r="http://schemas.openxmlformats.org/officeDocument/2006/relationships" r:id="rId13"/>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21" name="Rounded Rectangle 20">
              <a:hlinkClick xmlns:r="http://schemas.openxmlformats.org/officeDocument/2006/relationships" r:id="rId14"/>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22" name="Rounded Rectangle 21">
            <a:hlinkClick xmlns:r="http://schemas.openxmlformats.org/officeDocument/2006/relationships" r:id="rId15"/>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4</xdr:row>
      <xdr:rowOff>0</xdr:rowOff>
    </xdr:from>
    <xdr:to>
      <xdr:col>15</xdr:col>
      <xdr:colOff>0</xdr:colOff>
      <xdr:row>44</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200025</xdr:colOff>
      <xdr:row>0</xdr:row>
      <xdr:rowOff>0</xdr:rowOff>
    </xdr:from>
    <xdr:to>
      <xdr:col>18</xdr:col>
      <xdr:colOff>514350</xdr:colOff>
      <xdr:row>0</xdr:row>
      <xdr:rowOff>241200</xdr:rowOff>
    </xdr:to>
    <xdr:grpSp>
      <xdr:nvGrpSpPr>
        <xdr:cNvPr id="3" name="Group 2"/>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762125" y="0"/>
            <a:chExt cx="10982324" cy="241200"/>
          </a:xfrm>
        </xdr:grpSpPr>
        <xdr:sp macro="" textlink="">
          <xdr:nvSpPr>
            <xdr:cNvPr id="12" name="Rounded Rectangle 11">
              <a:hlinkClick xmlns:r="http://schemas.openxmlformats.org/officeDocument/2006/relationships" r:id="rId2"/>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3" name="Rounded Rectangle 12">
              <a:hlinkClick xmlns:r="http://schemas.openxmlformats.org/officeDocument/2006/relationships" r:id="rId3"/>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4" name="Rounded Rectangle 13">
              <a:hlinkClick xmlns:r="http://schemas.openxmlformats.org/officeDocument/2006/relationships" r:id="rId4"/>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15" name="Rounded Rectangle 14">
              <a:hlinkClick xmlns:r="http://schemas.openxmlformats.org/officeDocument/2006/relationships" r:id="rId5"/>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6" name="Rounded Rectangle 15">
              <a:hlinkClick xmlns:r="http://schemas.openxmlformats.org/officeDocument/2006/relationships" r:id="rId6"/>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17" name="Rounded Rectangle 16">
              <a:hlinkClick xmlns:r="http://schemas.openxmlformats.org/officeDocument/2006/relationships" r:id="rId7"/>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9" name="Rounded Rectangle 8">
              <a:hlinkClick xmlns:r="http://schemas.openxmlformats.org/officeDocument/2006/relationships" r:id="rId8"/>
            </xdr:cNvPr>
            <xdr:cNvSpPr/>
          </xdr:nvSpPr>
          <xdr:spPr>
            <a:xfrm>
              <a:off x="9782175" y="0"/>
              <a:ext cx="27622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S</a:t>
              </a:r>
            </a:p>
          </xdr:txBody>
        </xdr:sp>
        <xdr:sp macro="" textlink="">
          <xdr:nvSpPr>
            <xdr:cNvPr id="10" name="Rounded Rectangle 9">
              <a:hlinkClick xmlns:r="http://schemas.openxmlformats.org/officeDocument/2006/relationships" r:id="rId9"/>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8" name="Rounded Rectangle 17">
              <a:hlinkClick xmlns:r="http://schemas.openxmlformats.org/officeDocument/2006/relationships" r:id="rId10"/>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9" name="Rounded Rectangle 18">
              <a:hlinkClick xmlns:r="http://schemas.openxmlformats.org/officeDocument/2006/relationships" r:id="rId11"/>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20" name="Rounded Rectangle 19">
              <a:hlinkClick xmlns:r="http://schemas.openxmlformats.org/officeDocument/2006/relationships" r:id="rId12"/>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1" name="Rounded Rectangle 20">
              <a:hlinkClick xmlns:r="http://schemas.openxmlformats.org/officeDocument/2006/relationships" r:id="rId13"/>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22" name="Rounded Rectangle 21">
              <a:hlinkClick xmlns:r="http://schemas.openxmlformats.org/officeDocument/2006/relationships" r:id="rId14"/>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23" name="Rounded Rectangle 22">
              <a:hlinkClick xmlns:r="http://schemas.openxmlformats.org/officeDocument/2006/relationships" r:id="rId15"/>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24" name="Rounded Rectangle 23">
            <a:hlinkClick xmlns:r="http://schemas.openxmlformats.org/officeDocument/2006/relationships" r:id="rId16"/>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4</xdr:row>
      <xdr:rowOff>0</xdr:rowOff>
    </xdr:from>
    <xdr:to>
      <xdr:col>15</xdr:col>
      <xdr:colOff>0</xdr:colOff>
      <xdr:row>34</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981075</xdr:colOff>
      <xdr:row>0</xdr:row>
      <xdr:rowOff>0</xdr:rowOff>
    </xdr:from>
    <xdr:to>
      <xdr:col>18</xdr:col>
      <xdr:colOff>180975</xdr:colOff>
      <xdr:row>0</xdr:row>
      <xdr:rowOff>241200</xdr:rowOff>
    </xdr:to>
    <xdr:grpSp>
      <xdr:nvGrpSpPr>
        <xdr:cNvPr id="3" name="Group 2"/>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762125" y="0"/>
            <a:chExt cx="10982324" cy="241200"/>
          </a:xfrm>
        </xdr:grpSpPr>
        <xdr:sp macro="" textlink="">
          <xdr:nvSpPr>
            <xdr:cNvPr id="11" name="Rounded Rectangle 10">
              <a:hlinkClick xmlns:r="http://schemas.openxmlformats.org/officeDocument/2006/relationships" r:id="rId2"/>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2" name="Rounded Rectangle 11">
              <a:hlinkClick xmlns:r="http://schemas.openxmlformats.org/officeDocument/2006/relationships" r:id="rId3"/>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3" name="Rounded Rectangle 12">
              <a:hlinkClick xmlns:r="http://schemas.openxmlformats.org/officeDocument/2006/relationships" r:id="rId4"/>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14" name="Rounded Rectangle 13">
              <a:hlinkClick xmlns:r="http://schemas.openxmlformats.org/officeDocument/2006/relationships" r:id="rId5"/>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5" name="Rounded Rectangle 14">
              <a:hlinkClick xmlns:r="http://schemas.openxmlformats.org/officeDocument/2006/relationships" r:id="rId6"/>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16" name="Rounded Rectangle 15">
              <a:hlinkClick xmlns:r="http://schemas.openxmlformats.org/officeDocument/2006/relationships" r:id="rId7"/>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9" name="Rounded Rectangle 8">
              <a:hlinkClick xmlns:r="http://schemas.openxmlformats.org/officeDocument/2006/relationships" r:id="rId8"/>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7" name="Rounded Rectangle 16">
              <a:hlinkClick xmlns:r="http://schemas.openxmlformats.org/officeDocument/2006/relationships" r:id="rId9"/>
            </xdr:cNvPr>
            <xdr:cNvSpPr/>
          </xdr:nvSpPr>
          <xdr:spPr>
            <a:xfrm>
              <a:off x="10152289" y="0"/>
              <a:ext cx="27622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H</a:t>
              </a:r>
            </a:p>
          </xdr:txBody>
        </xdr:sp>
        <xdr:sp macro="" textlink="">
          <xdr:nvSpPr>
            <xdr:cNvPr id="18" name="Rounded Rectangle 17">
              <a:hlinkClick xmlns:r="http://schemas.openxmlformats.org/officeDocument/2006/relationships" r:id="rId10"/>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9" name="Rounded Rectangle 18">
              <a:hlinkClick xmlns:r="http://schemas.openxmlformats.org/officeDocument/2006/relationships" r:id="rId11"/>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20" name="Rounded Rectangle 19">
              <a:hlinkClick xmlns:r="http://schemas.openxmlformats.org/officeDocument/2006/relationships" r:id="rId12"/>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1" name="Rounded Rectangle 20">
              <a:hlinkClick xmlns:r="http://schemas.openxmlformats.org/officeDocument/2006/relationships" r:id="rId13"/>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22" name="Rounded Rectangle 21">
              <a:hlinkClick xmlns:r="http://schemas.openxmlformats.org/officeDocument/2006/relationships" r:id="rId14"/>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23" name="Rounded Rectangle 22">
              <a:hlinkClick xmlns:r="http://schemas.openxmlformats.org/officeDocument/2006/relationships" r:id="rId15"/>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24" name="Rounded Rectangle 23">
            <a:hlinkClick xmlns:r="http://schemas.openxmlformats.org/officeDocument/2006/relationships" r:id="rId16"/>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4</xdr:row>
      <xdr:rowOff>0</xdr:rowOff>
    </xdr:from>
    <xdr:to>
      <xdr:col>15</xdr:col>
      <xdr:colOff>0</xdr:colOff>
      <xdr:row>36</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1762126</xdr:colOff>
      <xdr:row>0</xdr:row>
      <xdr:rowOff>0</xdr:rowOff>
    </xdr:from>
    <xdr:to>
      <xdr:col>17</xdr:col>
      <xdr:colOff>161925</xdr:colOff>
      <xdr:row>0</xdr:row>
      <xdr:rowOff>241200</xdr:rowOff>
    </xdr:to>
    <xdr:grpSp>
      <xdr:nvGrpSpPr>
        <xdr:cNvPr id="3" name="Group 2"/>
        <xdr:cNvGrpSpPr/>
      </xdr:nvGrpSpPr>
      <xdr:grpSpPr>
        <a:xfrm>
          <a:off x="1762126" y="0"/>
          <a:ext cx="11744324" cy="241200"/>
          <a:chOff x="1762126" y="0"/>
          <a:chExt cx="11744324" cy="241200"/>
        </a:xfrm>
      </xdr:grpSpPr>
      <xdr:grpSp>
        <xdr:nvGrpSpPr>
          <xdr:cNvPr id="2" name="Group 1"/>
          <xdr:cNvGrpSpPr/>
        </xdr:nvGrpSpPr>
        <xdr:grpSpPr>
          <a:xfrm>
            <a:off x="1762126" y="0"/>
            <a:ext cx="10982324" cy="241200"/>
            <a:chOff x="1762125" y="0"/>
            <a:chExt cx="10982324" cy="241200"/>
          </a:xfrm>
        </xdr:grpSpPr>
        <xdr:sp macro="" textlink="">
          <xdr:nvSpPr>
            <xdr:cNvPr id="11" name="Rounded Rectangle 10">
              <a:hlinkClick xmlns:r="http://schemas.openxmlformats.org/officeDocument/2006/relationships" r:id="rId2"/>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2" name="Rounded Rectangle 11">
              <a:hlinkClick xmlns:r="http://schemas.openxmlformats.org/officeDocument/2006/relationships" r:id="rId3"/>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3" name="Rounded Rectangle 12">
              <a:hlinkClick xmlns:r="http://schemas.openxmlformats.org/officeDocument/2006/relationships" r:id="rId4"/>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14" name="Rounded Rectangle 13">
              <a:hlinkClick xmlns:r="http://schemas.openxmlformats.org/officeDocument/2006/relationships" r:id="rId5"/>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5" name="Rounded Rectangle 14">
              <a:hlinkClick xmlns:r="http://schemas.openxmlformats.org/officeDocument/2006/relationships" r:id="rId6"/>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16" name="Rounded Rectangle 15">
              <a:hlinkClick xmlns:r="http://schemas.openxmlformats.org/officeDocument/2006/relationships" r:id="rId7"/>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9" name="Rounded Rectangle 8">
              <a:hlinkClick xmlns:r="http://schemas.openxmlformats.org/officeDocument/2006/relationships" r:id="rId8"/>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7" name="Rounded Rectangle 16">
              <a:hlinkClick xmlns:r="http://schemas.openxmlformats.org/officeDocument/2006/relationships" r:id="rId9"/>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8" name="Rounded Rectangle 17">
              <a:hlinkClick xmlns:r="http://schemas.openxmlformats.org/officeDocument/2006/relationships" r:id="rId10"/>
            </xdr:cNvPr>
            <xdr:cNvSpPr/>
          </xdr:nvSpPr>
          <xdr:spPr>
            <a:xfrm>
              <a:off x="10522403" y="0"/>
              <a:ext cx="27622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P</a:t>
              </a:r>
            </a:p>
          </xdr:txBody>
        </xdr:sp>
        <xdr:sp macro="" textlink="">
          <xdr:nvSpPr>
            <xdr:cNvPr id="19" name="Rounded Rectangle 18">
              <a:hlinkClick xmlns:r="http://schemas.openxmlformats.org/officeDocument/2006/relationships" r:id="rId11"/>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20" name="Rounded Rectangle 19">
              <a:hlinkClick xmlns:r="http://schemas.openxmlformats.org/officeDocument/2006/relationships" r:id="rId12"/>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1" name="Rounded Rectangle 20">
              <a:hlinkClick xmlns:r="http://schemas.openxmlformats.org/officeDocument/2006/relationships" r:id="rId13"/>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22" name="Rounded Rectangle 21">
              <a:hlinkClick xmlns:r="http://schemas.openxmlformats.org/officeDocument/2006/relationships" r:id="rId14"/>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23" name="Rounded Rectangle 22">
              <a:hlinkClick xmlns:r="http://schemas.openxmlformats.org/officeDocument/2006/relationships" r:id="rId15"/>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24" name="Rounded Rectangle 23">
            <a:hlinkClick xmlns:r="http://schemas.openxmlformats.org/officeDocument/2006/relationships" r:id="rId16"/>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4</xdr:row>
      <xdr:rowOff>0</xdr:rowOff>
    </xdr:from>
    <xdr:to>
      <xdr:col>16</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200025</xdr:colOff>
      <xdr:row>0</xdr:row>
      <xdr:rowOff>0</xdr:rowOff>
    </xdr:from>
    <xdr:to>
      <xdr:col>19</xdr:col>
      <xdr:colOff>514350</xdr:colOff>
      <xdr:row>0</xdr:row>
      <xdr:rowOff>241200</xdr:rowOff>
    </xdr:to>
    <xdr:grpSp>
      <xdr:nvGrpSpPr>
        <xdr:cNvPr id="3" name="Group 2"/>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762125" y="0"/>
            <a:chExt cx="10982324" cy="241200"/>
          </a:xfrm>
        </xdr:grpSpPr>
        <xdr:sp macro="" textlink="">
          <xdr:nvSpPr>
            <xdr:cNvPr id="10" name="Rounded Rectangle 9">
              <a:hlinkClick xmlns:r="http://schemas.openxmlformats.org/officeDocument/2006/relationships" r:id="rId2"/>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1" name="Rounded Rectangle 10">
              <a:hlinkClick xmlns:r="http://schemas.openxmlformats.org/officeDocument/2006/relationships" r:id="rId3"/>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2" name="Rounded Rectangle 11">
              <a:hlinkClick xmlns:r="http://schemas.openxmlformats.org/officeDocument/2006/relationships" r:id="rId4"/>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13" name="Rounded Rectangle 12">
              <a:hlinkClick xmlns:r="http://schemas.openxmlformats.org/officeDocument/2006/relationships" r:id="rId5"/>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4" name="Rounded Rectangle 13">
              <a:hlinkClick xmlns:r="http://schemas.openxmlformats.org/officeDocument/2006/relationships" r:id="rId6"/>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15" name="Rounded Rectangle 14">
              <a:hlinkClick xmlns:r="http://schemas.openxmlformats.org/officeDocument/2006/relationships" r:id="rId7"/>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16" name="Rounded Rectangle 15">
              <a:hlinkClick xmlns:r="http://schemas.openxmlformats.org/officeDocument/2006/relationships" r:id="rId8"/>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7" name="Rounded Rectangle 16">
              <a:hlinkClick xmlns:r="http://schemas.openxmlformats.org/officeDocument/2006/relationships" r:id="rId9"/>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8" name="Rounded Rectangle 17">
              <a:hlinkClick xmlns:r="http://schemas.openxmlformats.org/officeDocument/2006/relationships" r:id="rId10"/>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9" name="Rounded Rectangle 18">
              <a:hlinkClick xmlns:r="http://schemas.openxmlformats.org/officeDocument/2006/relationships" r:id="rId11"/>
            </xdr:cNvPr>
            <xdr:cNvSpPr/>
          </xdr:nvSpPr>
          <xdr:spPr>
            <a:xfrm>
              <a:off x="10892517" y="0"/>
              <a:ext cx="27622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R1</a:t>
              </a:r>
            </a:p>
          </xdr:txBody>
        </xdr:sp>
        <xdr:sp macro="" textlink="">
          <xdr:nvSpPr>
            <xdr:cNvPr id="20" name="Rounded Rectangle 19">
              <a:hlinkClick xmlns:r="http://schemas.openxmlformats.org/officeDocument/2006/relationships" r:id="rId12"/>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1" name="Rounded Rectangle 20">
              <a:hlinkClick xmlns:r="http://schemas.openxmlformats.org/officeDocument/2006/relationships" r:id="rId13"/>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22" name="Rounded Rectangle 21">
              <a:hlinkClick xmlns:r="http://schemas.openxmlformats.org/officeDocument/2006/relationships" r:id="rId14"/>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23" name="Rounded Rectangle 22">
              <a:hlinkClick xmlns:r="http://schemas.openxmlformats.org/officeDocument/2006/relationships" r:id="rId15"/>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24" name="Rounded Rectangle 23">
            <a:hlinkClick xmlns:r="http://schemas.openxmlformats.org/officeDocument/2006/relationships" r:id="rId16"/>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3</xdr:row>
      <xdr:rowOff>200024</xdr:rowOff>
    </xdr:from>
    <xdr:to>
      <xdr:col>16</xdr:col>
      <xdr:colOff>0</xdr:colOff>
      <xdr:row>39</xdr:row>
      <xdr:rowOff>200024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200025</xdr:colOff>
      <xdr:row>0</xdr:row>
      <xdr:rowOff>0</xdr:rowOff>
    </xdr:from>
    <xdr:to>
      <xdr:col>19</xdr:col>
      <xdr:colOff>514350</xdr:colOff>
      <xdr:row>0</xdr:row>
      <xdr:rowOff>241200</xdr:rowOff>
    </xdr:to>
    <xdr:grpSp>
      <xdr:nvGrpSpPr>
        <xdr:cNvPr id="2" name="Group 1"/>
        <xdr:cNvGrpSpPr/>
      </xdr:nvGrpSpPr>
      <xdr:grpSpPr>
        <a:xfrm>
          <a:off x="1762125" y="0"/>
          <a:ext cx="11744325" cy="241200"/>
          <a:chOff x="1762125" y="0"/>
          <a:chExt cx="11744325" cy="241200"/>
        </a:xfrm>
      </xdr:grpSpPr>
      <xdr:grpSp>
        <xdr:nvGrpSpPr>
          <xdr:cNvPr id="3" name="Group 2"/>
          <xdr:cNvGrpSpPr/>
        </xdr:nvGrpSpPr>
        <xdr:grpSpPr>
          <a:xfrm>
            <a:off x="1762125" y="0"/>
            <a:ext cx="10982324" cy="241200"/>
            <a:chOff x="1762125" y="0"/>
            <a:chExt cx="10982324" cy="241200"/>
          </a:xfrm>
        </xdr:grpSpPr>
        <xdr:sp macro="" textlink="">
          <xdr:nvSpPr>
            <xdr:cNvPr id="9" name="Rounded Rectangle 8">
              <a:hlinkClick xmlns:r="http://schemas.openxmlformats.org/officeDocument/2006/relationships" r:id="rId2"/>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0" name="Rounded Rectangle 9">
              <a:hlinkClick xmlns:r="http://schemas.openxmlformats.org/officeDocument/2006/relationships" r:id="rId3"/>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1" name="Rounded Rectangle 10">
              <a:hlinkClick xmlns:r="http://schemas.openxmlformats.org/officeDocument/2006/relationships" r:id="rId4"/>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12" name="Rounded Rectangle 11">
              <a:hlinkClick xmlns:r="http://schemas.openxmlformats.org/officeDocument/2006/relationships" r:id="rId5"/>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3" name="Rounded Rectangle 12">
              <a:hlinkClick xmlns:r="http://schemas.openxmlformats.org/officeDocument/2006/relationships" r:id="rId6"/>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14" name="Rounded Rectangle 13">
              <a:hlinkClick xmlns:r="http://schemas.openxmlformats.org/officeDocument/2006/relationships" r:id="rId7"/>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15" name="Rounded Rectangle 14">
              <a:hlinkClick xmlns:r="http://schemas.openxmlformats.org/officeDocument/2006/relationships" r:id="rId8"/>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6" name="Rounded Rectangle 15">
              <a:hlinkClick xmlns:r="http://schemas.openxmlformats.org/officeDocument/2006/relationships" r:id="rId9"/>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7" name="Rounded Rectangle 16">
              <a:hlinkClick xmlns:r="http://schemas.openxmlformats.org/officeDocument/2006/relationships" r:id="rId10"/>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8" name="Rounded Rectangle 17">
              <a:hlinkClick xmlns:r="http://schemas.openxmlformats.org/officeDocument/2006/relationships" r:id="rId11"/>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19" name="Rounded Rectangle 18">
              <a:hlinkClick xmlns:r="http://schemas.openxmlformats.org/officeDocument/2006/relationships" r:id="rId12"/>
            </xdr:cNvPr>
            <xdr:cNvSpPr/>
          </xdr:nvSpPr>
          <xdr:spPr>
            <a:xfrm>
              <a:off x="11262631" y="0"/>
              <a:ext cx="27622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R2</a:t>
              </a:r>
            </a:p>
          </xdr:txBody>
        </xdr:sp>
        <xdr:sp macro="" textlink="">
          <xdr:nvSpPr>
            <xdr:cNvPr id="20" name="Rounded Rectangle 19">
              <a:hlinkClick xmlns:r="http://schemas.openxmlformats.org/officeDocument/2006/relationships" r:id="rId13"/>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21" name="Rounded Rectangle 20">
              <a:hlinkClick xmlns:r="http://schemas.openxmlformats.org/officeDocument/2006/relationships" r:id="rId14"/>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22" name="Rounded Rectangle 21">
              <a:hlinkClick xmlns:r="http://schemas.openxmlformats.org/officeDocument/2006/relationships" r:id="rId15"/>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23" name="Rounded Rectangle 22">
            <a:hlinkClick xmlns:r="http://schemas.openxmlformats.org/officeDocument/2006/relationships" r:id="rId16"/>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4</xdr:row>
      <xdr:rowOff>0</xdr:rowOff>
    </xdr:from>
    <xdr:to>
      <xdr:col>16</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200025</xdr:colOff>
      <xdr:row>0</xdr:row>
      <xdr:rowOff>0</xdr:rowOff>
    </xdr:from>
    <xdr:to>
      <xdr:col>19</xdr:col>
      <xdr:colOff>514350</xdr:colOff>
      <xdr:row>0</xdr:row>
      <xdr:rowOff>241200</xdr:rowOff>
    </xdr:to>
    <xdr:grpSp>
      <xdr:nvGrpSpPr>
        <xdr:cNvPr id="3" name="Group 2"/>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762125" y="0"/>
            <a:chExt cx="10982324" cy="241200"/>
          </a:xfrm>
        </xdr:grpSpPr>
        <xdr:sp macro="" textlink="">
          <xdr:nvSpPr>
            <xdr:cNvPr id="9" name="Rounded Rectangle 8">
              <a:hlinkClick xmlns:r="http://schemas.openxmlformats.org/officeDocument/2006/relationships" r:id="rId2"/>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0" name="Rounded Rectangle 9">
              <a:hlinkClick xmlns:r="http://schemas.openxmlformats.org/officeDocument/2006/relationships" r:id="rId3"/>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1" name="Rounded Rectangle 10">
              <a:hlinkClick xmlns:r="http://schemas.openxmlformats.org/officeDocument/2006/relationships" r:id="rId4"/>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12" name="Rounded Rectangle 11">
              <a:hlinkClick xmlns:r="http://schemas.openxmlformats.org/officeDocument/2006/relationships" r:id="rId5"/>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3" name="Rounded Rectangle 12">
              <a:hlinkClick xmlns:r="http://schemas.openxmlformats.org/officeDocument/2006/relationships" r:id="rId6"/>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14" name="Rounded Rectangle 13">
              <a:hlinkClick xmlns:r="http://schemas.openxmlformats.org/officeDocument/2006/relationships" r:id="rId7"/>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15" name="Rounded Rectangle 14">
              <a:hlinkClick xmlns:r="http://schemas.openxmlformats.org/officeDocument/2006/relationships" r:id="rId8"/>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6" name="Rounded Rectangle 15">
              <a:hlinkClick xmlns:r="http://schemas.openxmlformats.org/officeDocument/2006/relationships" r:id="rId9"/>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7" name="Rounded Rectangle 16">
              <a:hlinkClick xmlns:r="http://schemas.openxmlformats.org/officeDocument/2006/relationships" r:id="rId10"/>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8" name="Rounded Rectangle 17">
              <a:hlinkClick xmlns:r="http://schemas.openxmlformats.org/officeDocument/2006/relationships" r:id="rId11"/>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19" name="Rounded Rectangle 18">
              <a:hlinkClick xmlns:r="http://schemas.openxmlformats.org/officeDocument/2006/relationships" r:id="rId12"/>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0" name="Rounded Rectangle 19">
              <a:hlinkClick xmlns:r="http://schemas.openxmlformats.org/officeDocument/2006/relationships" r:id="rId13"/>
            </xdr:cNvPr>
            <xdr:cNvSpPr/>
          </xdr:nvSpPr>
          <xdr:spPr>
            <a:xfrm>
              <a:off x="11632745" y="0"/>
              <a:ext cx="27622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R3</a:t>
              </a:r>
            </a:p>
          </xdr:txBody>
        </xdr:sp>
        <xdr:sp macro="" textlink="">
          <xdr:nvSpPr>
            <xdr:cNvPr id="21" name="Rounded Rectangle 20">
              <a:hlinkClick xmlns:r="http://schemas.openxmlformats.org/officeDocument/2006/relationships" r:id="rId14"/>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22" name="Rounded Rectangle 21">
              <a:hlinkClick xmlns:r="http://schemas.openxmlformats.org/officeDocument/2006/relationships" r:id="rId15"/>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23" name="Rounded Rectangle 22">
            <a:hlinkClick xmlns:r="http://schemas.openxmlformats.org/officeDocument/2006/relationships" r:id="rId16"/>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4</xdr:row>
      <xdr:rowOff>0</xdr:rowOff>
    </xdr:from>
    <xdr:to>
      <xdr:col>16</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200025</xdr:colOff>
      <xdr:row>0</xdr:row>
      <xdr:rowOff>0</xdr:rowOff>
    </xdr:from>
    <xdr:to>
      <xdr:col>19</xdr:col>
      <xdr:colOff>514350</xdr:colOff>
      <xdr:row>0</xdr:row>
      <xdr:rowOff>241200</xdr:rowOff>
    </xdr:to>
    <xdr:grpSp>
      <xdr:nvGrpSpPr>
        <xdr:cNvPr id="3" name="Group 2"/>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762125" y="0"/>
            <a:chExt cx="10982324" cy="241200"/>
          </a:xfrm>
        </xdr:grpSpPr>
        <xdr:sp macro="" textlink="">
          <xdr:nvSpPr>
            <xdr:cNvPr id="9" name="Rounded Rectangle 8">
              <a:hlinkClick xmlns:r="http://schemas.openxmlformats.org/officeDocument/2006/relationships" r:id="rId2"/>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0" name="Rounded Rectangle 9">
              <a:hlinkClick xmlns:r="http://schemas.openxmlformats.org/officeDocument/2006/relationships" r:id="rId3"/>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1" name="Rounded Rectangle 10">
              <a:hlinkClick xmlns:r="http://schemas.openxmlformats.org/officeDocument/2006/relationships" r:id="rId4"/>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12" name="Rounded Rectangle 11">
              <a:hlinkClick xmlns:r="http://schemas.openxmlformats.org/officeDocument/2006/relationships" r:id="rId5"/>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3" name="Rounded Rectangle 12">
              <a:hlinkClick xmlns:r="http://schemas.openxmlformats.org/officeDocument/2006/relationships" r:id="rId6"/>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14" name="Rounded Rectangle 13">
              <a:hlinkClick xmlns:r="http://schemas.openxmlformats.org/officeDocument/2006/relationships" r:id="rId7"/>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15" name="Rounded Rectangle 14">
              <a:hlinkClick xmlns:r="http://schemas.openxmlformats.org/officeDocument/2006/relationships" r:id="rId8"/>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6" name="Rounded Rectangle 15">
              <a:hlinkClick xmlns:r="http://schemas.openxmlformats.org/officeDocument/2006/relationships" r:id="rId9"/>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7" name="Rounded Rectangle 16">
              <a:hlinkClick xmlns:r="http://schemas.openxmlformats.org/officeDocument/2006/relationships" r:id="rId10"/>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8" name="Rounded Rectangle 17">
              <a:hlinkClick xmlns:r="http://schemas.openxmlformats.org/officeDocument/2006/relationships" r:id="rId11"/>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19" name="Rounded Rectangle 18">
              <a:hlinkClick xmlns:r="http://schemas.openxmlformats.org/officeDocument/2006/relationships" r:id="rId12"/>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0" name="Rounded Rectangle 19">
              <a:hlinkClick xmlns:r="http://schemas.openxmlformats.org/officeDocument/2006/relationships" r:id="rId13"/>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21" name="Rounded Rectangle 20">
              <a:hlinkClick xmlns:r="http://schemas.openxmlformats.org/officeDocument/2006/relationships" r:id="rId14"/>
            </xdr:cNvPr>
            <xdr:cNvSpPr/>
          </xdr:nvSpPr>
          <xdr:spPr>
            <a:xfrm>
              <a:off x="12002859" y="0"/>
              <a:ext cx="27622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R4</a:t>
              </a:r>
            </a:p>
          </xdr:txBody>
        </xdr:sp>
        <xdr:sp macro="" textlink="">
          <xdr:nvSpPr>
            <xdr:cNvPr id="22" name="Rounded Rectangle 21">
              <a:hlinkClick xmlns:r="http://schemas.openxmlformats.org/officeDocument/2006/relationships" r:id="rId15"/>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23" name="Rounded Rectangle 22">
            <a:hlinkClick xmlns:r="http://schemas.openxmlformats.org/officeDocument/2006/relationships" r:id="rId16"/>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26</xdr:row>
      <xdr:rowOff>0</xdr:rowOff>
    </xdr:from>
    <xdr:to>
      <xdr:col>8</xdr:col>
      <xdr:colOff>0</xdr:colOff>
      <xdr:row>39</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16</xdr:col>
      <xdr:colOff>0</xdr:colOff>
      <xdr:row>39</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0</xdr:rowOff>
    </xdr:from>
    <xdr:to>
      <xdr:col>8</xdr:col>
      <xdr:colOff>0</xdr:colOff>
      <xdr:row>52</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39</xdr:row>
      <xdr:rowOff>0</xdr:rowOff>
    </xdr:from>
    <xdr:to>
      <xdr:col>16</xdr:col>
      <xdr:colOff>0</xdr:colOff>
      <xdr:row>52</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439876</xdr:colOff>
      <xdr:row>29</xdr:row>
      <xdr:rowOff>38100</xdr:rowOff>
    </xdr:from>
    <xdr:to>
      <xdr:col>3</xdr:col>
      <xdr:colOff>323850</xdr:colOff>
      <xdr:row>33</xdr:row>
      <xdr:rowOff>121383</xdr:rowOff>
    </xdr:to>
    <xdr:sp macro="" textlink="">
      <xdr:nvSpPr>
        <xdr:cNvPr id="10" name="Oval 9"/>
        <xdr:cNvSpPr/>
      </xdr:nvSpPr>
      <xdr:spPr>
        <a:xfrm>
          <a:off x="439876" y="7772400"/>
          <a:ext cx="1712774" cy="845283"/>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rgbClr val="404041"/>
            </a:solidFill>
          </a:endParaRPr>
        </a:p>
      </xdr:txBody>
    </xdr:sp>
    <xdr:clientData/>
  </xdr:twoCellAnchor>
  <xdr:twoCellAnchor>
    <xdr:from>
      <xdr:col>5</xdr:col>
      <xdr:colOff>38100</xdr:colOff>
      <xdr:row>34</xdr:row>
      <xdr:rowOff>45583</xdr:rowOff>
    </xdr:from>
    <xdr:to>
      <xdr:col>7</xdr:col>
      <xdr:colOff>416437</xdr:colOff>
      <xdr:row>36</xdr:row>
      <xdr:rowOff>104775</xdr:rowOff>
    </xdr:to>
    <xdr:sp macro="" textlink="">
      <xdr:nvSpPr>
        <xdr:cNvPr id="12" name="Oval 11"/>
        <xdr:cNvSpPr/>
      </xdr:nvSpPr>
      <xdr:spPr>
        <a:xfrm>
          <a:off x="3086100" y="8732383"/>
          <a:ext cx="1597537" cy="440192"/>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rgbClr val="404041"/>
            </a:solidFill>
          </a:endParaRPr>
        </a:p>
      </xdr:txBody>
    </xdr:sp>
    <xdr:clientData/>
  </xdr:twoCellAnchor>
  <xdr:twoCellAnchor>
    <xdr:from>
      <xdr:col>8</xdr:col>
      <xdr:colOff>260325</xdr:colOff>
      <xdr:row>30</xdr:row>
      <xdr:rowOff>180175</xdr:rowOff>
    </xdr:from>
    <xdr:to>
      <xdr:col>11</xdr:col>
      <xdr:colOff>178727</xdr:colOff>
      <xdr:row>32</xdr:row>
      <xdr:rowOff>185938</xdr:rowOff>
    </xdr:to>
    <xdr:sp macro="" textlink="">
      <xdr:nvSpPr>
        <xdr:cNvPr id="14" name="Oval 13"/>
        <xdr:cNvSpPr/>
      </xdr:nvSpPr>
      <xdr:spPr>
        <a:xfrm rot="20143282">
          <a:off x="5137125" y="8104975"/>
          <a:ext cx="1747202" cy="386763"/>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13</xdr:col>
      <xdr:colOff>135014</xdr:colOff>
      <xdr:row>32</xdr:row>
      <xdr:rowOff>164487</xdr:rowOff>
    </xdr:from>
    <xdr:to>
      <xdr:col>15</xdr:col>
      <xdr:colOff>256994</xdr:colOff>
      <xdr:row>35</xdr:row>
      <xdr:rowOff>78344</xdr:rowOff>
    </xdr:to>
    <xdr:sp macro="" textlink="">
      <xdr:nvSpPr>
        <xdr:cNvPr id="15" name="Oval 14"/>
        <xdr:cNvSpPr/>
      </xdr:nvSpPr>
      <xdr:spPr>
        <a:xfrm rot="1871212">
          <a:off x="8059814" y="8470287"/>
          <a:ext cx="1341180" cy="485357"/>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4</xdr:col>
      <xdr:colOff>381000</xdr:colOff>
      <xdr:row>46</xdr:row>
      <xdr:rowOff>144242</xdr:rowOff>
    </xdr:from>
    <xdr:to>
      <xdr:col>7</xdr:col>
      <xdr:colOff>352200</xdr:colOff>
      <xdr:row>49</xdr:row>
      <xdr:rowOff>182983</xdr:rowOff>
    </xdr:to>
    <xdr:sp macro="" textlink="">
      <xdr:nvSpPr>
        <xdr:cNvPr id="16" name="Text Box 5"/>
        <xdr:cNvSpPr txBox="1">
          <a:spLocks noChangeArrowheads="1"/>
        </xdr:cNvSpPr>
      </xdr:nvSpPr>
      <xdr:spPr bwMode="auto">
        <a:xfrm>
          <a:off x="2819400" y="11117042"/>
          <a:ext cx="1800000" cy="610241"/>
        </a:xfrm>
        <a:prstGeom prst="rect">
          <a:avLst/>
        </a:prstGeom>
        <a:solidFill>
          <a:schemeClr val="accent1">
            <a:lumMod val="40000"/>
            <a:lumOff val="60000"/>
          </a:schemeClr>
        </a:solidFill>
        <a:ln w="9525">
          <a:noFill/>
          <a:miter lim="800000"/>
          <a:headEnd/>
          <a:tailEnd/>
        </a:ln>
      </xdr:spPr>
      <xdr:txBody>
        <a:bodyPr vertOverflow="clip" wrap="square" lIns="27432" tIns="22860" rIns="0" bIns="0" anchor="ctr" upright="1"/>
        <a:lstStyle/>
        <a:p>
          <a:pPr algn="ctr" rtl="0">
            <a:defRPr sz="1000"/>
          </a:pPr>
          <a:r>
            <a:rPr lang="en-US" sz="1200" b="1" i="0" u="none" strike="noStrike" baseline="0">
              <a:solidFill>
                <a:srgbClr val="404041"/>
              </a:solidFill>
              <a:latin typeface="Calibri" pitchFamily="34" charset="0"/>
              <a:cs typeface="Arial"/>
            </a:rPr>
            <a:t>Data line crosses once </a:t>
          </a:r>
        </a:p>
        <a:p>
          <a:pPr algn="ctr" rtl="0">
            <a:defRPr sz="1000"/>
          </a:pPr>
          <a:r>
            <a:rPr lang="en-US" sz="1200" b="1" i="0" u="none" strike="noStrike" baseline="0">
              <a:solidFill>
                <a:srgbClr val="404041"/>
              </a:solidFill>
              <a:latin typeface="Calibri" pitchFamily="34" charset="0"/>
              <a:cs typeface="Arial"/>
            </a:rPr>
            <a:t>Too few runs: total 2 runs. This is a signal of change.</a:t>
          </a:r>
        </a:p>
      </xdr:txBody>
    </xdr:sp>
    <xdr:clientData/>
  </xdr:twoCellAnchor>
  <xdr:twoCellAnchor>
    <xdr:from>
      <xdr:col>4</xdr:col>
      <xdr:colOff>104775</xdr:colOff>
      <xdr:row>46</xdr:row>
      <xdr:rowOff>85725</xdr:rowOff>
    </xdr:from>
    <xdr:to>
      <xdr:col>4</xdr:col>
      <xdr:colOff>338072</xdr:colOff>
      <xdr:row>47</xdr:row>
      <xdr:rowOff>119278</xdr:rowOff>
    </xdr:to>
    <xdr:cxnSp macro="">
      <xdr:nvCxnSpPr>
        <xdr:cNvPr id="17" name="Straight Arrow Connector 16"/>
        <xdr:cNvCxnSpPr/>
      </xdr:nvCxnSpPr>
      <xdr:spPr>
        <a:xfrm flipH="1" flipV="1">
          <a:off x="2543175" y="11058525"/>
          <a:ext cx="233297" cy="224053"/>
        </a:xfrm>
        <a:prstGeom prst="straightConnector1">
          <a:avLst/>
        </a:prstGeom>
        <a:ln w="22225">
          <a:solidFill>
            <a:srgbClr val="C00000"/>
          </a:solidFill>
          <a:headEnd type="none"/>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211034</xdr:colOff>
      <xdr:row>41</xdr:row>
      <xdr:rowOff>73992</xdr:rowOff>
    </xdr:from>
    <xdr:to>
      <xdr:col>10</xdr:col>
      <xdr:colOff>542925</xdr:colOff>
      <xdr:row>42</xdr:row>
      <xdr:rowOff>133350</xdr:rowOff>
    </xdr:to>
    <xdr:sp macro="" textlink="">
      <xdr:nvSpPr>
        <xdr:cNvPr id="18" name="Oval 17"/>
        <xdr:cNvSpPr/>
      </xdr:nvSpPr>
      <xdr:spPr>
        <a:xfrm>
          <a:off x="6307034" y="10094292"/>
          <a:ext cx="331891" cy="249858"/>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542925</xdr:colOff>
      <xdr:row>0</xdr:row>
      <xdr:rowOff>0</xdr:rowOff>
    </xdr:from>
    <xdr:to>
      <xdr:col>19</xdr:col>
      <xdr:colOff>76200</xdr:colOff>
      <xdr:row>0</xdr:row>
      <xdr:rowOff>241200</xdr:rowOff>
    </xdr:to>
    <xdr:grpSp>
      <xdr:nvGrpSpPr>
        <xdr:cNvPr id="3" name="Group 2"/>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762125" y="0"/>
            <a:chExt cx="10982324" cy="241200"/>
          </a:xfrm>
        </xdr:grpSpPr>
        <xdr:sp macro="" textlink="">
          <xdr:nvSpPr>
            <xdr:cNvPr id="25" name="Rounded Rectangle 24">
              <a:hlinkClick xmlns:r="http://schemas.openxmlformats.org/officeDocument/2006/relationships" r:id="rId5"/>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26" name="Rounded Rectangle 25">
              <a:hlinkClick xmlns:r="http://schemas.openxmlformats.org/officeDocument/2006/relationships" r:id="rId6"/>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27" name="Rounded Rectangle 26">
              <a:hlinkClick xmlns:r="http://schemas.openxmlformats.org/officeDocument/2006/relationships" r:id="rId7"/>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28" name="Rounded Rectangle 27">
              <a:hlinkClick xmlns:r="http://schemas.openxmlformats.org/officeDocument/2006/relationships" r:id="rId8"/>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29" name="Rounded Rectangle 28">
              <a:hlinkClick xmlns:r="http://schemas.openxmlformats.org/officeDocument/2006/relationships" r:id="rId9"/>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30" name="Rounded Rectangle 29">
              <a:hlinkClick xmlns:r="http://schemas.openxmlformats.org/officeDocument/2006/relationships" r:id="rId10"/>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19" name="Rounded Rectangle 18">
              <a:hlinkClick xmlns:r="http://schemas.openxmlformats.org/officeDocument/2006/relationships" r:id="rId11"/>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20" name="Rounded Rectangle 19">
              <a:hlinkClick xmlns:r="http://schemas.openxmlformats.org/officeDocument/2006/relationships" r:id="rId12"/>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21" name="Rounded Rectangle 20">
              <a:hlinkClick xmlns:r="http://schemas.openxmlformats.org/officeDocument/2006/relationships" r:id="rId13"/>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22" name="Rounded Rectangle 21">
              <a:hlinkClick xmlns:r="http://schemas.openxmlformats.org/officeDocument/2006/relationships" r:id="rId14"/>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23" name="Rounded Rectangle 22">
              <a:hlinkClick xmlns:r="http://schemas.openxmlformats.org/officeDocument/2006/relationships" r:id="rId15"/>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4" name="Rounded Rectangle 23">
              <a:hlinkClick xmlns:r="http://schemas.openxmlformats.org/officeDocument/2006/relationships" r:id="rId16"/>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31" name="Rounded Rectangle 30">
              <a:hlinkClick xmlns:r="http://schemas.openxmlformats.org/officeDocument/2006/relationships" r:id="rId17"/>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32" name="Rounded Rectangle 31">
              <a:hlinkClick xmlns:r="http://schemas.openxmlformats.org/officeDocument/2006/relationships" r:id="rId18"/>
            </xdr:cNvPr>
            <xdr:cNvSpPr/>
          </xdr:nvSpPr>
          <xdr:spPr>
            <a:xfrm>
              <a:off x="12372974" y="0"/>
              <a:ext cx="37147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RCR</a:t>
              </a:r>
            </a:p>
          </xdr:txBody>
        </xdr:sp>
      </xdr:grpSp>
      <xdr:sp macro="" textlink="">
        <xdr:nvSpPr>
          <xdr:cNvPr id="33" name="Rounded Rectangle 32">
            <a:hlinkClick xmlns:r="http://schemas.openxmlformats.org/officeDocument/2006/relationships" r:id="rId19"/>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542925</xdr:colOff>
      <xdr:row>0</xdr:row>
      <xdr:rowOff>0</xdr:rowOff>
    </xdr:from>
    <xdr:to>
      <xdr:col>22</xdr:col>
      <xdr:colOff>95250</xdr:colOff>
      <xdr:row>0</xdr:row>
      <xdr:rowOff>241200</xdr:rowOff>
    </xdr:to>
    <xdr:grpSp>
      <xdr:nvGrpSpPr>
        <xdr:cNvPr id="32" name="Group 31"/>
        <xdr:cNvGrpSpPr/>
      </xdr:nvGrpSpPr>
      <xdr:grpSpPr>
        <a:xfrm>
          <a:off x="1762125" y="0"/>
          <a:ext cx="11744325" cy="241200"/>
          <a:chOff x="1762125" y="0"/>
          <a:chExt cx="11744325" cy="241200"/>
        </a:xfrm>
      </xdr:grpSpPr>
      <xdr:grpSp>
        <xdr:nvGrpSpPr>
          <xdr:cNvPr id="33" name="Group 32"/>
          <xdr:cNvGrpSpPr/>
        </xdr:nvGrpSpPr>
        <xdr:grpSpPr>
          <a:xfrm>
            <a:off x="1762125" y="0"/>
            <a:ext cx="10516959" cy="241200"/>
            <a:chOff x="1762125" y="0"/>
            <a:chExt cx="10516959" cy="241200"/>
          </a:xfrm>
        </xdr:grpSpPr>
        <xdr:sp macro="" textlink="">
          <xdr:nvSpPr>
            <xdr:cNvPr id="35" name="Rounded Rectangle 34">
              <a:hlinkClick xmlns:r="http://schemas.openxmlformats.org/officeDocument/2006/relationships" r:id="rId1"/>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36" name="Rounded Rectangle 35">
              <a:hlinkClick xmlns:r="http://schemas.openxmlformats.org/officeDocument/2006/relationships" r:id="rId2"/>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37" name="Rounded Rectangle 36">
              <a:hlinkClick xmlns:r="http://schemas.openxmlformats.org/officeDocument/2006/relationships" r:id="rId3"/>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38" name="Rounded Rectangle 37">
              <a:hlinkClick xmlns:r="http://schemas.openxmlformats.org/officeDocument/2006/relationships" r:id="rId4"/>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39" name="Rounded Rectangle 38">
              <a:hlinkClick xmlns:r="http://schemas.openxmlformats.org/officeDocument/2006/relationships" r:id="rId5"/>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40" name="Rounded Rectangle 39">
              <a:hlinkClick xmlns:r="http://schemas.openxmlformats.org/officeDocument/2006/relationships" r:id="rId6"/>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41" name="Rounded Rectangle 40">
              <a:hlinkClick xmlns:r="http://schemas.openxmlformats.org/officeDocument/2006/relationships" r:id="rId7"/>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42" name="Rounded Rectangle 41">
              <a:hlinkClick xmlns:r="http://schemas.openxmlformats.org/officeDocument/2006/relationships" r:id="rId8"/>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43" name="Rounded Rectangle 42">
              <a:hlinkClick xmlns:r="http://schemas.openxmlformats.org/officeDocument/2006/relationships" r:id="rId9"/>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44" name="Rounded Rectangle 43">
              <a:hlinkClick xmlns:r="http://schemas.openxmlformats.org/officeDocument/2006/relationships" r:id="rId10"/>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45" name="Rounded Rectangle 44">
              <a:hlinkClick xmlns:r="http://schemas.openxmlformats.org/officeDocument/2006/relationships" r:id="rId11"/>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46" name="Rounded Rectangle 45">
              <a:hlinkClick xmlns:r="http://schemas.openxmlformats.org/officeDocument/2006/relationships" r:id="rId12"/>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47" name="Rounded Rectangle 46">
              <a:hlinkClick xmlns:r="http://schemas.openxmlformats.org/officeDocument/2006/relationships" r:id="rId13"/>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grpSp>
      <xdr:sp macro="" textlink="">
        <xdr:nvSpPr>
          <xdr:cNvPr id="34" name="Rounded Rectangle 33">
            <a:hlinkClick xmlns:r="http://schemas.openxmlformats.org/officeDocument/2006/relationships" r:id="rId14"/>
          </xdr:cNvPr>
          <xdr:cNvSpPr/>
        </xdr:nvSpPr>
        <xdr:spPr>
          <a:xfrm>
            <a:off x="12830175" y="0"/>
            <a:ext cx="67627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Med List</a:t>
            </a:r>
          </a:p>
        </xdr:txBody>
      </xdr:sp>
    </xdr:grpSp>
    <xdr:clientData/>
  </xdr:twoCellAnchor>
  <xdr:twoCellAnchor>
    <xdr:from>
      <xdr:col>20</xdr:col>
      <xdr:colOff>180975</xdr:colOff>
      <xdr:row>0</xdr:row>
      <xdr:rowOff>0</xdr:rowOff>
    </xdr:from>
    <xdr:to>
      <xdr:col>20</xdr:col>
      <xdr:colOff>552450</xdr:colOff>
      <xdr:row>0</xdr:row>
      <xdr:rowOff>241200</xdr:rowOff>
    </xdr:to>
    <xdr:sp macro="" textlink="">
      <xdr:nvSpPr>
        <xdr:cNvPr id="49" name="Rounded Rectangle 48">
          <a:hlinkClick xmlns:r="http://schemas.openxmlformats.org/officeDocument/2006/relationships" r:id="rId15"/>
        </xdr:cNvPr>
        <xdr:cNvSpPr/>
      </xdr:nvSpPr>
      <xdr:spPr>
        <a:xfrm>
          <a:off x="12372975"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clientData/>
  </xdr:twoCellAnchor>
</xdr:wsDr>
</file>

<file path=xl/tables/table1.xml><?xml version="1.0" encoding="utf-8"?>
<table xmlns="http://schemas.openxmlformats.org/spreadsheetml/2006/main" id="8" name="Tbl_ResidentData" displayName="Tbl_ResidentData" ref="A5:DO200" totalsRowShown="0" headerRowDxfId="231" dataDxfId="230" tableBorderDxfId="229" totalsRowBorderDxfId="228">
  <autoFilter ref="A5:DO200"/>
  <tableColumns count="119">
    <tableColumn id="1" name="Resident Name [last, first]" dataDxfId="227"/>
    <tableColumn id="2" name="Enrollment [mmm-yyyy]" dataDxfId="226"/>
    <tableColumn id="3" name="Discharge [mmm-yyyy]" dataDxfId="225"/>
    <tableColumn id="6" name="Cohort" dataDxfId="224"/>
    <tableColumn id="84" name="Physician" dataDxfId="223"/>
    <tableColumn id="87" name="Diagnosis (RAI)" dataDxfId="222"/>
    <tableColumn id="34" name="Dementia" dataDxfId="221"/>
    <tableColumn id="8" name="Clinical Notes_x000a_[free text]" dataDxfId="220"/>
    <tableColumn id="113" name="Scheduled Med Name(s)_x000a_[free text]" dataDxfId="219"/>
    <tableColumn id="114" name="Scheduled Med Started" dataDxfId="218"/>
    <tableColumn id="115" name="Scheduled Med Discontinued" dataDxfId="217"/>
    <tableColumn id="35" name="Scheduled Med Notes_x000a_[free text]" dataDxfId="216"/>
    <tableColumn id="85" name="PRN_x000a_Med Name(s)_x000a_[free text]" dataDxfId="215"/>
    <tableColumn id="83" name="PRN Med Started" dataDxfId="214"/>
    <tableColumn id="7" name="PRN Med Discontinued" dataDxfId="213"/>
    <tableColumn id="5" name="PRN Med Notes_x000a_[free text]" dataDxfId="212"/>
    <tableColumn id="82" name="Antipsychotic Progress" dataDxfId="211"/>
    <tableColumn id="36" name="Progress Notes_x000a_[free text]" dataDxfId="210"/>
    <tableColumn id="37" name="Resident Status" dataDxfId="209">
      <calculatedColumnFormula>IF(ISBLANK(Tbl_ResidentData[[#This Row],[Discharge '[mmm-yyyy']]]),IF(ISBLANK(Tbl_ResidentData[[#This Row],[Enrollment '[mmm-yyyy']]]),"","In Care Home"),"Discharged")</calculatedColumnFormula>
    </tableColumn>
    <tableColumn id="38" name="Exclusion Flag" dataDxfId="208">
      <calculatedColumnFormula>IF(ISBLANK(Tbl_ResidentData[[#This Row],[Diagnosis (RAI)]]),IF(ISBLANK(Tbl_ResidentData[[#This Row],[Resident Name '[last, first']]]),"",0),IF(Tbl_ResidentData[[#This Row],[Diagnosis (RAI)]]="Other (see clinical notes)",0,1))</calculatedColumnFormula>
    </tableColumn>
    <tableColumn id="73" name="M1" dataDxfId="207">
      <calculatedColumnFormula>IF(U$4&gt;NOW(),"-",IF(ISBLANK(Tbl_ResidentData[[#This Row],[Enrollment '[mmm-yyyy']]]),"-",AND((Tbl_ResidentData[[#This Row],[Enrollment '[mmm-yyyy']]]&lt;=U$4),IF(ISBLANK(Tbl_ResidentData[[#This Row],[Discharge '[mmm-yyyy']]]),TRUE,(Tbl_ResidentData[[#This Row],[Discharge '[mmm-yyyy']]]&gt;=U$4)))))</calculatedColumnFormula>
    </tableColumn>
    <tableColumn id="72" name="M2" dataDxfId="206">
      <calculatedColumnFormula>IF(V$4&gt;NOW(),"-",IF(ISBLANK(Tbl_ResidentData[[#This Row],[Enrollment '[mmm-yyyy']]]),"-",AND((Tbl_ResidentData[[#This Row],[Enrollment '[mmm-yyyy']]]&lt;=V$4),IF(ISBLANK(Tbl_ResidentData[[#This Row],[Discharge '[mmm-yyyy']]]),TRUE,(Tbl_ResidentData[[#This Row],[Discharge '[mmm-yyyy']]]&gt;=V$4)))))</calculatedColumnFormula>
    </tableColumn>
    <tableColumn id="71" name="M3" dataDxfId="205">
      <calculatedColumnFormula>IF(W$4&gt;NOW(),"-",IF(ISBLANK(Tbl_ResidentData[[#This Row],[Enrollment '[mmm-yyyy']]]),"-",AND((Tbl_ResidentData[[#This Row],[Enrollment '[mmm-yyyy']]]&lt;=W$4),IF(ISBLANK(Tbl_ResidentData[[#This Row],[Discharge '[mmm-yyyy']]]),TRUE,(Tbl_ResidentData[[#This Row],[Discharge '[mmm-yyyy']]]&gt;=W$4)))))</calculatedColumnFormula>
    </tableColumn>
    <tableColumn id="70" name="M4" dataDxfId="204">
      <calculatedColumnFormula>IF(X$4&gt;NOW(),"-",IF(ISBLANK(Tbl_ResidentData[[#This Row],[Enrollment '[mmm-yyyy']]]),"-",AND((Tbl_ResidentData[[#This Row],[Enrollment '[mmm-yyyy']]]&lt;=X$4),IF(ISBLANK(Tbl_ResidentData[[#This Row],[Discharge '[mmm-yyyy']]]),TRUE,(Tbl_ResidentData[[#This Row],[Discharge '[mmm-yyyy']]]&gt;=X$4)))))</calculatedColumnFormula>
    </tableColumn>
    <tableColumn id="69" name="M5" dataDxfId="203">
      <calculatedColumnFormula>IF(Y$4&gt;NOW(),"-",IF(ISBLANK(Tbl_ResidentData[[#This Row],[Enrollment '[mmm-yyyy']]]),"-",AND((Tbl_ResidentData[[#This Row],[Enrollment '[mmm-yyyy']]]&lt;=Y$4),IF(ISBLANK(Tbl_ResidentData[[#This Row],[Discharge '[mmm-yyyy']]]),TRUE,(Tbl_ResidentData[[#This Row],[Discharge '[mmm-yyyy']]]&gt;=Y$4)))))</calculatedColumnFormula>
    </tableColumn>
    <tableColumn id="68" name="M6" dataDxfId="202">
      <calculatedColumnFormula>IF(Z$4&gt;NOW(),"-",IF(ISBLANK(Tbl_ResidentData[[#This Row],[Enrollment '[mmm-yyyy']]]),"-",AND((Tbl_ResidentData[[#This Row],[Enrollment '[mmm-yyyy']]]&lt;=Z$4),IF(ISBLANK(Tbl_ResidentData[[#This Row],[Discharge '[mmm-yyyy']]]),TRUE,(Tbl_ResidentData[[#This Row],[Discharge '[mmm-yyyy']]]&gt;=Z$4)))))</calculatedColumnFormula>
    </tableColumn>
    <tableColumn id="67" name="M7" dataDxfId="201">
      <calculatedColumnFormula>IF(AA$4&gt;NOW(),"-",IF(ISBLANK(Tbl_ResidentData[[#This Row],[Enrollment '[mmm-yyyy']]]),"-",AND((Tbl_ResidentData[[#This Row],[Enrollment '[mmm-yyyy']]]&lt;=AA$4),IF(ISBLANK(Tbl_ResidentData[[#This Row],[Discharge '[mmm-yyyy']]]),TRUE,(Tbl_ResidentData[[#This Row],[Discharge '[mmm-yyyy']]]&gt;=AA$4)))))</calculatedColumnFormula>
    </tableColumn>
    <tableColumn id="66" name="M8" dataDxfId="200">
      <calculatedColumnFormula>IF(AB$4&gt;NOW(),"-",IF(ISBLANK(Tbl_ResidentData[[#This Row],[Enrollment '[mmm-yyyy']]]),"-",AND((Tbl_ResidentData[[#This Row],[Enrollment '[mmm-yyyy']]]&lt;=AB$4),IF(ISBLANK(Tbl_ResidentData[[#This Row],[Discharge '[mmm-yyyy']]]),TRUE,(Tbl_ResidentData[[#This Row],[Discharge '[mmm-yyyy']]]&gt;=AB$4)))))</calculatedColumnFormula>
    </tableColumn>
    <tableColumn id="65" name="M9" dataDxfId="199">
      <calculatedColumnFormula>IF(AC$4&gt;NOW(),"-",IF(ISBLANK(Tbl_ResidentData[[#This Row],[Enrollment '[mmm-yyyy']]]),"-",AND((Tbl_ResidentData[[#This Row],[Enrollment '[mmm-yyyy']]]&lt;=AC$4),IF(ISBLANK(Tbl_ResidentData[[#This Row],[Discharge '[mmm-yyyy']]]),TRUE,(Tbl_ResidentData[[#This Row],[Discharge '[mmm-yyyy']]]&gt;=AC$4)))))</calculatedColumnFormula>
    </tableColumn>
    <tableColumn id="64" name="M10" dataDxfId="198">
      <calculatedColumnFormula>IF(AD$4&gt;NOW(),"-",IF(ISBLANK(Tbl_ResidentData[[#This Row],[Enrollment '[mmm-yyyy']]]),"-",AND((Tbl_ResidentData[[#This Row],[Enrollment '[mmm-yyyy']]]&lt;=AD$4),IF(ISBLANK(Tbl_ResidentData[[#This Row],[Discharge '[mmm-yyyy']]]),TRUE,(Tbl_ResidentData[[#This Row],[Discharge '[mmm-yyyy']]]&gt;=AD$4)))))</calculatedColumnFormula>
    </tableColumn>
    <tableColumn id="63" name="M11" dataDxfId="197">
      <calculatedColumnFormula>IF(AE$4&gt;NOW(),"-",IF(ISBLANK(Tbl_ResidentData[[#This Row],[Enrollment '[mmm-yyyy']]]),"-",AND((Tbl_ResidentData[[#This Row],[Enrollment '[mmm-yyyy']]]&lt;=AE$4),IF(ISBLANK(Tbl_ResidentData[[#This Row],[Discharge '[mmm-yyyy']]]),TRUE,(Tbl_ResidentData[[#This Row],[Discharge '[mmm-yyyy']]]&gt;=AE$4)))))</calculatedColumnFormula>
    </tableColumn>
    <tableColumn id="62" name="M12" dataDxfId="196">
      <calculatedColumnFormula>IF(AF$4&gt;NOW(),"-",IF(ISBLANK(Tbl_ResidentData[[#This Row],[Enrollment '[mmm-yyyy']]]),"-",AND((Tbl_ResidentData[[#This Row],[Enrollment '[mmm-yyyy']]]&lt;=AF$4),IF(ISBLANK(Tbl_ResidentData[[#This Row],[Discharge '[mmm-yyyy']]]),TRUE,(Tbl_ResidentData[[#This Row],[Discharge '[mmm-yyyy']]]&gt;=AF$4)))))</calculatedColumnFormula>
    </tableColumn>
    <tableColumn id="61" name="M13" dataDxfId="195">
      <calculatedColumnFormula>IF(AG$4&gt;NOW(),"-",IF(ISBLANK(Tbl_ResidentData[[#This Row],[Enrollment '[mmm-yyyy']]]),"-",AND((Tbl_ResidentData[[#This Row],[Enrollment '[mmm-yyyy']]]&lt;=AG$4),IF(ISBLANK(Tbl_ResidentData[[#This Row],[Discharge '[mmm-yyyy']]]),TRUE,(Tbl_ResidentData[[#This Row],[Discharge '[mmm-yyyy']]]&gt;=AG$4)))))</calculatedColumnFormula>
    </tableColumn>
    <tableColumn id="60" name="M14" dataDxfId="194">
      <calculatedColumnFormula>IF(AH$4&gt;NOW(),"-",IF(ISBLANK(Tbl_ResidentData[[#This Row],[Enrollment '[mmm-yyyy']]]),"-",AND((Tbl_ResidentData[[#This Row],[Enrollment '[mmm-yyyy']]]&lt;=AH$4),IF(ISBLANK(Tbl_ResidentData[[#This Row],[Discharge '[mmm-yyyy']]]),TRUE,(Tbl_ResidentData[[#This Row],[Discharge '[mmm-yyyy']]]&gt;=AH$4)))))</calculatedColumnFormula>
    </tableColumn>
    <tableColumn id="59" name="M15" dataDxfId="193">
      <calculatedColumnFormula>IF(AI$4&gt;NOW(),"-",IF(ISBLANK(Tbl_ResidentData[[#This Row],[Enrollment '[mmm-yyyy']]]),"-",AND((Tbl_ResidentData[[#This Row],[Enrollment '[mmm-yyyy']]]&lt;=AI$4),IF(ISBLANK(Tbl_ResidentData[[#This Row],[Discharge '[mmm-yyyy']]]),TRUE,(Tbl_ResidentData[[#This Row],[Discharge '[mmm-yyyy']]]&gt;=AI$4)))))</calculatedColumnFormula>
    </tableColumn>
    <tableColumn id="58" name="M16" dataDxfId="192">
      <calculatedColumnFormula>IF(AJ$4&gt;NOW(),"-",IF(ISBLANK(Tbl_ResidentData[[#This Row],[Enrollment '[mmm-yyyy']]]),"-",AND((Tbl_ResidentData[[#This Row],[Enrollment '[mmm-yyyy']]]&lt;=AJ$4),IF(ISBLANK(Tbl_ResidentData[[#This Row],[Discharge '[mmm-yyyy']]]),TRUE,(Tbl_ResidentData[[#This Row],[Discharge '[mmm-yyyy']]]&gt;=AJ$4)))))</calculatedColumnFormula>
    </tableColumn>
    <tableColumn id="57" name="M17" dataDxfId="191">
      <calculatedColumnFormula>IF(AK$4&gt;NOW(),"-",IF(ISBLANK(Tbl_ResidentData[[#This Row],[Enrollment '[mmm-yyyy']]]),"-",AND((Tbl_ResidentData[[#This Row],[Enrollment '[mmm-yyyy']]]&lt;=AK$4),IF(ISBLANK(Tbl_ResidentData[[#This Row],[Discharge '[mmm-yyyy']]]),TRUE,(Tbl_ResidentData[[#This Row],[Discharge '[mmm-yyyy']]]&gt;=AK$4)))))</calculatedColumnFormula>
    </tableColumn>
    <tableColumn id="56" name="M18" dataDxfId="190">
      <calculatedColumnFormula>IF(AL$4&gt;NOW(),"-",IF(ISBLANK(Tbl_ResidentData[[#This Row],[Enrollment '[mmm-yyyy']]]),"-",AND((Tbl_ResidentData[[#This Row],[Enrollment '[mmm-yyyy']]]&lt;=AL$4),IF(ISBLANK(Tbl_ResidentData[[#This Row],[Discharge '[mmm-yyyy']]]),TRUE,(Tbl_ResidentData[[#This Row],[Discharge '[mmm-yyyy']]]&gt;=AL$4)))))</calculatedColumnFormula>
    </tableColumn>
    <tableColumn id="55" name="M19" dataDxfId="189">
      <calculatedColumnFormula>IF(AM$4&gt;NOW(),"-",IF(ISBLANK(Tbl_ResidentData[[#This Row],[Enrollment '[mmm-yyyy']]]),"-",AND((Tbl_ResidentData[[#This Row],[Enrollment '[mmm-yyyy']]]&lt;=AM$4),IF(ISBLANK(Tbl_ResidentData[[#This Row],[Discharge '[mmm-yyyy']]]),TRUE,(Tbl_ResidentData[[#This Row],[Discharge '[mmm-yyyy']]]&gt;=AM$4)))))</calculatedColumnFormula>
    </tableColumn>
    <tableColumn id="54" name="M20" dataDxfId="188">
      <calculatedColumnFormula>IF(AN$4&gt;NOW(),"-",IF(ISBLANK(Tbl_ResidentData[[#This Row],[Enrollment '[mmm-yyyy']]]),"-",AND((Tbl_ResidentData[[#This Row],[Enrollment '[mmm-yyyy']]]&lt;=AN$4),IF(ISBLANK(Tbl_ResidentData[[#This Row],[Discharge '[mmm-yyyy']]]),TRUE,(Tbl_ResidentData[[#This Row],[Discharge '[mmm-yyyy']]]&gt;=AN$4)))))</calculatedColumnFormula>
    </tableColumn>
    <tableColumn id="53" name="M21" dataDxfId="187">
      <calculatedColumnFormula>IF(AO$4&gt;NOW(),"-",IF(ISBLANK(Tbl_ResidentData[[#This Row],[Enrollment '[mmm-yyyy']]]),"-",AND((Tbl_ResidentData[[#This Row],[Enrollment '[mmm-yyyy']]]&lt;=AO$4),IF(ISBLANK(Tbl_ResidentData[[#This Row],[Discharge '[mmm-yyyy']]]),TRUE,(Tbl_ResidentData[[#This Row],[Discharge '[mmm-yyyy']]]&gt;=AO$4)))))</calculatedColumnFormula>
    </tableColumn>
    <tableColumn id="52" name="M22" dataDxfId="186">
      <calculatedColumnFormula>IF(AP$4&gt;NOW(),"-",IF(ISBLANK(Tbl_ResidentData[[#This Row],[Enrollment '[mmm-yyyy']]]),"-",AND((Tbl_ResidentData[[#This Row],[Enrollment '[mmm-yyyy']]]&lt;=AP$4),IF(ISBLANK(Tbl_ResidentData[[#This Row],[Discharge '[mmm-yyyy']]]),TRUE,(Tbl_ResidentData[[#This Row],[Discharge '[mmm-yyyy']]]&gt;=AP$4)))))</calculatedColumnFormula>
    </tableColumn>
    <tableColumn id="51" name="M23" dataDxfId="185">
      <calculatedColumnFormula>IF(AQ$4&gt;NOW(),"-",IF(ISBLANK(Tbl_ResidentData[[#This Row],[Enrollment '[mmm-yyyy']]]),"-",AND((Tbl_ResidentData[[#This Row],[Enrollment '[mmm-yyyy']]]&lt;=AQ$4),IF(ISBLANK(Tbl_ResidentData[[#This Row],[Discharge '[mmm-yyyy']]]),TRUE,(Tbl_ResidentData[[#This Row],[Discharge '[mmm-yyyy']]]&gt;=AQ$4)))))</calculatedColumnFormula>
    </tableColumn>
    <tableColumn id="50" name="M24" dataDxfId="184">
      <calculatedColumnFormula>IF(AR$4&gt;NOW(),"-",IF(ISBLANK(Tbl_ResidentData[[#This Row],[Enrollment '[mmm-yyyy']]]),"-",AND((Tbl_ResidentData[[#This Row],[Enrollment '[mmm-yyyy']]]&lt;=AR$4),IF(ISBLANK(Tbl_ResidentData[[#This Row],[Discharge '[mmm-yyyy']]]),TRUE,(Tbl_ResidentData[[#This Row],[Discharge '[mmm-yyyy']]]&gt;=AR$4)))))</calculatedColumnFormula>
    </tableColumn>
    <tableColumn id="49" name="S1" dataDxfId="183">
      <calculatedColumnFormula>AND(Tbl_ResidentData[[#This Row],[Scheduled Med Started]]&lt;&gt;"",Tbl_ResidentData[[#This Row],[Scheduled Med Started]]&lt;=NOW(),Tbl_ResidentData[[#This Row],[Scheduled Med Started]]&lt;=AS$4,OR(Tbl_ResidentData[[#This Row],[Scheduled Med Discontinued]]&gt;AS$4,ISBLANK(Tbl_ResidentData[[#This Row],[Scheduled Med Discontinued]])))</calculatedColumnFormula>
    </tableColumn>
    <tableColumn id="48" name="S2" dataDxfId="182">
      <calculatedColumnFormula>AND(Tbl_ResidentData[[#This Row],[Scheduled Med Started]]&lt;&gt;"",Tbl_ResidentData[[#This Row],[Scheduled Med Started]]&lt;=NOW(),Tbl_ResidentData[[#This Row],[Scheduled Med Started]]&lt;=AT$4,OR(Tbl_ResidentData[[#This Row],[Scheduled Med Discontinued]]&gt;AT$4,ISBLANK(Tbl_ResidentData[[#This Row],[Scheduled Med Discontinued]])))</calculatedColumnFormula>
    </tableColumn>
    <tableColumn id="47" name="S3" dataDxfId="181">
      <calculatedColumnFormula>AND(Tbl_ResidentData[[#This Row],[Scheduled Med Started]]&lt;&gt;"",Tbl_ResidentData[[#This Row],[Scheduled Med Started]]&lt;=NOW(),Tbl_ResidentData[[#This Row],[Scheduled Med Started]]&lt;=AU$4,OR(Tbl_ResidentData[[#This Row],[Scheduled Med Discontinued]]&gt;AU$4,ISBLANK(Tbl_ResidentData[[#This Row],[Scheduled Med Discontinued]])))</calculatedColumnFormula>
    </tableColumn>
    <tableColumn id="46" name="S4" dataDxfId="180">
      <calculatedColumnFormula>AND(Tbl_ResidentData[[#This Row],[Scheduled Med Started]]&lt;&gt;"",Tbl_ResidentData[[#This Row],[Scheduled Med Started]]&lt;=NOW(),Tbl_ResidentData[[#This Row],[Scheduled Med Started]]&lt;=AV$4,OR(Tbl_ResidentData[[#This Row],[Scheduled Med Discontinued]]&gt;AV$4,ISBLANK(Tbl_ResidentData[[#This Row],[Scheduled Med Discontinued]])))</calculatedColumnFormula>
    </tableColumn>
    <tableColumn id="45" name="S5" dataDxfId="179">
      <calculatedColumnFormula>AND(Tbl_ResidentData[[#This Row],[Scheduled Med Started]]&lt;&gt;"",Tbl_ResidentData[[#This Row],[Scheduled Med Started]]&lt;=NOW(),Tbl_ResidentData[[#This Row],[Scheduled Med Started]]&lt;=AW$4,OR(Tbl_ResidentData[[#This Row],[Scheduled Med Discontinued]]&gt;AW$4,ISBLANK(Tbl_ResidentData[[#This Row],[Scheduled Med Discontinued]])))</calculatedColumnFormula>
    </tableColumn>
    <tableColumn id="44" name="S6" dataDxfId="178">
      <calculatedColumnFormula>AND(Tbl_ResidentData[[#This Row],[Scheduled Med Started]]&lt;&gt;"",Tbl_ResidentData[[#This Row],[Scheduled Med Started]]&lt;=NOW(),Tbl_ResidentData[[#This Row],[Scheduled Med Started]]&lt;=AX$4,OR(Tbl_ResidentData[[#This Row],[Scheduled Med Discontinued]]&gt;AX$4,ISBLANK(Tbl_ResidentData[[#This Row],[Scheduled Med Discontinued]])))</calculatedColumnFormula>
    </tableColumn>
    <tableColumn id="43" name="S7" dataDxfId="177">
      <calculatedColumnFormula>AND(Tbl_ResidentData[[#This Row],[Scheduled Med Started]]&lt;&gt;"",Tbl_ResidentData[[#This Row],[Scheduled Med Started]]&lt;=NOW(),Tbl_ResidentData[[#This Row],[Scheduled Med Started]]&lt;=AY$4,OR(Tbl_ResidentData[[#This Row],[Scheduled Med Discontinued]]&gt;AY$4,ISBLANK(Tbl_ResidentData[[#This Row],[Scheduled Med Discontinued]])))</calculatedColumnFormula>
    </tableColumn>
    <tableColumn id="42" name="S8" dataDxfId="176">
      <calculatedColumnFormula>AND(Tbl_ResidentData[[#This Row],[Scheduled Med Started]]&lt;&gt;"",Tbl_ResidentData[[#This Row],[Scheduled Med Started]]&lt;=NOW(),Tbl_ResidentData[[#This Row],[Scheduled Med Started]]&lt;=AZ$4,OR(Tbl_ResidentData[[#This Row],[Scheduled Med Discontinued]]&gt;AZ$4,ISBLANK(Tbl_ResidentData[[#This Row],[Scheduled Med Discontinued]])))</calculatedColumnFormula>
    </tableColumn>
    <tableColumn id="41" name="S9" dataDxfId="175">
      <calculatedColumnFormula>AND(Tbl_ResidentData[[#This Row],[Scheduled Med Started]]&lt;&gt;"",Tbl_ResidentData[[#This Row],[Scheduled Med Started]]&lt;=NOW(),Tbl_ResidentData[[#This Row],[Scheduled Med Started]]&lt;=BA$4,OR(Tbl_ResidentData[[#This Row],[Scheduled Med Discontinued]]&gt;BA$4,ISBLANK(Tbl_ResidentData[[#This Row],[Scheduled Med Discontinued]])))</calculatedColumnFormula>
    </tableColumn>
    <tableColumn id="120" name="S10" dataDxfId="174">
      <calculatedColumnFormula>AND(Tbl_ResidentData[[#This Row],[Scheduled Med Started]]&lt;&gt;"",Tbl_ResidentData[[#This Row],[Scheduled Med Started]]&lt;=NOW(),Tbl_ResidentData[[#This Row],[Scheduled Med Started]]&lt;=BB$4,OR(Tbl_ResidentData[[#This Row],[Scheduled Med Discontinued]]&gt;BB$4,ISBLANK(Tbl_ResidentData[[#This Row],[Scheduled Med Discontinued]])))</calculatedColumnFormula>
    </tableColumn>
    <tableColumn id="119" name="S11" dataDxfId="173">
      <calculatedColumnFormula>AND(Tbl_ResidentData[[#This Row],[Scheduled Med Started]]&lt;&gt;"",Tbl_ResidentData[[#This Row],[Scheduled Med Started]]&lt;=NOW(),Tbl_ResidentData[[#This Row],[Scheduled Med Started]]&lt;=BC$4,OR(Tbl_ResidentData[[#This Row],[Scheduled Med Discontinued]]&gt;BC$4,ISBLANK(Tbl_ResidentData[[#This Row],[Scheduled Med Discontinued]])))</calculatedColumnFormula>
    </tableColumn>
    <tableColumn id="118" name="S12" dataDxfId="172">
      <calculatedColumnFormula>AND(Tbl_ResidentData[[#This Row],[Scheduled Med Started]]&lt;&gt;"",Tbl_ResidentData[[#This Row],[Scheduled Med Started]]&lt;=NOW(),Tbl_ResidentData[[#This Row],[Scheduled Med Started]]&lt;=BD$4,OR(Tbl_ResidentData[[#This Row],[Scheduled Med Discontinued]]&gt;BD$4,ISBLANK(Tbl_ResidentData[[#This Row],[Scheduled Med Discontinued]])))</calculatedColumnFormula>
    </tableColumn>
    <tableColumn id="88" name="S13" dataDxfId="171">
      <calculatedColumnFormula>AND(Tbl_ResidentData[[#This Row],[Scheduled Med Started]]&lt;&gt;"",Tbl_ResidentData[[#This Row],[Scheduled Med Started]]&lt;=NOW(),Tbl_ResidentData[[#This Row],[Scheduled Med Started]]&lt;=BE$4,OR(Tbl_ResidentData[[#This Row],[Scheduled Med Discontinued]]&gt;BE$4,ISBLANK(Tbl_ResidentData[[#This Row],[Scheduled Med Discontinued]])))</calculatedColumnFormula>
    </tableColumn>
    <tableColumn id="86" name="S14" dataDxfId="170">
      <calculatedColumnFormula>AND(Tbl_ResidentData[[#This Row],[Scheduled Med Started]]&lt;&gt;"",Tbl_ResidentData[[#This Row],[Scheduled Med Started]]&lt;=NOW(),Tbl_ResidentData[[#This Row],[Scheduled Med Started]]&lt;=BF$4,OR(Tbl_ResidentData[[#This Row],[Scheduled Med Discontinued]]&gt;BF$4,ISBLANK(Tbl_ResidentData[[#This Row],[Scheduled Med Discontinued]])))</calculatedColumnFormula>
    </tableColumn>
    <tableColumn id="81" name="S15" dataDxfId="169">
      <calculatedColumnFormula>AND(Tbl_ResidentData[[#This Row],[Scheduled Med Started]]&lt;&gt;"",Tbl_ResidentData[[#This Row],[Scheduled Med Started]]&lt;=NOW(),Tbl_ResidentData[[#This Row],[Scheduled Med Started]]&lt;=BG$4,OR(Tbl_ResidentData[[#This Row],[Scheduled Med Discontinued]]&gt;BG$4,ISBLANK(Tbl_ResidentData[[#This Row],[Scheduled Med Discontinued]])))</calculatedColumnFormula>
    </tableColumn>
    <tableColumn id="80" name="S16" dataDxfId="168">
      <calculatedColumnFormula>AND(Tbl_ResidentData[[#This Row],[Scheduled Med Started]]&lt;&gt;"",Tbl_ResidentData[[#This Row],[Scheduled Med Started]]&lt;=NOW(),Tbl_ResidentData[[#This Row],[Scheduled Med Started]]&lt;=BH$4,OR(Tbl_ResidentData[[#This Row],[Scheduled Med Discontinued]]&gt;BH$4,ISBLANK(Tbl_ResidentData[[#This Row],[Scheduled Med Discontinued]])))</calculatedColumnFormula>
    </tableColumn>
    <tableColumn id="79" name="S17" dataDxfId="167">
      <calculatedColumnFormula>AND(Tbl_ResidentData[[#This Row],[Scheduled Med Started]]&lt;&gt;"",Tbl_ResidentData[[#This Row],[Scheduled Med Started]]&lt;=NOW(),Tbl_ResidentData[[#This Row],[Scheduled Med Started]]&lt;=BI$4,OR(Tbl_ResidentData[[#This Row],[Scheduled Med Discontinued]]&gt;BI$4,ISBLANK(Tbl_ResidentData[[#This Row],[Scheduled Med Discontinued]])))</calculatedColumnFormula>
    </tableColumn>
    <tableColumn id="78" name="S18" dataDxfId="166">
      <calculatedColumnFormula>AND(Tbl_ResidentData[[#This Row],[Scheduled Med Started]]&lt;&gt;"",Tbl_ResidentData[[#This Row],[Scheduled Med Started]]&lt;=NOW(),Tbl_ResidentData[[#This Row],[Scheduled Med Started]]&lt;=BJ$4,OR(Tbl_ResidentData[[#This Row],[Scheduled Med Discontinued]]&gt;BJ$4,ISBLANK(Tbl_ResidentData[[#This Row],[Scheduled Med Discontinued]])))</calculatedColumnFormula>
    </tableColumn>
    <tableColumn id="77" name="S19" dataDxfId="165">
      <calculatedColumnFormula>AND(Tbl_ResidentData[[#This Row],[Scheduled Med Started]]&lt;&gt;"",Tbl_ResidentData[[#This Row],[Scheduled Med Started]]&lt;=NOW(),Tbl_ResidentData[[#This Row],[Scheduled Med Started]]&lt;=BK$4,OR(Tbl_ResidentData[[#This Row],[Scheduled Med Discontinued]]&gt;BK$4,ISBLANK(Tbl_ResidentData[[#This Row],[Scheduled Med Discontinued]])))</calculatedColumnFormula>
    </tableColumn>
    <tableColumn id="76" name="S20" dataDxfId="164">
      <calculatedColumnFormula>AND(Tbl_ResidentData[[#This Row],[Scheduled Med Started]]&lt;&gt;"",Tbl_ResidentData[[#This Row],[Scheduled Med Started]]&lt;=NOW(),Tbl_ResidentData[[#This Row],[Scheduled Med Started]]&lt;=BL$4,OR(Tbl_ResidentData[[#This Row],[Scheduled Med Discontinued]]&gt;BL$4,ISBLANK(Tbl_ResidentData[[#This Row],[Scheduled Med Discontinued]])))</calculatedColumnFormula>
    </tableColumn>
    <tableColumn id="75" name="S21" dataDxfId="163">
      <calculatedColumnFormula>AND(Tbl_ResidentData[[#This Row],[Scheduled Med Started]]&lt;&gt;"",Tbl_ResidentData[[#This Row],[Scheduled Med Started]]&lt;=NOW(),Tbl_ResidentData[[#This Row],[Scheduled Med Started]]&lt;=BM$4,OR(Tbl_ResidentData[[#This Row],[Scheduled Med Discontinued]]&gt;BM$4,ISBLANK(Tbl_ResidentData[[#This Row],[Scheduled Med Discontinued]])))</calculatedColumnFormula>
    </tableColumn>
    <tableColumn id="74" name="S22" dataDxfId="162">
      <calculatedColumnFormula>AND(Tbl_ResidentData[[#This Row],[Scheduled Med Started]]&lt;&gt;"",Tbl_ResidentData[[#This Row],[Scheduled Med Started]]&lt;=NOW(),Tbl_ResidentData[[#This Row],[Scheduled Med Started]]&lt;=BN$4,OR(Tbl_ResidentData[[#This Row],[Scheduled Med Discontinued]]&gt;BN$4,ISBLANK(Tbl_ResidentData[[#This Row],[Scheduled Med Discontinued]])))</calculatedColumnFormula>
    </tableColumn>
    <tableColumn id="40" name="S23" dataDxfId="161">
      <calculatedColumnFormula>AND(Tbl_ResidentData[[#This Row],[Scheduled Med Started]]&lt;&gt;"",Tbl_ResidentData[[#This Row],[Scheduled Med Started]]&lt;=NOW(),Tbl_ResidentData[[#This Row],[Scheduled Med Started]]&lt;=BO$4,OR(Tbl_ResidentData[[#This Row],[Scheduled Med Discontinued]]&gt;BO$4,ISBLANK(Tbl_ResidentData[[#This Row],[Scheduled Med Discontinued]])))</calculatedColumnFormula>
    </tableColumn>
    <tableColumn id="39" name="S24" dataDxfId="160">
      <calculatedColumnFormula>AND(Tbl_ResidentData[[#This Row],[Scheduled Med Started]]&lt;&gt;"",Tbl_ResidentData[[#This Row],[Scheduled Med Started]]&lt;=NOW(),Tbl_ResidentData[[#This Row],[Scheduled Med Started]]&lt;=BP$4,OR(Tbl_ResidentData[[#This Row],[Scheduled Med Discontinued]]&gt;BP$4,ISBLANK(Tbl_ResidentData[[#This Row],[Scheduled Med Discontinued]])))</calculatedColumnFormula>
    </tableColumn>
    <tableColumn id="164" name="P1" dataDxfId="159">
      <calculatedColumnFormula>AND(Tbl_ResidentData[[#This Row],[PRN Med Started]]&lt;&gt;"",Tbl_ResidentData[[#This Row],[PRN Med Started]]&lt;=NOW(),Tbl_ResidentData[[#This Row],[PRN Med Started]]&lt;=AS$4,OR(Tbl_ResidentData[[#This Row],[PRN Med Discontinued]]&gt;AS$4,ISBLANK(Tbl_ResidentData[[#This Row],[PRN Med Discontinued]])))</calculatedColumnFormula>
    </tableColumn>
    <tableColumn id="163" name="P2" dataDxfId="158">
      <calculatedColumnFormula>AND(Tbl_ResidentData[[#This Row],[PRN Med Started]]&lt;&gt;"",Tbl_ResidentData[[#This Row],[PRN Med Started]]&lt;=NOW(),Tbl_ResidentData[[#This Row],[PRN Med Started]]&lt;=AT$4,OR(Tbl_ResidentData[[#This Row],[PRN Med Discontinued]]&gt;AT$4,ISBLANK(Tbl_ResidentData[[#This Row],[PRN Med Discontinued]])))</calculatedColumnFormula>
    </tableColumn>
    <tableColumn id="162" name="P3" dataDxfId="157">
      <calculatedColumnFormula>AND(Tbl_ResidentData[[#This Row],[PRN Med Started]]&lt;&gt;"",Tbl_ResidentData[[#This Row],[PRN Med Started]]&lt;=NOW(),Tbl_ResidentData[[#This Row],[PRN Med Started]]&lt;=AU$4,OR(Tbl_ResidentData[[#This Row],[PRN Med Discontinued]]&gt;AU$4,ISBLANK(Tbl_ResidentData[[#This Row],[PRN Med Discontinued]])))</calculatedColumnFormula>
    </tableColumn>
    <tableColumn id="161" name="P4" dataDxfId="156">
      <calculatedColumnFormula>AND(Tbl_ResidentData[[#This Row],[PRN Med Started]]&lt;&gt;"",Tbl_ResidentData[[#This Row],[PRN Med Started]]&lt;=NOW(),Tbl_ResidentData[[#This Row],[PRN Med Started]]&lt;=AV$4,OR(Tbl_ResidentData[[#This Row],[PRN Med Discontinued]]&gt;AV$4,ISBLANK(Tbl_ResidentData[[#This Row],[PRN Med Discontinued]])))</calculatedColumnFormula>
    </tableColumn>
    <tableColumn id="160" name="P5" dataDxfId="155">
      <calculatedColumnFormula>AND(Tbl_ResidentData[[#This Row],[PRN Med Started]]&lt;&gt;"",Tbl_ResidentData[[#This Row],[PRN Med Started]]&lt;=NOW(),Tbl_ResidentData[[#This Row],[PRN Med Started]]&lt;=AW$4,OR(Tbl_ResidentData[[#This Row],[PRN Med Discontinued]]&gt;AW$4,ISBLANK(Tbl_ResidentData[[#This Row],[PRN Med Discontinued]])))</calculatedColumnFormula>
    </tableColumn>
    <tableColumn id="159" name="P6" dataDxfId="154">
      <calculatedColumnFormula>AND(Tbl_ResidentData[[#This Row],[PRN Med Started]]&lt;&gt;"",Tbl_ResidentData[[#This Row],[PRN Med Started]]&lt;=NOW(),Tbl_ResidentData[[#This Row],[PRN Med Started]]&lt;=AX$4,OR(Tbl_ResidentData[[#This Row],[PRN Med Discontinued]]&gt;AX$4,ISBLANK(Tbl_ResidentData[[#This Row],[PRN Med Discontinued]])))</calculatedColumnFormula>
    </tableColumn>
    <tableColumn id="158" name="P7" dataDxfId="153">
      <calculatedColumnFormula>AND(Tbl_ResidentData[[#This Row],[PRN Med Started]]&lt;&gt;"",Tbl_ResidentData[[#This Row],[PRN Med Started]]&lt;=NOW(),Tbl_ResidentData[[#This Row],[PRN Med Started]]&lt;=AY$4,OR(Tbl_ResidentData[[#This Row],[PRN Med Discontinued]]&gt;AY$4,ISBLANK(Tbl_ResidentData[[#This Row],[PRN Med Discontinued]])))</calculatedColumnFormula>
    </tableColumn>
    <tableColumn id="157" name="P8" dataDxfId="152">
      <calculatedColumnFormula>AND(Tbl_ResidentData[[#This Row],[PRN Med Started]]&lt;&gt;"",Tbl_ResidentData[[#This Row],[PRN Med Started]]&lt;=NOW(),Tbl_ResidentData[[#This Row],[PRN Med Started]]&lt;=AZ$4,OR(Tbl_ResidentData[[#This Row],[PRN Med Discontinued]]&gt;AZ$4,ISBLANK(Tbl_ResidentData[[#This Row],[PRN Med Discontinued]])))</calculatedColumnFormula>
    </tableColumn>
    <tableColumn id="166" name="P9" dataDxfId="151">
      <calculatedColumnFormula>AND(Tbl_ResidentData[[#This Row],[PRN Med Started]]&lt;&gt;"",Tbl_ResidentData[[#This Row],[PRN Med Started]]&lt;=NOW(),Tbl_ResidentData[[#This Row],[PRN Med Started]]&lt;=BA$4,OR(Tbl_ResidentData[[#This Row],[PRN Med Discontinued]]&gt;BA$4,ISBLANK(Tbl_ResidentData[[#This Row],[PRN Med Discontinued]])))</calculatedColumnFormula>
    </tableColumn>
    <tableColumn id="165" name="P10" dataDxfId="150">
      <calculatedColumnFormula>AND(Tbl_ResidentData[[#This Row],[PRN Med Started]]&lt;&gt;"",Tbl_ResidentData[[#This Row],[PRN Med Started]]&lt;=NOW(),Tbl_ResidentData[[#This Row],[PRN Med Started]]&lt;=BB$4,OR(Tbl_ResidentData[[#This Row],[PRN Med Discontinued]]&gt;BB$4,ISBLANK(Tbl_ResidentData[[#This Row],[PRN Med Discontinued]])))</calculatedColumnFormula>
    </tableColumn>
    <tableColumn id="156" name="P11" dataDxfId="149">
      <calculatedColumnFormula>AND(Tbl_ResidentData[[#This Row],[PRN Med Started]]&lt;&gt;"",Tbl_ResidentData[[#This Row],[PRN Med Started]]&lt;=NOW(),Tbl_ResidentData[[#This Row],[PRN Med Started]]&lt;=BC$4,OR(Tbl_ResidentData[[#This Row],[PRN Med Discontinued]]&gt;BC$4,ISBLANK(Tbl_ResidentData[[#This Row],[PRN Med Discontinued]])))</calculatedColumnFormula>
    </tableColumn>
    <tableColumn id="155" name="P12" dataDxfId="148">
      <calculatedColumnFormula>AND(Tbl_ResidentData[[#This Row],[PRN Med Started]]&lt;&gt;"",Tbl_ResidentData[[#This Row],[PRN Med Started]]&lt;=NOW(),Tbl_ResidentData[[#This Row],[PRN Med Started]]&lt;=BD$4,OR(Tbl_ResidentData[[#This Row],[PRN Med Discontinued]]&gt;BD$4,ISBLANK(Tbl_ResidentData[[#This Row],[PRN Med Discontinued]])))</calculatedColumnFormula>
    </tableColumn>
    <tableColumn id="154" name="P13" dataDxfId="147">
      <calculatedColumnFormula>AND(Tbl_ResidentData[[#This Row],[PRN Med Started]]&lt;&gt;"",Tbl_ResidentData[[#This Row],[PRN Med Started]]&lt;=NOW(),Tbl_ResidentData[[#This Row],[PRN Med Started]]&lt;=BE$4,OR(Tbl_ResidentData[[#This Row],[PRN Med Discontinued]]&gt;BE$4,ISBLANK(Tbl_ResidentData[[#This Row],[PRN Med Discontinued]])))</calculatedColumnFormula>
    </tableColumn>
    <tableColumn id="153" name="P14" dataDxfId="146">
      <calculatedColumnFormula>AND(Tbl_ResidentData[[#This Row],[PRN Med Started]]&lt;&gt;"",Tbl_ResidentData[[#This Row],[PRN Med Started]]&lt;=NOW(),Tbl_ResidentData[[#This Row],[PRN Med Started]]&lt;=BF$4,OR(Tbl_ResidentData[[#This Row],[PRN Med Discontinued]]&gt;BF$4,ISBLANK(Tbl_ResidentData[[#This Row],[PRN Med Discontinued]])))</calculatedColumnFormula>
    </tableColumn>
    <tableColumn id="152" name="P15" dataDxfId="145">
      <calculatedColumnFormula>AND(Tbl_ResidentData[[#This Row],[PRN Med Started]]&lt;&gt;"",Tbl_ResidentData[[#This Row],[PRN Med Started]]&lt;=NOW(),Tbl_ResidentData[[#This Row],[PRN Med Started]]&lt;=BG$4,OR(Tbl_ResidentData[[#This Row],[PRN Med Discontinued]]&gt;BG$4,ISBLANK(Tbl_ResidentData[[#This Row],[PRN Med Discontinued]])))</calculatedColumnFormula>
    </tableColumn>
    <tableColumn id="151" name="P16" dataDxfId="144">
      <calculatedColumnFormula>AND(Tbl_ResidentData[[#This Row],[PRN Med Started]]&lt;&gt;"",Tbl_ResidentData[[#This Row],[PRN Med Started]]&lt;=NOW(),Tbl_ResidentData[[#This Row],[PRN Med Started]]&lt;=BH$4,OR(Tbl_ResidentData[[#This Row],[PRN Med Discontinued]]&gt;BH$4,ISBLANK(Tbl_ResidentData[[#This Row],[PRN Med Discontinued]])))</calculatedColumnFormula>
    </tableColumn>
    <tableColumn id="150" name="P17" dataDxfId="143">
      <calculatedColumnFormula>AND(Tbl_ResidentData[[#This Row],[PRN Med Started]]&lt;&gt;"",Tbl_ResidentData[[#This Row],[PRN Med Started]]&lt;=NOW(),Tbl_ResidentData[[#This Row],[PRN Med Started]]&lt;=BI$4,OR(Tbl_ResidentData[[#This Row],[PRN Med Discontinued]]&gt;BI$4,ISBLANK(Tbl_ResidentData[[#This Row],[PRN Med Discontinued]])))</calculatedColumnFormula>
    </tableColumn>
    <tableColumn id="169" name="P18" dataDxfId="142">
      <calculatedColumnFormula>AND(Tbl_ResidentData[[#This Row],[PRN Med Started]]&lt;&gt;"",Tbl_ResidentData[[#This Row],[PRN Med Started]]&lt;=NOW(),Tbl_ResidentData[[#This Row],[PRN Med Started]]&lt;=BJ$4,OR(Tbl_ResidentData[[#This Row],[PRN Med Discontinued]]&gt;BJ$4,ISBLANK(Tbl_ResidentData[[#This Row],[PRN Med Discontinued]])))</calculatedColumnFormula>
    </tableColumn>
    <tableColumn id="168" name="P19" dataDxfId="141">
      <calculatedColumnFormula>AND(Tbl_ResidentData[[#This Row],[PRN Med Started]]&lt;&gt;"",Tbl_ResidentData[[#This Row],[PRN Med Started]]&lt;=NOW(),Tbl_ResidentData[[#This Row],[PRN Med Started]]&lt;=BK$4,OR(Tbl_ResidentData[[#This Row],[PRN Med Discontinued]]&gt;BK$4,ISBLANK(Tbl_ResidentData[[#This Row],[PRN Med Discontinued]])))</calculatedColumnFormula>
    </tableColumn>
    <tableColumn id="167" name="P20" dataDxfId="140">
      <calculatedColumnFormula>AND(Tbl_ResidentData[[#This Row],[PRN Med Started]]&lt;&gt;"",Tbl_ResidentData[[#This Row],[PRN Med Started]]&lt;=NOW(),Tbl_ResidentData[[#This Row],[PRN Med Started]]&lt;=BL$4,OR(Tbl_ResidentData[[#This Row],[PRN Med Discontinued]]&gt;BL$4,ISBLANK(Tbl_ResidentData[[#This Row],[PRN Med Discontinued]])))</calculatedColumnFormula>
    </tableColumn>
    <tableColumn id="149" name="P21" dataDxfId="139">
      <calculatedColumnFormula>AND(Tbl_ResidentData[[#This Row],[PRN Med Started]]&lt;&gt;"",Tbl_ResidentData[[#This Row],[PRN Med Started]]&lt;=NOW(),Tbl_ResidentData[[#This Row],[PRN Med Started]]&lt;=BM$4,OR(Tbl_ResidentData[[#This Row],[PRN Med Discontinued]]&gt;BM$4,ISBLANK(Tbl_ResidentData[[#This Row],[PRN Med Discontinued]])))</calculatedColumnFormula>
    </tableColumn>
    <tableColumn id="148" name="P22" dataDxfId="138">
      <calculatedColumnFormula>AND(Tbl_ResidentData[[#This Row],[PRN Med Started]]&lt;&gt;"",Tbl_ResidentData[[#This Row],[PRN Med Started]]&lt;=NOW(),Tbl_ResidentData[[#This Row],[PRN Med Started]]&lt;=BN$4,OR(Tbl_ResidentData[[#This Row],[PRN Med Discontinued]]&gt;BN$4,ISBLANK(Tbl_ResidentData[[#This Row],[PRN Med Discontinued]])))</calculatedColumnFormula>
    </tableColumn>
    <tableColumn id="146" name="P23" dataDxfId="137">
      <calculatedColumnFormula>AND(Tbl_ResidentData[[#This Row],[PRN Med Started]]&lt;&gt;"",Tbl_ResidentData[[#This Row],[PRN Med Started]]&lt;=NOW(),Tbl_ResidentData[[#This Row],[PRN Med Started]]&lt;=BO$4,OR(Tbl_ResidentData[[#This Row],[PRN Med Discontinued]]&gt;BO$4,ISBLANK(Tbl_ResidentData[[#This Row],[PRN Med Discontinued]])))</calculatedColumnFormula>
    </tableColumn>
    <tableColumn id="145" name="P24" dataDxfId="136">
      <calculatedColumnFormula>AND(Tbl_ResidentData[[#This Row],[PRN Med Started]]&lt;&gt;"",Tbl_ResidentData[[#This Row],[PRN Med Started]]&lt;=NOW(),Tbl_ResidentData[[#This Row],[PRN Med Started]]&lt;=BP$4,OR(Tbl_ResidentData[[#This Row],[PRN Med Discontinued]]&gt;BP$4,ISBLANK(Tbl_ResidentData[[#This Row],[PRN Med Discontinued]])))</calculatedColumnFormula>
    </tableColumn>
    <tableColumn id="217" name="Over1" dataDxfId="135">
      <calculatedColumnFormula>IF(OR(#REF!=TRUE,#REF!=TRUE),1,0)</calculatedColumnFormula>
    </tableColumn>
    <tableColumn id="216" name="Over2" dataDxfId="134">
      <calculatedColumnFormula>IF(OR(#REF!=TRUE,#REF!=TRUE),1,0)</calculatedColumnFormula>
    </tableColumn>
    <tableColumn id="215" name="Over3" dataDxfId="133">
      <calculatedColumnFormula>IF(OR(#REF!=TRUE,#REF!=TRUE),1,0)</calculatedColumnFormula>
    </tableColumn>
    <tableColumn id="214" name="Over4" dataDxfId="132">
      <calculatedColumnFormula>IF(OR(#REF!=TRUE,#REF!=TRUE),1,0)</calculatedColumnFormula>
    </tableColumn>
    <tableColumn id="213" name="Over5" dataDxfId="131">
      <calculatedColumnFormula>IF(OR(#REF!=TRUE,#REF!=TRUE),1,0)</calculatedColumnFormula>
    </tableColumn>
    <tableColumn id="212" name="Over6" dataDxfId="130">
      <calculatedColumnFormula>IF(OR(#REF!=TRUE,#REF!=TRUE),1,0)</calculatedColumnFormula>
    </tableColumn>
    <tableColumn id="211" name="Over7" dataDxfId="129">
      <calculatedColumnFormula>IF(OR(#REF!=TRUE,#REF!=TRUE),1,0)</calculatedColumnFormula>
    </tableColumn>
    <tableColumn id="210" name="Over8" dataDxfId="128">
      <calculatedColumnFormula>IF(OR(#REF!=TRUE,#REF!=TRUE),1,0)</calculatedColumnFormula>
    </tableColumn>
    <tableColumn id="209" name="Over9" dataDxfId="127">
      <calculatedColumnFormula>IF(OR(#REF!=TRUE,#REF!=TRUE),1,0)</calculatedColumnFormula>
    </tableColumn>
    <tableColumn id="208" name="Over10" dataDxfId="126">
      <calculatedColumnFormula>IF(OR(#REF!=TRUE,#REF!=TRUE),1,0)</calculatedColumnFormula>
    </tableColumn>
    <tableColumn id="207" name="Over11" dataDxfId="125">
      <calculatedColumnFormula>IF(OR(#REF!=TRUE,#REF!=TRUE),1,0)</calculatedColumnFormula>
    </tableColumn>
    <tableColumn id="206" name="Over12" dataDxfId="124">
      <calculatedColumnFormula>IF(OR(#REF!=TRUE,#REF!=TRUE),1,0)</calculatedColumnFormula>
    </tableColumn>
    <tableColumn id="205" name="Over13" dataDxfId="123">
      <calculatedColumnFormula>IF(OR(#REF!=TRUE,#REF!=TRUE),1,0)</calculatedColumnFormula>
    </tableColumn>
    <tableColumn id="204" name="Over14" dataDxfId="122">
      <calculatedColumnFormula>IF(OR(#REF!=TRUE,#REF!=TRUE),1,0)</calculatedColumnFormula>
    </tableColumn>
    <tableColumn id="203" name="Over15" dataDxfId="121">
      <calculatedColumnFormula>IF(OR(#REF!=TRUE,#REF!=TRUE),1,0)</calculatedColumnFormula>
    </tableColumn>
    <tableColumn id="202" name="Over16" dataDxfId="120">
      <calculatedColumnFormula>IF(OR(#REF!=TRUE,#REF!=TRUE),1,0)</calculatedColumnFormula>
    </tableColumn>
    <tableColumn id="201" name="Over17" dataDxfId="119">
      <calculatedColumnFormula>IF(OR(#REF!=TRUE,#REF!=TRUE),1,0)</calculatedColumnFormula>
    </tableColumn>
    <tableColumn id="200" name="Over18" dataDxfId="118">
      <calculatedColumnFormula>IF(OR(#REF!=TRUE,#REF!=TRUE),1,0)</calculatedColumnFormula>
    </tableColumn>
    <tableColumn id="199" name="Over19" dataDxfId="117">
      <calculatedColumnFormula>IF(OR(#REF!=TRUE,#REF!=TRUE),1,0)</calculatedColumnFormula>
    </tableColumn>
    <tableColumn id="198" name="Over20" dataDxfId="116">
      <calculatedColumnFormula>IF(OR(#REF!=TRUE,#REF!=TRUE),1,0)</calculatedColumnFormula>
    </tableColumn>
    <tableColumn id="174" name="Over21" dataDxfId="115">
      <calculatedColumnFormula>IF(OR(#REF!=TRUE,#REF!=TRUE),1,0)</calculatedColumnFormula>
    </tableColumn>
    <tableColumn id="172" name="Over22" dataDxfId="114">
      <calculatedColumnFormula>IF(OR(#REF!=TRUE,#REF!=TRUE),1,0)</calculatedColumnFormula>
    </tableColumn>
    <tableColumn id="171" name="Over23" dataDxfId="113">
      <calculatedColumnFormula>IF(OR(#REF!=TRUE,#REF!=TRUE),1,0)</calculatedColumnFormula>
    </tableColumn>
    <tableColumn id="170" name="Over24" dataDxfId="112">
      <calculatedColumnFormula>IF(OR(#REF!=TRUE,#REF!=TRUE),1,0)</calculatedColumnFormula>
    </tableColumn>
    <tableColumn id="218" name="FirstMonth" dataDxfId="111">
      <calculatedColumnFormula>IFERROR(INDEX($CO$4:$DL$4,MATCH(TRUE,INDEX((Tbl_ResidentData[[#This Row],[Over1]:[Over24]]&lt;&gt;0),0),0)),"")</calculatedColumnFormula>
    </tableColumn>
    <tableColumn id="117" name="Last Dose Reduction Trial" dataDxfId="110">
      <calculatedColumnFormula>IFERROR(INDEX(Tbl_PDSAData[Last DRT],MATCH(Tbl_ResidentData[Resident Name '[last, first']],Tbl_PDSAData[Resident Name (last, first)],0)),"")</calculatedColumnFormula>
    </tableColumn>
    <tableColumn id="116" name="Last Med Review" dataDxfId="109">
      <calculatedColumnFormula>IFERROR(INDEX(Tbl_PDSAData[Last MR],MATCH(Tbl_ResidentData[Resident Name '[last, first']],Tbl_PDSAData[Resident Name (last, first)],0)),"")</calculatedColumnFormula>
    </tableColumn>
  </tableColumns>
  <tableStyleInfo name="Table Style 1" showFirstColumn="0" showLastColumn="0" showRowStripes="1" showColumnStripes="0"/>
</table>
</file>

<file path=xl/tables/table2.xml><?xml version="1.0" encoding="utf-8"?>
<table xmlns="http://schemas.openxmlformats.org/spreadsheetml/2006/main" id="9" name="Tbl_PDSAData" displayName="Tbl_PDSAData" ref="A5:BB305" totalsRowShown="0" headerRowDxfId="108" dataDxfId="107">
  <autoFilter ref="A5:BB305"/>
  <tableColumns count="54">
    <tableColumn id="1" name="Resident Name (last, first)" dataDxfId="106"/>
    <tableColumn id="2" name="Physician" dataDxfId="105">
      <calculatedColumnFormula>IFERROR(INDEX(Tbl_ResidentData[Physician],MATCH(Tbl_PDSAData[[#This Row],[Resident Name (last, first)]],Tbl_ResidentData[Resident Name '[last, first']],0))&amp;"","")</calculatedColumnFormula>
    </tableColumn>
    <tableColumn id="75" name="Diagnosis" dataDxfId="104">
      <calculatedColumnFormula>IFERROR(INDEX(Tbl_ResidentData[Diagnosis (RAI)],MATCH(Tbl_PDSAData[[#This Row],[Resident Name (last, first)]],Tbl_ResidentData[Resident Name '[last, first']],0))&amp;"","")</calculatedColumnFormula>
    </tableColumn>
    <tableColumn id="51" name="Clinical Notes" dataDxfId="103">
      <calculatedColumnFormula>IFERROR(INDEX(Tbl_ResidentData[Clinical Notes
'[free text']],MATCH(Tbl_PDSAData[[#This Row],[Resident Name (last, first)]],Tbl_ResidentData[Resident Name '[last, first']],0))&amp;"","")</calculatedColumnFormula>
    </tableColumn>
    <tableColumn id="27" name="D1" dataDxfId="102"/>
    <tableColumn id="3" name="M1" dataDxfId="101"/>
    <tableColumn id="28" name="D2" dataDxfId="100"/>
    <tableColumn id="4" name="M2" dataDxfId="99"/>
    <tableColumn id="29" name="D3" dataDxfId="98"/>
    <tableColumn id="5" name="M3" dataDxfId="97"/>
    <tableColumn id="30" name="D4" dataDxfId="96"/>
    <tableColumn id="6" name="M4" dataDxfId="95"/>
    <tableColumn id="31" name="D5" dataDxfId="94"/>
    <tableColumn id="7" name="M5" dataDxfId="93"/>
    <tableColumn id="32" name="D6" dataDxfId="92"/>
    <tableColumn id="8" name="M6" dataDxfId="91"/>
    <tableColumn id="33" name="D7" dataDxfId="90"/>
    <tableColumn id="9" name="M7" dataDxfId="89"/>
    <tableColumn id="34" name="D8" dataDxfId="88"/>
    <tableColumn id="10" name="M8" dataDxfId="87"/>
    <tableColumn id="35" name="D9" dataDxfId="86"/>
    <tableColumn id="11" name="M9" dataDxfId="85"/>
    <tableColumn id="36" name="D10" dataDxfId="84"/>
    <tableColumn id="12" name="M10" dataDxfId="83"/>
    <tableColumn id="37" name="D11" dataDxfId="82"/>
    <tableColumn id="13" name="M11" dataDxfId="81"/>
    <tableColumn id="38" name="D12" dataDxfId="80"/>
    <tableColumn id="14" name="M12" dataDxfId="79"/>
    <tableColumn id="39" name="D13" dataDxfId="78"/>
    <tableColumn id="15" name="M13" dataDxfId="77"/>
    <tableColumn id="40" name="D14" dataDxfId="76"/>
    <tableColumn id="16" name="M14" dataDxfId="75"/>
    <tableColumn id="41" name="D15" dataDxfId="74"/>
    <tableColumn id="17" name="M15" dataDxfId="73"/>
    <tableColumn id="42" name="D16" dataDxfId="72"/>
    <tableColumn id="18" name="M16" dataDxfId="71"/>
    <tableColumn id="43" name="D17" dataDxfId="70"/>
    <tableColumn id="19" name="M17" dataDxfId="69"/>
    <tableColumn id="44" name="D18" dataDxfId="68"/>
    <tableColumn id="20" name="M18" dataDxfId="67"/>
    <tableColumn id="45" name="D19" dataDxfId="66"/>
    <tableColumn id="21" name="M19" dataDxfId="65"/>
    <tableColumn id="46" name="D20" dataDxfId="64"/>
    <tableColumn id="22" name="M20" dataDxfId="63"/>
    <tableColumn id="47" name="D21" dataDxfId="62"/>
    <tableColumn id="23" name="M21" dataDxfId="61"/>
    <tableColumn id="48" name="D22" dataDxfId="60"/>
    <tableColumn id="24" name="M22" dataDxfId="59"/>
    <tableColumn id="49" name="D23" dataDxfId="58"/>
    <tableColumn id="25" name="M23" dataDxfId="57"/>
    <tableColumn id="50" name="D24" dataDxfId="56"/>
    <tableColumn id="26" name="M24" dataDxfId="55"/>
    <tableColumn id="78" name="Last DRT" dataDxfId="54">
      <calculatedColumnFormula>IFERROR(INDEX($E$4:$AZ$4,SUMPRODUCT(MAX(COLUMN(Tbl_PDSAData[[#This Row],[D1]:[M24]])*(ListLookup!$G$3=Tbl_PDSAData[[#This Row],[D1]:[M24]]))-4)),"")</calculatedColumnFormula>
    </tableColumn>
    <tableColumn id="77" name="Last MR" dataDxfId="53">
      <calculatedColumnFormula>IFERROR(INDEX($E$4:$AZ$4,SUMPRODUCT(MAX(COLUMN(Tbl_PDSAData[[#This Row],[D1]:[M24]])*(ListLookup!$H$3=Tbl_PDSAData[[#This Row],[D1]:[M24]]))-4)),"")</calculatedColumnFormula>
    </tableColumn>
  </tableColumns>
  <tableStyleInfo name="Table Style 1" showFirstColumn="0" showLastColumn="0" showRowStripes="1" showColumnStripes="0"/>
</table>
</file>

<file path=xl/tables/table3.xml><?xml version="1.0" encoding="utf-8"?>
<table xmlns="http://schemas.openxmlformats.org/spreadsheetml/2006/main" id="1" name="Tbl_ScatterPlot" displayName="Tbl_ScatterPlot" ref="A4:B44" totalsRowShown="0" headerRowDxfId="52" headerRowBorderDxfId="51" tableBorderDxfId="50">
  <tableColumns count="2">
    <tableColumn id="1" name="x-axis Value" dataDxfId="49"/>
    <tableColumn id="2" name="y-axis Value" dataDxfId="48"/>
  </tableColumns>
  <tableStyleInfo name="Table Style 1" showFirstColumn="0" showLastColumn="0" showRowStripes="1" showColumnStripes="0"/>
</table>
</file>

<file path=xl/tables/table4.xml><?xml version="1.0" encoding="utf-8"?>
<table xmlns="http://schemas.openxmlformats.org/spreadsheetml/2006/main" id="2" name="Tbl_Histogram" displayName="Tbl_Histogram" ref="A4:B26" totalsRowShown="0" headerRowDxfId="47" headerRowBorderDxfId="46" tableBorderDxfId="45">
  <tableColumns count="2">
    <tableColumn id="1" name="x-axis Bins" dataDxfId="44"/>
    <tableColumn id="2" name="y-axis Frequency" dataDxfId="43">
      <calculatedColumnFormula>RANDBETWEEN(50,100)</calculatedColumnFormula>
    </tableColumn>
  </tableColumns>
  <tableStyleInfo name="Table Style 1" showFirstColumn="0" showLastColumn="0" showRowStripes="1" showColumnStripes="0"/>
</table>
</file>

<file path=xl/tables/table5.xml><?xml version="1.0" encoding="utf-8"?>
<table xmlns="http://schemas.openxmlformats.org/spreadsheetml/2006/main" id="3" name="Tbl_Pareto" displayName="Tbl_Pareto" ref="A4:E14" totalsRowShown="0" headerRowDxfId="42" headerRowBorderDxfId="41" tableBorderDxfId="40">
  <tableColumns count="5">
    <tableColumn id="1" name="Categories" dataDxfId="39"/>
    <tableColumn id="2" name="Numerator" dataDxfId="38"/>
    <tableColumn id="3" name="Denominator" dataDxfId="37"/>
    <tableColumn id="4" name="Percent" dataDxfId="36" dataCellStyle="Percent">
      <calculatedColumnFormula>IF(OR(ISBLANK(Tbl_Pareto[[#This Row],[Numerator]]),ISBLANK(Tbl_Pareto[[#This Row],[Denominator]])),"",Tbl_Pareto[[#This Row],[Numerator]]/Tbl_Pareto[[#This Row],[Denominator]])</calculatedColumnFormula>
    </tableColumn>
    <tableColumn id="5" name="Cumulative" dataDxfId="35">
      <calculatedColumnFormula>IF(Tbl_Pareto[[#This Row],[Percent]]="","",SUM(INDEX(Tbl_Pareto[Percent],1):Tbl_Pareto[[#This Row],[Percent]]))</calculatedColumnFormula>
    </tableColumn>
  </tableColumns>
  <tableStyleInfo name="Table Style 1" showFirstColumn="0" showLastColumn="0" showRowStripes="1" showColumnStripes="0"/>
</table>
</file>

<file path=xl/tables/table6.xml><?xml version="1.0" encoding="utf-8"?>
<table xmlns="http://schemas.openxmlformats.org/spreadsheetml/2006/main" id="4" name="Tbl_RunChart1" displayName="Tbl_RunChart1" ref="A4:C40" totalsRowShown="0" headerRowDxfId="34" tableBorderDxfId="33">
  <tableColumns count="3">
    <tableColumn id="1" name="Date" dataDxfId="32"/>
    <tableColumn id="2" name="Measure" dataDxfId="31">
      <calculatedColumnFormula>RANDBETWEEN(10,30)</calculatedColumnFormula>
    </tableColumn>
    <tableColumn id="3" name="Median" dataDxfId="30">
      <calculatedColumnFormula>IFERROR(MEDIAN(Tbl_RunChart1[Measure]),"")</calculatedColumnFormula>
    </tableColumn>
  </tableColumns>
  <tableStyleInfo name="Table Style 1" showFirstColumn="0" showLastColumn="0" showRowStripes="1" showColumnStripes="0"/>
</table>
</file>

<file path=xl/tables/table7.xml><?xml version="1.0" encoding="utf-8"?>
<table xmlns="http://schemas.openxmlformats.org/spreadsheetml/2006/main" id="5" name="Tbl_RunChart2" displayName="Tbl_RunChart2" ref="A4:C40" totalsRowShown="0" headerRowDxfId="29" tableBorderDxfId="28">
  <tableColumns count="3">
    <tableColumn id="1" name="Date" dataDxfId="27"/>
    <tableColumn id="2" name="Measure" dataDxfId="26">
      <calculatedColumnFormula>RANDBETWEEN(10,30)</calculatedColumnFormula>
    </tableColumn>
    <tableColumn id="3" name="Median" dataDxfId="25">
      <calculatedColumnFormula>IFERROR(MEDIAN(Tbl_RunChart2[Measure]),"")</calculatedColumnFormula>
    </tableColumn>
  </tableColumns>
  <tableStyleInfo name="Table Style 1" showFirstColumn="0" showLastColumn="0" showRowStripes="1" showColumnStripes="0"/>
</table>
</file>

<file path=xl/tables/table8.xml><?xml version="1.0" encoding="utf-8"?>
<table xmlns="http://schemas.openxmlformats.org/spreadsheetml/2006/main" id="6" name="Tbl_RunChart3" displayName="Tbl_RunChart3" ref="A4:C40" totalsRowShown="0" headerRowDxfId="24" tableBorderDxfId="23">
  <tableColumns count="3">
    <tableColumn id="1" name="Date" dataDxfId="22"/>
    <tableColumn id="2" name="Measure" dataDxfId="21">
      <calculatedColumnFormula>RANDBETWEEN(10,30)</calculatedColumnFormula>
    </tableColumn>
    <tableColumn id="3" name="Median" dataDxfId="20">
      <calculatedColumnFormula>IFERROR(MEDIAN(Tbl_RunChart3[Measure]),"")</calculatedColumnFormula>
    </tableColumn>
  </tableColumns>
  <tableStyleInfo name="Table Style 1" showFirstColumn="0" showLastColumn="0" showRowStripes="1" showColumnStripes="0"/>
</table>
</file>

<file path=xl/tables/table9.xml><?xml version="1.0" encoding="utf-8"?>
<table xmlns="http://schemas.openxmlformats.org/spreadsheetml/2006/main" id="7" name="Tbl_RunChart4" displayName="Tbl_RunChart4" ref="A4:C40" totalsRowShown="0" headerRowDxfId="19" tableBorderDxfId="18">
  <tableColumns count="3">
    <tableColumn id="1" name="Date" dataDxfId="17"/>
    <tableColumn id="2" name="Measure" dataDxfId="16">
      <calculatedColumnFormula>RANDBETWEEN(10,30)</calculatedColumnFormula>
    </tableColumn>
    <tableColumn id="3" name="Median" dataDxfId="15">
      <calculatedColumnFormula>IFERROR(MEDIAN(Tbl_RunChart4[Measure]),"")</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cpsqc.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T27"/>
  <sheetViews>
    <sheetView showGridLines="0" tabSelected="1" workbookViewId="0">
      <pane ySplit="2" topLeftCell="A3" activePane="bottomLeft" state="frozen"/>
      <selection pane="bottomLeft"/>
    </sheetView>
  </sheetViews>
  <sheetFormatPr defaultRowHeight="17.25" x14ac:dyDescent="0.3"/>
  <cols>
    <col min="1" max="1" width="25.28515625" style="31" customWidth="1"/>
    <col min="2" max="2" width="9.140625" style="26" customWidth="1"/>
    <col min="3" max="16384" width="9.140625" style="31"/>
  </cols>
  <sheetData>
    <row r="1" spans="1:20" s="152" customFormat="1" ht="21" x14ac:dyDescent="0.35">
      <c r="A1" s="150" t="s">
        <v>205</v>
      </c>
      <c r="B1" s="151"/>
    </row>
    <row r="2" spans="1:20" s="100" customFormat="1" ht="18.75" x14ac:dyDescent="0.3">
      <c r="A2" s="16"/>
      <c r="B2" s="149"/>
    </row>
    <row r="3" spans="1:20" ht="18" thickBot="1" x14ac:dyDescent="0.35">
      <c r="A3" s="577" t="s">
        <v>364</v>
      </c>
      <c r="B3" s="577"/>
      <c r="C3" s="577"/>
      <c r="D3" s="577"/>
      <c r="E3" s="577"/>
      <c r="F3" s="577"/>
      <c r="G3" s="577"/>
      <c r="H3" s="577"/>
      <c r="I3" s="577"/>
      <c r="O3" s="23" t="s">
        <v>284</v>
      </c>
      <c r="P3" s="399"/>
      <c r="Q3" s="399"/>
      <c r="R3" s="399"/>
      <c r="S3" s="399"/>
      <c r="T3" s="399"/>
    </row>
    <row r="4" spans="1:20" x14ac:dyDescent="0.3">
      <c r="A4" s="577"/>
      <c r="B4" s="577"/>
      <c r="C4" s="577"/>
      <c r="D4" s="577"/>
      <c r="E4" s="577"/>
      <c r="F4" s="577"/>
      <c r="G4" s="577"/>
      <c r="H4" s="577"/>
      <c r="I4" s="577"/>
      <c r="O4" s="564" t="s">
        <v>285</v>
      </c>
      <c r="P4" s="565"/>
      <c r="Q4" s="565"/>
      <c r="R4" s="565"/>
      <c r="S4" s="565"/>
      <c r="T4" s="566"/>
    </row>
    <row r="5" spans="1:20" ht="18" thickBot="1" x14ac:dyDescent="0.35">
      <c r="A5" s="31" t="s">
        <v>366</v>
      </c>
      <c r="E5" s="557" t="s">
        <v>365</v>
      </c>
      <c r="O5" s="567"/>
      <c r="P5" s="568"/>
      <c r="Q5" s="568"/>
      <c r="R5" s="568"/>
      <c r="S5" s="568"/>
      <c r="T5" s="569"/>
    </row>
    <row r="6" spans="1:20" ht="18" thickBot="1" x14ac:dyDescent="0.35">
      <c r="A6" s="29" t="s">
        <v>211</v>
      </c>
      <c r="B6" s="573">
        <v>43132</v>
      </c>
      <c r="C6" s="573"/>
      <c r="D6" s="573"/>
      <c r="E6" s="573"/>
      <c r="F6" s="574"/>
      <c r="O6" s="567"/>
      <c r="P6" s="568"/>
      <c r="Q6" s="568"/>
      <c r="R6" s="568"/>
      <c r="S6" s="568"/>
      <c r="T6" s="569"/>
    </row>
    <row r="7" spans="1:20" ht="18" thickBot="1" x14ac:dyDescent="0.35">
      <c r="A7" s="29" t="s">
        <v>212</v>
      </c>
      <c r="B7" s="573" t="s">
        <v>520</v>
      </c>
      <c r="C7" s="573"/>
      <c r="D7" s="573"/>
      <c r="E7" s="573"/>
      <c r="F7" s="574"/>
      <c r="G7" s="27"/>
      <c r="H7" s="27"/>
      <c r="I7" s="27"/>
      <c r="O7" s="570"/>
      <c r="P7" s="571"/>
      <c r="Q7" s="571"/>
      <c r="R7" s="571"/>
      <c r="S7" s="571"/>
      <c r="T7" s="572"/>
    </row>
    <row r="8" spans="1:20" ht="18" thickBot="1" x14ac:dyDescent="0.35">
      <c r="A8" s="29" t="s">
        <v>213</v>
      </c>
      <c r="B8" s="573" t="s">
        <v>520</v>
      </c>
      <c r="C8" s="573"/>
      <c r="D8" s="573"/>
      <c r="E8" s="573"/>
      <c r="F8" s="574"/>
      <c r="G8" s="27"/>
      <c r="H8" s="27"/>
      <c r="I8" s="27"/>
      <c r="O8" s="400"/>
      <c r="P8" s="400"/>
      <c r="Q8" s="400"/>
      <c r="R8" s="400"/>
      <c r="S8" s="400"/>
      <c r="T8" s="400"/>
    </row>
    <row r="9" spans="1:20" ht="18" thickBot="1" x14ac:dyDescent="0.35">
      <c r="A9" s="28" t="s">
        <v>214</v>
      </c>
      <c r="B9" s="575" t="s">
        <v>520</v>
      </c>
      <c r="C9" s="575"/>
      <c r="D9" s="575"/>
      <c r="E9" s="575"/>
      <c r="F9" s="576"/>
      <c r="G9" s="27"/>
      <c r="H9" s="27"/>
      <c r="I9" s="27"/>
      <c r="O9" s="400"/>
      <c r="P9" s="400"/>
      <c r="Q9" s="400"/>
      <c r="R9" s="400"/>
      <c r="S9" s="400"/>
      <c r="T9" s="400"/>
    </row>
    <row r="10" spans="1:20" x14ac:dyDescent="0.3">
      <c r="A10" s="192"/>
      <c r="B10" s="193"/>
      <c r="C10" s="193"/>
      <c r="D10" s="193"/>
      <c r="E10" s="193"/>
      <c r="F10" s="193"/>
      <c r="G10" s="27"/>
      <c r="H10" s="27"/>
      <c r="I10" s="27"/>
      <c r="O10" s="400"/>
      <c r="P10" s="400"/>
      <c r="Q10" s="400"/>
      <c r="R10" s="400"/>
      <c r="S10" s="400"/>
      <c r="T10" s="400"/>
    </row>
    <row r="11" spans="1:20" x14ac:dyDescent="0.3">
      <c r="A11" s="192" t="s">
        <v>210</v>
      </c>
      <c r="B11" s="193"/>
      <c r="C11" s="193"/>
      <c r="D11" s="193"/>
      <c r="E11" s="193"/>
      <c r="F11" s="193"/>
      <c r="G11" s="27"/>
      <c r="H11" s="27"/>
      <c r="I11" s="27"/>
      <c r="O11" s="400"/>
      <c r="P11" s="400"/>
      <c r="Q11" s="400"/>
      <c r="R11" s="400"/>
      <c r="S11" s="400"/>
      <c r="T11" s="400"/>
    </row>
    <row r="12" spans="1:20" ht="18" thickBot="1" x14ac:dyDescent="0.35">
      <c r="O12" s="400"/>
      <c r="P12" s="400"/>
      <c r="Q12" s="400"/>
      <c r="R12" s="400"/>
      <c r="S12" s="400"/>
      <c r="T12" s="400"/>
    </row>
    <row r="13" spans="1:20" ht="18" thickBot="1" x14ac:dyDescent="0.35">
      <c r="A13" s="31" t="s">
        <v>270</v>
      </c>
      <c r="B13" s="210" t="s">
        <v>207</v>
      </c>
      <c r="C13" s="578" t="str">
        <f>ScatterPlot!E4</f>
        <v>Scatter Plot of Unit A</v>
      </c>
      <c r="D13" s="578"/>
      <c r="E13" s="578"/>
      <c r="F13" s="578"/>
      <c r="G13" s="578"/>
      <c r="H13" s="578"/>
      <c r="I13" s="578"/>
      <c r="J13" s="578"/>
      <c r="K13" s="578"/>
      <c r="L13" s="578"/>
      <c r="M13" s="579"/>
      <c r="O13" s="400"/>
      <c r="P13" s="400"/>
      <c r="Q13" s="400"/>
      <c r="R13" s="400"/>
      <c r="S13" s="400"/>
      <c r="T13" s="400"/>
    </row>
    <row r="14" spans="1:20" ht="18" thickBot="1" x14ac:dyDescent="0.35">
      <c r="B14" s="31"/>
      <c r="O14" s="400"/>
      <c r="P14" s="400"/>
      <c r="Q14" s="400"/>
      <c r="R14" s="400"/>
      <c r="S14" s="400"/>
      <c r="T14" s="400"/>
    </row>
    <row r="15" spans="1:20" ht="18" thickBot="1" x14ac:dyDescent="0.35">
      <c r="A15" s="31" t="s">
        <v>271</v>
      </c>
      <c r="B15" s="210" t="s">
        <v>207</v>
      </c>
      <c r="C15" s="578" t="str">
        <f>Histogram!E4</f>
        <v>Histogram of Unit A</v>
      </c>
      <c r="D15" s="578"/>
      <c r="E15" s="578"/>
      <c r="F15" s="578"/>
      <c r="G15" s="578"/>
      <c r="H15" s="578"/>
      <c r="I15" s="578"/>
      <c r="J15" s="578"/>
      <c r="K15" s="578"/>
      <c r="L15" s="578"/>
      <c r="M15" s="579"/>
      <c r="O15" s="400"/>
      <c r="P15" s="400"/>
      <c r="Q15" s="400"/>
      <c r="R15" s="400"/>
      <c r="S15" s="400"/>
      <c r="T15" s="400"/>
    </row>
    <row r="16" spans="1:20" ht="18" thickBot="1" x14ac:dyDescent="0.35">
      <c r="B16" s="31"/>
      <c r="O16" s="400"/>
      <c r="P16" s="400"/>
      <c r="Q16" s="400"/>
      <c r="R16" s="400"/>
      <c r="S16" s="400"/>
      <c r="T16" s="400"/>
    </row>
    <row r="17" spans="1:20" ht="18" thickBot="1" x14ac:dyDescent="0.35">
      <c r="A17" s="31" t="s">
        <v>272</v>
      </c>
      <c r="B17" s="210" t="s">
        <v>207</v>
      </c>
      <c r="C17" s="578" t="str">
        <f>Pareto!H4</f>
        <v>Biggest Issues Select by Staff</v>
      </c>
      <c r="D17" s="578"/>
      <c r="E17" s="578"/>
      <c r="F17" s="578"/>
      <c r="G17" s="578"/>
      <c r="H17" s="578"/>
      <c r="I17" s="578"/>
      <c r="J17" s="578"/>
      <c r="K17" s="578"/>
      <c r="L17" s="578"/>
      <c r="M17" s="579"/>
      <c r="O17" s="400"/>
      <c r="P17" s="400"/>
      <c r="Q17" s="400"/>
      <c r="R17" s="400"/>
      <c r="S17" s="400"/>
      <c r="T17" s="400"/>
    </row>
    <row r="18" spans="1:20" ht="18" thickBot="1" x14ac:dyDescent="0.35">
      <c r="B18" s="31"/>
      <c r="C18" s="112"/>
      <c r="O18" s="400"/>
      <c r="P18" s="400"/>
      <c r="Q18" s="400"/>
      <c r="R18" s="400"/>
      <c r="S18" s="400"/>
      <c r="T18" s="400"/>
    </row>
    <row r="19" spans="1:20" ht="18" thickBot="1" x14ac:dyDescent="0.35">
      <c r="A19" s="31" t="s">
        <v>273</v>
      </c>
      <c r="B19" s="210" t="s">
        <v>207</v>
      </c>
      <c r="C19" s="578" t="str">
        <f>RunChart1!F4</f>
        <v>Run Chart for Measure A</v>
      </c>
      <c r="D19" s="578"/>
      <c r="E19" s="578"/>
      <c r="F19" s="578"/>
      <c r="G19" s="578"/>
      <c r="H19" s="578"/>
      <c r="I19" s="578"/>
      <c r="J19" s="578"/>
      <c r="K19" s="578"/>
      <c r="L19" s="578"/>
      <c r="M19" s="579"/>
      <c r="O19" s="400"/>
      <c r="P19" s="400"/>
      <c r="Q19" s="400"/>
      <c r="R19" s="400"/>
      <c r="S19" s="400"/>
      <c r="T19" s="400"/>
    </row>
    <row r="20" spans="1:20" ht="18" thickBot="1" x14ac:dyDescent="0.35">
      <c r="B20" s="31"/>
      <c r="O20" s="400"/>
      <c r="P20" s="400"/>
      <c r="Q20" s="400"/>
      <c r="R20" s="400"/>
      <c r="S20" s="400"/>
      <c r="T20" s="400"/>
    </row>
    <row r="21" spans="1:20" ht="18" thickBot="1" x14ac:dyDescent="0.35">
      <c r="A21" s="31" t="s">
        <v>274</v>
      </c>
      <c r="B21" s="210" t="s">
        <v>207</v>
      </c>
      <c r="C21" s="578" t="str">
        <f>RunChart2!F4</f>
        <v>Run Chart for Measure B</v>
      </c>
      <c r="D21" s="578"/>
      <c r="E21" s="578"/>
      <c r="F21" s="578"/>
      <c r="G21" s="578"/>
      <c r="H21" s="578"/>
      <c r="I21" s="578"/>
      <c r="J21" s="578"/>
      <c r="K21" s="578"/>
      <c r="L21" s="578"/>
      <c r="M21" s="579"/>
      <c r="O21" s="400"/>
      <c r="P21" s="400"/>
      <c r="Q21" s="400"/>
      <c r="R21" s="400"/>
      <c r="S21" s="400"/>
      <c r="T21" s="400"/>
    </row>
    <row r="22" spans="1:20" ht="18" thickBot="1" x14ac:dyDescent="0.35">
      <c r="B22" s="31"/>
      <c r="O22" s="400"/>
      <c r="P22" s="400"/>
      <c r="Q22" s="400"/>
      <c r="R22" s="400"/>
      <c r="S22" s="400"/>
      <c r="T22" s="400"/>
    </row>
    <row r="23" spans="1:20" ht="18" thickBot="1" x14ac:dyDescent="0.35">
      <c r="A23" s="31" t="s">
        <v>275</v>
      </c>
      <c r="B23" s="210" t="s">
        <v>207</v>
      </c>
      <c r="C23" s="578" t="str">
        <f>RunChart3!F4</f>
        <v>Run Chart for Measure C</v>
      </c>
      <c r="D23" s="578"/>
      <c r="E23" s="578"/>
      <c r="F23" s="578"/>
      <c r="G23" s="578"/>
      <c r="H23" s="578"/>
      <c r="I23" s="578"/>
      <c r="J23" s="578"/>
      <c r="K23" s="578"/>
      <c r="L23" s="578"/>
      <c r="M23" s="579"/>
      <c r="O23" s="400"/>
      <c r="P23" s="400"/>
      <c r="Q23" s="400"/>
      <c r="R23" s="400"/>
      <c r="S23" s="400"/>
      <c r="T23" s="400"/>
    </row>
    <row r="24" spans="1:20" ht="18" thickBot="1" x14ac:dyDescent="0.35">
      <c r="B24" s="31"/>
      <c r="O24" s="400"/>
      <c r="P24" s="400"/>
      <c r="Q24" s="400"/>
      <c r="R24" s="400"/>
      <c r="S24" s="400"/>
      <c r="T24" s="400"/>
    </row>
    <row r="25" spans="1:20" ht="18" thickBot="1" x14ac:dyDescent="0.35">
      <c r="A25" s="31" t="s">
        <v>276</v>
      </c>
      <c r="B25" s="210" t="s">
        <v>207</v>
      </c>
      <c r="C25" s="578" t="str">
        <f>RunChart4!F4</f>
        <v>Run Chart for Measure D</v>
      </c>
      <c r="D25" s="578"/>
      <c r="E25" s="578"/>
      <c r="F25" s="578"/>
      <c r="G25" s="578"/>
      <c r="H25" s="578"/>
      <c r="I25" s="578"/>
      <c r="J25" s="578"/>
      <c r="K25" s="578"/>
      <c r="L25" s="578"/>
      <c r="M25" s="579"/>
      <c r="O25" s="400"/>
      <c r="P25" s="400"/>
      <c r="Q25" s="400"/>
      <c r="R25" s="400"/>
      <c r="S25" s="400"/>
      <c r="T25" s="400"/>
    </row>
    <row r="27" spans="1:20" x14ac:dyDescent="0.3">
      <c r="A27" s="31" t="s">
        <v>277</v>
      </c>
    </row>
  </sheetData>
  <sheetProtection password="918C" sheet="1" objects="1" scenarios="1"/>
  <mergeCells count="13">
    <mergeCell ref="C13:M13"/>
    <mergeCell ref="C25:M25"/>
    <mergeCell ref="C15:M15"/>
    <mergeCell ref="C17:M17"/>
    <mergeCell ref="C19:M19"/>
    <mergeCell ref="C21:M21"/>
    <mergeCell ref="C23:M23"/>
    <mergeCell ref="O4:T7"/>
    <mergeCell ref="B6:F6"/>
    <mergeCell ref="B7:F7"/>
    <mergeCell ref="B8:F8"/>
    <mergeCell ref="B9:F9"/>
    <mergeCell ref="A3:I4"/>
  </mergeCells>
  <hyperlinks>
    <hyperlink ref="E5" r:id="rId1"/>
  </hyperlinks>
  <pageMargins left="0.25" right="0.25" top="0.75" bottom="0.75" header="0.3" footer="0.3"/>
  <pageSetup scale="67"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A1:BS83"/>
  <sheetViews>
    <sheetView showGridLines="0" zoomScaleNormal="100" workbookViewId="0">
      <pane ySplit="3" topLeftCell="A4" activePane="bottomLeft" state="frozen"/>
      <selection pane="bottomLeft" activeCell="I5" sqref="I5:O17"/>
    </sheetView>
  </sheetViews>
  <sheetFormatPr defaultRowHeight="15" x14ac:dyDescent="0.25"/>
  <cols>
    <col min="1" max="7" width="9.140625" style="244"/>
    <col min="8" max="8" width="3.7109375" style="244" customWidth="1"/>
    <col min="9" max="15" width="9.140625" style="244"/>
    <col min="16" max="16" width="3.7109375" style="244" customWidth="1"/>
    <col min="17" max="23" width="9.140625" style="244"/>
    <col min="24" max="24" width="3.7109375" style="406" customWidth="1"/>
    <col min="25" max="31" width="9.140625" style="244" customWidth="1"/>
    <col min="32" max="32" width="3.7109375" style="244" customWidth="1"/>
    <col min="33" max="39" width="9.140625" style="244" customWidth="1"/>
    <col min="40" max="40" width="3.7109375" style="244" customWidth="1"/>
    <col min="41" max="47" width="9.140625" style="244" customWidth="1"/>
    <col min="48" max="48" width="3.7109375" style="244" customWidth="1"/>
    <col min="49" max="55" width="9.140625" style="244"/>
    <col min="56" max="56" width="3.7109375" style="244" customWidth="1"/>
    <col min="57" max="63" width="9.140625" style="244"/>
    <col min="64" max="64" width="3.7109375" style="244" customWidth="1"/>
    <col min="65" max="16384" width="9.140625" style="244"/>
  </cols>
  <sheetData>
    <row r="1" spans="1:71" s="152" customFormat="1" ht="21" x14ac:dyDescent="0.35">
      <c r="A1" s="150" t="s">
        <v>203</v>
      </c>
      <c r="X1" s="172"/>
    </row>
    <row r="2" spans="1:71" s="31" customFormat="1" ht="17.25" x14ac:dyDescent="0.3">
      <c r="A2" s="30" t="s">
        <v>175</v>
      </c>
      <c r="X2" s="34"/>
    </row>
    <row r="3" spans="1:71" s="31" customFormat="1" ht="17.25" x14ac:dyDescent="0.3">
      <c r="A3" s="22" t="s">
        <v>57</v>
      </c>
      <c r="B3" s="22"/>
      <c r="C3" s="22"/>
      <c r="D3" s="22"/>
      <c r="E3" s="22"/>
      <c r="F3" s="22"/>
      <c r="G3" s="22"/>
      <c r="I3" s="23" t="s">
        <v>292</v>
      </c>
      <c r="J3" s="23"/>
      <c r="K3" s="23"/>
      <c r="L3" s="23"/>
      <c r="M3" s="23"/>
      <c r="N3" s="23"/>
      <c r="O3" s="23"/>
      <c r="P3" s="405"/>
      <c r="Q3" s="23" t="s">
        <v>314</v>
      </c>
      <c r="R3" s="23"/>
      <c r="S3" s="23"/>
      <c r="T3" s="23"/>
      <c r="U3" s="23"/>
      <c r="V3" s="23"/>
      <c r="W3" s="23"/>
      <c r="X3" s="405"/>
      <c r="Y3" s="23" t="s">
        <v>315</v>
      </c>
      <c r="Z3" s="23"/>
      <c r="AA3" s="23"/>
      <c r="AB3" s="23"/>
      <c r="AC3" s="23"/>
      <c r="AD3" s="23"/>
      <c r="AE3" s="23"/>
      <c r="AF3" s="30"/>
      <c r="AG3" s="23" t="s">
        <v>317</v>
      </c>
      <c r="AH3" s="23"/>
      <c r="AI3" s="23"/>
      <c r="AJ3" s="23"/>
      <c r="AK3" s="23"/>
      <c r="AL3" s="23"/>
      <c r="AM3" s="23"/>
      <c r="AN3" s="30"/>
      <c r="AO3" s="23" t="s">
        <v>324</v>
      </c>
      <c r="AP3" s="23"/>
      <c r="AQ3" s="23"/>
      <c r="AR3" s="23"/>
      <c r="AS3" s="23"/>
      <c r="AT3" s="23"/>
      <c r="AU3" s="23"/>
      <c r="AV3" s="30"/>
      <c r="AW3" s="23" t="s">
        <v>316</v>
      </c>
      <c r="AX3" s="23"/>
      <c r="AY3" s="23"/>
      <c r="AZ3" s="23"/>
      <c r="BA3" s="23"/>
      <c r="BB3" s="23"/>
      <c r="BC3" s="23"/>
      <c r="BD3" s="30"/>
      <c r="BE3" s="23" t="s">
        <v>349</v>
      </c>
      <c r="BF3" s="23"/>
      <c r="BG3" s="23"/>
      <c r="BH3" s="23"/>
      <c r="BI3" s="23"/>
      <c r="BJ3" s="23"/>
      <c r="BK3" s="23"/>
      <c r="BM3" s="23" t="s">
        <v>352</v>
      </c>
      <c r="BN3" s="23"/>
      <c r="BO3" s="23"/>
      <c r="BP3" s="23"/>
      <c r="BQ3" s="23"/>
      <c r="BR3" s="23"/>
      <c r="BS3" s="23"/>
    </row>
    <row r="4" spans="1:71" ht="15.75" thickBot="1" x14ac:dyDescent="0.3">
      <c r="A4" s="246" t="s">
        <v>58</v>
      </c>
      <c r="B4" s="247"/>
      <c r="C4" s="247"/>
      <c r="D4" s="247"/>
      <c r="E4" s="247"/>
      <c r="F4" s="247"/>
      <c r="G4" s="247"/>
      <c r="I4" s="248" t="s">
        <v>218</v>
      </c>
      <c r="J4" s="242"/>
      <c r="K4" s="242"/>
      <c r="L4" s="242"/>
      <c r="M4" s="242"/>
      <c r="N4" s="242"/>
      <c r="O4" s="242"/>
      <c r="P4" s="406"/>
      <c r="Q4" s="402" t="s">
        <v>296</v>
      </c>
      <c r="R4" s="401"/>
      <c r="S4" s="401"/>
      <c r="T4" s="401"/>
      <c r="U4" s="401"/>
      <c r="V4" s="401"/>
      <c r="W4" s="401"/>
      <c r="Y4" s="294" t="s">
        <v>156</v>
      </c>
      <c r="Z4" s="295"/>
      <c r="AA4" s="295"/>
      <c r="AB4" s="295"/>
      <c r="AC4" s="295"/>
      <c r="AD4" s="295"/>
      <c r="AE4" s="295"/>
      <c r="AG4" s="296" t="s">
        <v>319</v>
      </c>
      <c r="AH4" s="297"/>
      <c r="AI4" s="297"/>
      <c r="AJ4" s="297"/>
      <c r="AK4" s="297"/>
      <c r="AL4" s="297"/>
      <c r="AM4" s="297"/>
      <c r="AO4" s="296" t="s">
        <v>325</v>
      </c>
      <c r="AP4" s="297"/>
      <c r="AQ4" s="297"/>
      <c r="AR4" s="297"/>
      <c r="AS4" s="297"/>
      <c r="AT4" s="297"/>
      <c r="AU4" s="297"/>
      <c r="AW4" s="246" t="s">
        <v>311</v>
      </c>
      <c r="AX4" s="247"/>
      <c r="AY4" s="247"/>
      <c r="AZ4" s="247"/>
      <c r="BA4" s="247"/>
      <c r="BB4" s="247"/>
      <c r="BC4" s="247"/>
      <c r="BE4" s="254" t="s">
        <v>216</v>
      </c>
      <c r="BF4" s="255"/>
      <c r="BG4" s="255"/>
      <c r="BH4" s="255"/>
      <c r="BI4" s="255"/>
      <c r="BJ4" s="255"/>
      <c r="BK4" s="255"/>
      <c r="BM4" s="246" t="s">
        <v>311</v>
      </c>
      <c r="BN4" s="247"/>
      <c r="BO4" s="247"/>
      <c r="BP4" s="247"/>
      <c r="BQ4" s="247"/>
      <c r="BR4" s="247"/>
      <c r="BS4" s="247"/>
    </row>
    <row r="5" spans="1:71" ht="15" customHeight="1" x14ac:dyDescent="0.25">
      <c r="A5" s="580" t="s">
        <v>298</v>
      </c>
      <c r="B5" s="581"/>
      <c r="C5" s="581"/>
      <c r="D5" s="581"/>
      <c r="E5" s="581"/>
      <c r="F5" s="581"/>
      <c r="G5" s="582"/>
      <c r="I5" s="589" t="s">
        <v>301</v>
      </c>
      <c r="J5" s="590"/>
      <c r="K5" s="590"/>
      <c r="L5" s="590"/>
      <c r="M5" s="590"/>
      <c r="N5" s="590"/>
      <c r="O5" s="591"/>
      <c r="P5" s="403"/>
      <c r="Q5" s="589" t="s">
        <v>509</v>
      </c>
      <c r="R5" s="590"/>
      <c r="S5" s="590"/>
      <c r="T5" s="590"/>
      <c r="U5" s="590"/>
      <c r="V5" s="590"/>
      <c r="W5" s="591"/>
      <c r="X5" s="403"/>
      <c r="Y5" s="589" t="s">
        <v>513</v>
      </c>
      <c r="Z5" s="590"/>
      <c r="AA5" s="590"/>
      <c r="AB5" s="590"/>
      <c r="AC5" s="590"/>
      <c r="AD5" s="590"/>
      <c r="AE5" s="591"/>
      <c r="AG5" s="580" t="s">
        <v>322</v>
      </c>
      <c r="AH5" s="581"/>
      <c r="AI5" s="581"/>
      <c r="AJ5" s="581"/>
      <c r="AK5" s="581"/>
      <c r="AL5" s="581"/>
      <c r="AM5" s="582"/>
      <c r="AO5" s="580" t="s">
        <v>517</v>
      </c>
      <c r="AP5" s="581"/>
      <c r="AQ5" s="581"/>
      <c r="AR5" s="581"/>
      <c r="AS5" s="581"/>
      <c r="AT5" s="581"/>
      <c r="AU5" s="582"/>
      <c r="AW5" s="580" t="s">
        <v>518</v>
      </c>
      <c r="AX5" s="581"/>
      <c r="AY5" s="581"/>
      <c r="AZ5" s="581"/>
      <c r="BA5" s="581"/>
      <c r="BB5" s="581"/>
      <c r="BC5" s="582"/>
      <c r="BE5" s="580" t="s">
        <v>350</v>
      </c>
      <c r="BF5" s="581"/>
      <c r="BG5" s="581"/>
      <c r="BH5" s="581"/>
      <c r="BI5" s="581"/>
      <c r="BJ5" s="581"/>
      <c r="BK5" s="582"/>
      <c r="BM5" s="580" t="s">
        <v>360</v>
      </c>
      <c r="BN5" s="581"/>
      <c r="BO5" s="581"/>
      <c r="BP5" s="581"/>
      <c r="BQ5" s="581"/>
      <c r="BR5" s="581"/>
      <c r="BS5" s="582"/>
    </row>
    <row r="6" spans="1:71" x14ac:dyDescent="0.25">
      <c r="A6" s="583"/>
      <c r="B6" s="584"/>
      <c r="C6" s="584"/>
      <c r="D6" s="584"/>
      <c r="E6" s="584"/>
      <c r="F6" s="584"/>
      <c r="G6" s="585"/>
      <c r="I6" s="592"/>
      <c r="J6" s="593"/>
      <c r="K6" s="593"/>
      <c r="L6" s="593"/>
      <c r="M6" s="593"/>
      <c r="N6" s="593"/>
      <c r="O6" s="594"/>
      <c r="P6" s="403"/>
      <c r="Q6" s="592"/>
      <c r="R6" s="593"/>
      <c r="S6" s="593"/>
      <c r="T6" s="593"/>
      <c r="U6" s="593"/>
      <c r="V6" s="593"/>
      <c r="W6" s="594"/>
      <c r="X6" s="403"/>
      <c r="Y6" s="592"/>
      <c r="Z6" s="593"/>
      <c r="AA6" s="593"/>
      <c r="AB6" s="593"/>
      <c r="AC6" s="593"/>
      <c r="AD6" s="593"/>
      <c r="AE6" s="594"/>
      <c r="AG6" s="583"/>
      <c r="AH6" s="584"/>
      <c r="AI6" s="584"/>
      <c r="AJ6" s="584"/>
      <c r="AK6" s="584"/>
      <c r="AL6" s="584"/>
      <c r="AM6" s="585"/>
      <c r="AO6" s="583"/>
      <c r="AP6" s="584"/>
      <c r="AQ6" s="584"/>
      <c r="AR6" s="584"/>
      <c r="AS6" s="584"/>
      <c r="AT6" s="584"/>
      <c r="AU6" s="585"/>
      <c r="AW6" s="583"/>
      <c r="AX6" s="584"/>
      <c r="AY6" s="584"/>
      <c r="AZ6" s="584"/>
      <c r="BA6" s="584"/>
      <c r="BB6" s="584"/>
      <c r="BC6" s="585"/>
      <c r="BE6" s="583"/>
      <c r="BF6" s="584"/>
      <c r="BG6" s="584"/>
      <c r="BH6" s="584"/>
      <c r="BI6" s="584"/>
      <c r="BJ6" s="584"/>
      <c r="BK6" s="585"/>
      <c r="BM6" s="583"/>
      <c r="BN6" s="584"/>
      <c r="BO6" s="584"/>
      <c r="BP6" s="584"/>
      <c r="BQ6" s="584"/>
      <c r="BR6" s="584"/>
      <c r="BS6" s="585"/>
    </row>
    <row r="7" spans="1:71" x14ac:dyDescent="0.25">
      <c r="A7" s="583"/>
      <c r="B7" s="584"/>
      <c r="C7" s="584"/>
      <c r="D7" s="584"/>
      <c r="E7" s="584"/>
      <c r="F7" s="584"/>
      <c r="G7" s="585"/>
      <c r="I7" s="592"/>
      <c r="J7" s="593"/>
      <c r="K7" s="593"/>
      <c r="L7" s="593"/>
      <c r="M7" s="593"/>
      <c r="N7" s="593"/>
      <c r="O7" s="594"/>
      <c r="P7" s="403"/>
      <c r="Q7" s="592"/>
      <c r="R7" s="593"/>
      <c r="S7" s="593"/>
      <c r="T7" s="593"/>
      <c r="U7" s="593"/>
      <c r="V7" s="593"/>
      <c r="W7" s="594"/>
      <c r="X7" s="403"/>
      <c r="Y7" s="592"/>
      <c r="Z7" s="593"/>
      <c r="AA7" s="593"/>
      <c r="AB7" s="593"/>
      <c r="AC7" s="593"/>
      <c r="AD7" s="593"/>
      <c r="AE7" s="594"/>
      <c r="AG7" s="583"/>
      <c r="AH7" s="584"/>
      <c r="AI7" s="584"/>
      <c r="AJ7" s="584"/>
      <c r="AK7" s="584"/>
      <c r="AL7" s="584"/>
      <c r="AM7" s="585"/>
      <c r="AO7" s="583"/>
      <c r="AP7" s="584"/>
      <c r="AQ7" s="584"/>
      <c r="AR7" s="584"/>
      <c r="AS7" s="584"/>
      <c r="AT7" s="584"/>
      <c r="AU7" s="585"/>
      <c r="AW7" s="583"/>
      <c r="AX7" s="584"/>
      <c r="AY7" s="584"/>
      <c r="AZ7" s="584"/>
      <c r="BA7" s="584"/>
      <c r="BB7" s="584"/>
      <c r="BC7" s="585"/>
      <c r="BE7" s="583"/>
      <c r="BF7" s="584"/>
      <c r="BG7" s="584"/>
      <c r="BH7" s="584"/>
      <c r="BI7" s="584"/>
      <c r="BJ7" s="584"/>
      <c r="BK7" s="585"/>
      <c r="BM7" s="583"/>
      <c r="BN7" s="584"/>
      <c r="BO7" s="584"/>
      <c r="BP7" s="584"/>
      <c r="BQ7" s="584"/>
      <c r="BR7" s="584"/>
      <c r="BS7" s="585"/>
    </row>
    <row r="8" spans="1:71" x14ac:dyDescent="0.25">
      <c r="A8" s="583"/>
      <c r="B8" s="584"/>
      <c r="C8" s="584"/>
      <c r="D8" s="584"/>
      <c r="E8" s="584"/>
      <c r="F8" s="584"/>
      <c r="G8" s="585"/>
      <c r="I8" s="592"/>
      <c r="J8" s="593"/>
      <c r="K8" s="593"/>
      <c r="L8" s="593"/>
      <c r="M8" s="593"/>
      <c r="N8" s="593"/>
      <c r="O8" s="594"/>
      <c r="P8" s="403"/>
      <c r="Q8" s="592"/>
      <c r="R8" s="593"/>
      <c r="S8" s="593"/>
      <c r="T8" s="593"/>
      <c r="U8" s="593"/>
      <c r="V8" s="593"/>
      <c r="W8" s="594"/>
      <c r="X8" s="403"/>
      <c r="Y8" s="592"/>
      <c r="Z8" s="593"/>
      <c r="AA8" s="593"/>
      <c r="AB8" s="593"/>
      <c r="AC8" s="593"/>
      <c r="AD8" s="593"/>
      <c r="AE8" s="594"/>
      <c r="AG8" s="583"/>
      <c r="AH8" s="584"/>
      <c r="AI8" s="584"/>
      <c r="AJ8" s="584"/>
      <c r="AK8" s="584"/>
      <c r="AL8" s="584"/>
      <c r="AM8" s="585"/>
      <c r="AO8" s="583"/>
      <c r="AP8" s="584"/>
      <c r="AQ8" s="584"/>
      <c r="AR8" s="584"/>
      <c r="AS8" s="584"/>
      <c r="AT8" s="584"/>
      <c r="AU8" s="585"/>
      <c r="AW8" s="583"/>
      <c r="AX8" s="584"/>
      <c r="AY8" s="584"/>
      <c r="AZ8" s="584"/>
      <c r="BA8" s="584"/>
      <c r="BB8" s="584"/>
      <c r="BC8" s="585"/>
      <c r="BE8" s="583"/>
      <c r="BF8" s="584"/>
      <c r="BG8" s="584"/>
      <c r="BH8" s="584"/>
      <c r="BI8" s="584"/>
      <c r="BJ8" s="584"/>
      <c r="BK8" s="585"/>
      <c r="BM8" s="583"/>
      <c r="BN8" s="584"/>
      <c r="BO8" s="584"/>
      <c r="BP8" s="584"/>
      <c r="BQ8" s="584"/>
      <c r="BR8" s="584"/>
      <c r="BS8" s="585"/>
    </row>
    <row r="9" spans="1:71" ht="15.75" thickBot="1" x14ac:dyDescent="0.3">
      <c r="A9" s="586"/>
      <c r="B9" s="587"/>
      <c r="C9" s="587"/>
      <c r="D9" s="587"/>
      <c r="E9" s="587"/>
      <c r="F9" s="587"/>
      <c r="G9" s="588"/>
      <c r="I9" s="592"/>
      <c r="J9" s="593"/>
      <c r="K9" s="593"/>
      <c r="L9" s="593"/>
      <c r="M9" s="593"/>
      <c r="N9" s="593"/>
      <c r="O9" s="594"/>
      <c r="P9" s="403"/>
      <c r="Q9" s="592"/>
      <c r="R9" s="593"/>
      <c r="S9" s="593"/>
      <c r="T9" s="593"/>
      <c r="U9" s="593"/>
      <c r="V9" s="593"/>
      <c r="W9" s="594"/>
      <c r="X9" s="403"/>
      <c r="Y9" s="592"/>
      <c r="Z9" s="593"/>
      <c r="AA9" s="593"/>
      <c r="AB9" s="593"/>
      <c r="AC9" s="593"/>
      <c r="AD9" s="593"/>
      <c r="AE9" s="594"/>
      <c r="AG9" s="586"/>
      <c r="AH9" s="587"/>
      <c r="AI9" s="587"/>
      <c r="AJ9" s="587"/>
      <c r="AK9" s="587"/>
      <c r="AL9" s="587"/>
      <c r="AM9" s="588"/>
      <c r="AO9" s="583"/>
      <c r="AP9" s="584"/>
      <c r="AQ9" s="584"/>
      <c r="AR9" s="584"/>
      <c r="AS9" s="584"/>
      <c r="AT9" s="584"/>
      <c r="AU9" s="585"/>
      <c r="AW9" s="583"/>
      <c r="AX9" s="584"/>
      <c r="AY9" s="584"/>
      <c r="AZ9" s="584"/>
      <c r="BA9" s="584"/>
      <c r="BB9" s="584"/>
      <c r="BC9" s="585"/>
      <c r="BE9" s="583"/>
      <c r="BF9" s="584"/>
      <c r="BG9" s="584"/>
      <c r="BH9" s="584"/>
      <c r="BI9" s="584"/>
      <c r="BJ9" s="584"/>
      <c r="BK9" s="585"/>
      <c r="BM9" s="583"/>
      <c r="BN9" s="584"/>
      <c r="BO9" s="584"/>
      <c r="BP9" s="584"/>
      <c r="BQ9" s="584"/>
      <c r="BR9" s="584"/>
      <c r="BS9" s="585"/>
    </row>
    <row r="10" spans="1:71" x14ac:dyDescent="0.25">
      <c r="I10" s="592"/>
      <c r="J10" s="593"/>
      <c r="K10" s="593"/>
      <c r="L10" s="593"/>
      <c r="M10" s="593"/>
      <c r="N10" s="593"/>
      <c r="O10" s="594"/>
      <c r="P10" s="403"/>
      <c r="Q10" s="592"/>
      <c r="R10" s="593"/>
      <c r="S10" s="593"/>
      <c r="T10" s="593"/>
      <c r="U10" s="593"/>
      <c r="V10" s="593"/>
      <c r="W10" s="594"/>
      <c r="X10" s="403"/>
      <c r="Y10" s="592"/>
      <c r="Z10" s="593"/>
      <c r="AA10" s="593"/>
      <c r="AB10" s="593"/>
      <c r="AC10" s="593"/>
      <c r="AD10" s="593"/>
      <c r="AE10" s="594"/>
      <c r="AO10" s="583"/>
      <c r="AP10" s="584"/>
      <c r="AQ10" s="584"/>
      <c r="AR10" s="584"/>
      <c r="AS10" s="584"/>
      <c r="AT10" s="584"/>
      <c r="AU10" s="585"/>
      <c r="AW10" s="583"/>
      <c r="AX10" s="584"/>
      <c r="AY10" s="584"/>
      <c r="AZ10" s="584"/>
      <c r="BA10" s="584"/>
      <c r="BB10" s="584"/>
      <c r="BC10" s="585"/>
      <c r="BE10" s="583"/>
      <c r="BF10" s="584"/>
      <c r="BG10" s="584"/>
      <c r="BH10" s="584"/>
      <c r="BI10" s="584"/>
      <c r="BJ10" s="584"/>
      <c r="BK10" s="585"/>
      <c r="BM10" s="583"/>
      <c r="BN10" s="584"/>
      <c r="BO10" s="584"/>
      <c r="BP10" s="584"/>
      <c r="BQ10" s="584"/>
      <c r="BR10" s="584"/>
      <c r="BS10" s="585"/>
    </row>
    <row r="11" spans="1:71" ht="15" customHeight="1" thickBot="1" x14ac:dyDescent="0.3">
      <c r="A11" s="246" t="s">
        <v>269</v>
      </c>
      <c r="B11" s="247"/>
      <c r="C11" s="247"/>
      <c r="D11" s="247"/>
      <c r="E11" s="247"/>
      <c r="F11" s="247"/>
      <c r="G11" s="247"/>
      <c r="I11" s="592"/>
      <c r="J11" s="593"/>
      <c r="K11" s="593"/>
      <c r="L11" s="593"/>
      <c r="M11" s="593"/>
      <c r="N11" s="593"/>
      <c r="O11" s="594"/>
      <c r="P11" s="403"/>
      <c r="Q11" s="592"/>
      <c r="R11" s="593"/>
      <c r="S11" s="593"/>
      <c r="T11" s="593"/>
      <c r="U11" s="593"/>
      <c r="V11" s="593"/>
      <c r="W11" s="594"/>
      <c r="X11" s="403"/>
      <c r="Y11" s="592"/>
      <c r="Z11" s="593"/>
      <c r="AA11" s="593"/>
      <c r="AB11" s="593"/>
      <c r="AC11" s="593"/>
      <c r="AD11" s="593"/>
      <c r="AE11" s="594"/>
      <c r="AG11" s="296" t="s">
        <v>318</v>
      </c>
      <c r="AH11" s="297"/>
      <c r="AI11" s="297"/>
      <c r="AJ11" s="297"/>
      <c r="AK11" s="297"/>
      <c r="AL11" s="297"/>
      <c r="AM11" s="297"/>
      <c r="AO11" s="583"/>
      <c r="AP11" s="584"/>
      <c r="AQ11" s="584"/>
      <c r="AR11" s="584"/>
      <c r="AS11" s="584"/>
      <c r="AT11" s="584"/>
      <c r="AU11" s="585"/>
      <c r="AW11" s="583"/>
      <c r="AX11" s="584"/>
      <c r="AY11" s="584"/>
      <c r="AZ11" s="584"/>
      <c r="BA11" s="584"/>
      <c r="BB11" s="584"/>
      <c r="BC11" s="585"/>
      <c r="BE11" s="583"/>
      <c r="BF11" s="584"/>
      <c r="BG11" s="584"/>
      <c r="BH11" s="584"/>
      <c r="BI11" s="584"/>
      <c r="BJ11" s="584"/>
      <c r="BK11" s="585"/>
      <c r="BM11" s="583"/>
      <c r="BN11" s="584"/>
      <c r="BO11" s="584"/>
      <c r="BP11" s="584"/>
      <c r="BQ11" s="584"/>
      <c r="BR11" s="584"/>
      <c r="BS11" s="585"/>
    </row>
    <row r="12" spans="1:71" ht="15" customHeight="1" x14ac:dyDescent="0.25">
      <c r="A12" s="580" t="s">
        <v>313</v>
      </c>
      <c r="B12" s="581"/>
      <c r="C12" s="581"/>
      <c r="D12" s="581"/>
      <c r="E12" s="581"/>
      <c r="F12" s="581"/>
      <c r="G12" s="582"/>
      <c r="I12" s="592"/>
      <c r="J12" s="593"/>
      <c r="K12" s="593"/>
      <c r="L12" s="593"/>
      <c r="M12" s="593"/>
      <c r="N12" s="593"/>
      <c r="O12" s="594"/>
      <c r="P12" s="403"/>
      <c r="Q12" s="592"/>
      <c r="R12" s="593"/>
      <c r="S12" s="593"/>
      <c r="T12" s="593"/>
      <c r="U12" s="593"/>
      <c r="V12" s="593"/>
      <c r="W12" s="594"/>
      <c r="X12" s="403"/>
      <c r="Y12" s="592"/>
      <c r="Z12" s="593"/>
      <c r="AA12" s="593"/>
      <c r="AB12" s="593"/>
      <c r="AC12" s="593"/>
      <c r="AD12" s="593"/>
      <c r="AE12" s="594"/>
      <c r="AG12" s="580" t="s">
        <v>516</v>
      </c>
      <c r="AH12" s="581"/>
      <c r="AI12" s="581"/>
      <c r="AJ12" s="581"/>
      <c r="AK12" s="581"/>
      <c r="AL12" s="581"/>
      <c r="AM12" s="582"/>
      <c r="AO12" s="583"/>
      <c r="AP12" s="584"/>
      <c r="AQ12" s="584"/>
      <c r="AR12" s="584"/>
      <c r="AS12" s="584"/>
      <c r="AT12" s="584"/>
      <c r="AU12" s="585"/>
      <c r="AW12" s="583"/>
      <c r="AX12" s="584"/>
      <c r="AY12" s="584"/>
      <c r="AZ12" s="584"/>
      <c r="BA12" s="584"/>
      <c r="BB12" s="584"/>
      <c r="BC12" s="585"/>
      <c r="BE12" s="583"/>
      <c r="BF12" s="584"/>
      <c r="BG12" s="584"/>
      <c r="BH12" s="584"/>
      <c r="BI12" s="584"/>
      <c r="BJ12" s="584"/>
      <c r="BK12" s="585"/>
      <c r="BM12" s="583"/>
      <c r="BN12" s="584"/>
      <c r="BO12" s="584"/>
      <c r="BP12" s="584"/>
      <c r="BQ12" s="584"/>
      <c r="BR12" s="584"/>
      <c r="BS12" s="585"/>
    </row>
    <row r="13" spans="1:71" x14ac:dyDescent="0.25">
      <c r="A13" s="583"/>
      <c r="B13" s="584"/>
      <c r="C13" s="584"/>
      <c r="D13" s="584"/>
      <c r="E13" s="584"/>
      <c r="F13" s="584"/>
      <c r="G13" s="585"/>
      <c r="I13" s="592"/>
      <c r="J13" s="593"/>
      <c r="K13" s="593"/>
      <c r="L13" s="593"/>
      <c r="M13" s="593"/>
      <c r="N13" s="593"/>
      <c r="O13" s="594"/>
      <c r="P13" s="403"/>
      <c r="Q13" s="592"/>
      <c r="R13" s="593"/>
      <c r="S13" s="593"/>
      <c r="T13" s="593"/>
      <c r="U13" s="593"/>
      <c r="V13" s="593"/>
      <c r="W13" s="594"/>
      <c r="X13" s="403"/>
      <c r="Y13" s="592"/>
      <c r="Z13" s="593"/>
      <c r="AA13" s="593"/>
      <c r="AB13" s="593"/>
      <c r="AC13" s="593"/>
      <c r="AD13" s="593"/>
      <c r="AE13" s="594"/>
      <c r="AG13" s="583"/>
      <c r="AH13" s="584"/>
      <c r="AI13" s="584"/>
      <c r="AJ13" s="584"/>
      <c r="AK13" s="584"/>
      <c r="AL13" s="584"/>
      <c r="AM13" s="585"/>
      <c r="AO13" s="583"/>
      <c r="AP13" s="584"/>
      <c r="AQ13" s="584"/>
      <c r="AR13" s="584"/>
      <c r="AS13" s="584"/>
      <c r="AT13" s="584"/>
      <c r="AU13" s="585"/>
      <c r="AW13" s="583"/>
      <c r="AX13" s="584"/>
      <c r="AY13" s="584"/>
      <c r="AZ13" s="584"/>
      <c r="BA13" s="584"/>
      <c r="BB13" s="584"/>
      <c r="BC13" s="585"/>
      <c r="BE13" s="583"/>
      <c r="BF13" s="584"/>
      <c r="BG13" s="584"/>
      <c r="BH13" s="584"/>
      <c r="BI13" s="584"/>
      <c r="BJ13" s="584"/>
      <c r="BK13" s="585"/>
      <c r="BM13" s="583"/>
      <c r="BN13" s="584"/>
      <c r="BO13" s="584"/>
      <c r="BP13" s="584"/>
      <c r="BQ13" s="584"/>
      <c r="BR13" s="584"/>
      <c r="BS13" s="585"/>
    </row>
    <row r="14" spans="1:71" x14ac:dyDescent="0.25">
      <c r="A14" s="583"/>
      <c r="B14" s="584"/>
      <c r="C14" s="584"/>
      <c r="D14" s="584"/>
      <c r="E14" s="584"/>
      <c r="F14" s="584"/>
      <c r="G14" s="585"/>
      <c r="I14" s="592"/>
      <c r="J14" s="593"/>
      <c r="K14" s="593"/>
      <c r="L14" s="593"/>
      <c r="M14" s="593"/>
      <c r="N14" s="593"/>
      <c r="O14" s="594"/>
      <c r="P14" s="403"/>
      <c r="Q14" s="592"/>
      <c r="R14" s="593"/>
      <c r="S14" s="593"/>
      <c r="T14" s="593"/>
      <c r="U14" s="593"/>
      <c r="V14" s="593"/>
      <c r="W14" s="594"/>
      <c r="X14" s="403"/>
      <c r="Y14" s="592"/>
      <c r="Z14" s="593"/>
      <c r="AA14" s="593"/>
      <c r="AB14" s="593"/>
      <c r="AC14" s="593"/>
      <c r="AD14" s="593"/>
      <c r="AE14" s="594"/>
      <c r="AG14" s="583"/>
      <c r="AH14" s="584"/>
      <c r="AI14" s="584"/>
      <c r="AJ14" s="584"/>
      <c r="AK14" s="584"/>
      <c r="AL14" s="584"/>
      <c r="AM14" s="585"/>
      <c r="AO14" s="583"/>
      <c r="AP14" s="584"/>
      <c r="AQ14" s="584"/>
      <c r="AR14" s="584"/>
      <c r="AS14" s="584"/>
      <c r="AT14" s="584"/>
      <c r="AU14" s="585"/>
      <c r="AW14" s="583"/>
      <c r="AX14" s="584"/>
      <c r="AY14" s="584"/>
      <c r="AZ14" s="584"/>
      <c r="BA14" s="584"/>
      <c r="BB14" s="584"/>
      <c r="BC14" s="585"/>
      <c r="BE14" s="583"/>
      <c r="BF14" s="584"/>
      <c r="BG14" s="584"/>
      <c r="BH14" s="584"/>
      <c r="BI14" s="584"/>
      <c r="BJ14" s="584"/>
      <c r="BK14" s="585"/>
      <c r="BM14" s="583"/>
      <c r="BN14" s="584"/>
      <c r="BO14" s="584"/>
      <c r="BP14" s="584"/>
      <c r="BQ14" s="584"/>
      <c r="BR14" s="584"/>
      <c r="BS14" s="585"/>
    </row>
    <row r="15" spans="1:71" ht="15.75" thickBot="1" x14ac:dyDescent="0.3">
      <c r="A15" s="583"/>
      <c r="B15" s="584"/>
      <c r="C15" s="584"/>
      <c r="D15" s="584"/>
      <c r="E15" s="584"/>
      <c r="F15" s="584"/>
      <c r="G15" s="585"/>
      <c r="I15" s="592"/>
      <c r="J15" s="593"/>
      <c r="K15" s="593"/>
      <c r="L15" s="593"/>
      <c r="M15" s="593"/>
      <c r="N15" s="593"/>
      <c r="O15" s="594"/>
      <c r="P15" s="403"/>
      <c r="Q15" s="592"/>
      <c r="R15" s="593"/>
      <c r="S15" s="593"/>
      <c r="T15" s="593"/>
      <c r="U15" s="593"/>
      <c r="V15" s="593"/>
      <c r="W15" s="594"/>
      <c r="X15" s="403"/>
      <c r="Y15" s="592"/>
      <c r="Z15" s="593"/>
      <c r="AA15" s="593"/>
      <c r="AB15" s="593"/>
      <c r="AC15" s="593"/>
      <c r="AD15" s="593"/>
      <c r="AE15" s="594"/>
      <c r="AG15" s="583"/>
      <c r="AH15" s="584"/>
      <c r="AI15" s="584"/>
      <c r="AJ15" s="584"/>
      <c r="AK15" s="584"/>
      <c r="AL15" s="584"/>
      <c r="AM15" s="585"/>
      <c r="AO15" s="583"/>
      <c r="AP15" s="584"/>
      <c r="AQ15" s="584"/>
      <c r="AR15" s="584"/>
      <c r="AS15" s="584"/>
      <c r="AT15" s="584"/>
      <c r="AU15" s="585"/>
      <c r="AW15" s="583"/>
      <c r="AX15" s="584"/>
      <c r="AY15" s="584"/>
      <c r="AZ15" s="584"/>
      <c r="BA15" s="584"/>
      <c r="BB15" s="584"/>
      <c r="BC15" s="585"/>
      <c r="BE15" s="586"/>
      <c r="BF15" s="587"/>
      <c r="BG15" s="587"/>
      <c r="BH15" s="587"/>
      <c r="BI15" s="587"/>
      <c r="BJ15" s="587"/>
      <c r="BK15" s="588"/>
      <c r="BM15" s="583"/>
      <c r="BN15" s="584"/>
      <c r="BO15" s="584"/>
      <c r="BP15" s="584"/>
      <c r="BQ15" s="584"/>
      <c r="BR15" s="584"/>
      <c r="BS15" s="585"/>
    </row>
    <row r="16" spans="1:71" x14ac:dyDescent="0.25">
      <c r="A16" s="583"/>
      <c r="B16" s="584"/>
      <c r="C16" s="584"/>
      <c r="D16" s="584"/>
      <c r="E16" s="584"/>
      <c r="F16" s="584"/>
      <c r="G16" s="585"/>
      <c r="I16" s="592"/>
      <c r="J16" s="593"/>
      <c r="K16" s="593"/>
      <c r="L16" s="593"/>
      <c r="M16" s="593"/>
      <c r="N16" s="593"/>
      <c r="O16" s="594"/>
      <c r="P16" s="403"/>
      <c r="Q16" s="592"/>
      <c r="R16" s="593"/>
      <c r="S16" s="593"/>
      <c r="T16" s="593"/>
      <c r="U16" s="593"/>
      <c r="V16" s="593"/>
      <c r="W16" s="594"/>
      <c r="X16" s="403"/>
      <c r="Y16" s="592"/>
      <c r="Z16" s="593"/>
      <c r="AA16" s="593"/>
      <c r="AB16" s="593"/>
      <c r="AC16" s="593"/>
      <c r="AD16" s="593"/>
      <c r="AE16" s="594"/>
      <c r="AG16" s="583"/>
      <c r="AH16" s="584"/>
      <c r="AI16" s="584"/>
      <c r="AJ16" s="584"/>
      <c r="AK16" s="584"/>
      <c r="AL16" s="584"/>
      <c r="AM16" s="585"/>
      <c r="AO16" s="583"/>
      <c r="AP16" s="584"/>
      <c r="AQ16" s="584"/>
      <c r="AR16" s="584"/>
      <c r="AS16" s="584"/>
      <c r="AT16" s="584"/>
      <c r="AU16" s="585"/>
      <c r="AW16" s="583"/>
      <c r="AX16" s="584"/>
      <c r="AY16" s="584"/>
      <c r="AZ16" s="584"/>
      <c r="BA16" s="584"/>
      <c r="BB16" s="584"/>
      <c r="BC16" s="585"/>
      <c r="BM16" s="583"/>
      <c r="BN16" s="584"/>
      <c r="BO16" s="584"/>
      <c r="BP16" s="584"/>
      <c r="BQ16" s="584"/>
      <c r="BR16" s="584"/>
      <c r="BS16" s="585"/>
    </row>
    <row r="17" spans="1:71" ht="15.75" thickBot="1" x14ac:dyDescent="0.3">
      <c r="A17" s="583"/>
      <c r="B17" s="584"/>
      <c r="C17" s="584"/>
      <c r="D17" s="584"/>
      <c r="E17" s="584"/>
      <c r="F17" s="584"/>
      <c r="G17" s="585"/>
      <c r="I17" s="595"/>
      <c r="J17" s="596"/>
      <c r="K17" s="596"/>
      <c r="L17" s="596"/>
      <c r="M17" s="596"/>
      <c r="N17" s="596"/>
      <c r="O17" s="597"/>
      <c r="P17" s="403"/>
      <c r="Q17" s="595"/>
      <c r="R17" s="596"/>
      <c r="S17" s="596"/>
      <c r="T17" s="596"/>
      <c r="U17" s="596"/>
      <c r="V17" s="596"/>
      <c r="W17" s="597"/>
      <c r="X17" s="403"/>
      <c r="Y17" s="592"/>
      <c r="Z17" s="593"/>
      <c r="AA17" s="593"/>
      <c r="AB17" s="593"/>
      <c r="AC17" s="593"/>
      <c r="AD17" s="593"/>
      <c r="AE17" s="594"/>
      <c r="AG17" s="583"/>
      <c r="AH17" s="584"/>
      <c r="AI17" s="584"/>
      <c r="AJ17" s="584"/>
      <c r="AK17" s="584"/>
      <c r="AL17" s="584"/>
      <c r="AM17" s="585"/>
      <c r="AO17" s="583"/>
      <c r="AP17" s="584"/>
      <c r="AQ17" s="584"/>
      <c r="AR17" s="584"/>
      <c r="AS17" s="584"/>
      <c r="AT17" s="584"/>
      <c r="AU17" s="585"/>
      <c r="AW17" s="583"/>
      <c r="AX17" s="584"/>
      <c r="AY17" s="584"/>
      <c r="AZ17" s="584"/>
      <c r="BA17" s="584"/>
      <c r="BB17" s="584"/>
      <c r="BC17" s="585"/>
      <c r="BE17" s="254" t="s">
        <v>226</v>
      </c>
      <c r="BF17" s="255"/>
      <c r="BG17" s="255"/>
      <c r="BH17" s="255"/>
      <c r="BI17" s="255"/>
      <c r="BJ17" s="255"/>
      <c r="BK17" s="255"/>
      <c r="BM17" s="583"/>
      <c r="BN17" s="584"/>
      <c r="BO17" s="584"/>
      <c r="BP17" s="584"/>
      <c r="BQ17" s="584"/>
      <c r="BR17" s="584"/>
      <c r="BS17" s="585"/>
    </row>
    <row r="18" spans="1:71" x14ac:dyDescent="0.25">
      <c r="A18" s="583"/>
      <c r="B18" s="584"/>
      <c r="C18" s="584"/>
      <c r="D18" s="584"/>
      <c r="E18" s="584"/>
      <c r="F18" s="584"/>
      <c r="G18" s="585"/>
      <c r="P18" s="403"/>
      <c r="Q18" s="403"/>
      <c r="R18" s="403"/>
      <c r="S18" s="403"/>
      <c r="T18" s="403"/>
      <c r="U18" s="403"/>
      <c r="V18" s="403"/>
      <c r="W18" s="403"/>
      <c r="X18" s="403"/>
      <c r="Y18" s="592"/>
      <c r="Z18" s="593"/>
      <c r="AA18" s="593"/>
      <c r="AB18" s="593"/>
      <c r="AC18" s="593"/>
      <c r="AD18" s="593"/>
      <c r="AE18" s="594"/>
      <c r="AG18" s="583"/>
      <c r="AH18" s="584"/>
      <c r="AI18" s="584"/>
      <c r="AJ18" s="584"/>
      <c r="AK18" s="584"/>
      <c r="AL18" s="584"/>
      <c r="AM18" s="585"/>
      <c r="AO18" s="583"/>
      <c r="AP18" s="584"/>
      <c r="AQ18" s="584"/>
      <c r="AR18" s="584"/>
      <c r="AS18" s="584"/>
      <c r="AT18" s="584"/>
      <c r="AU18" s="585"/>
      <c r="AW18" s="583"/>
      <c r="AX18" s="584"/>
      <c r="AY18" s="584"/>
      <c r="AZ18" s="584"/>
      <c r="BA18" s="584"/>
      <c r="BB18" s="584"/>
      <c r="BC18" s="585"/>
      <c r="BE18" s="580" t="s">
        <v>351</v>
      </c>
      <c r="BF18" s="581"/>
      <c r="BG18" s="581"/>
      <c r="BH18" s="581"/>
      <c r="BI18" s="581"/>
      <c r="BJ18" s="581"/>
      <c r="BK18" s="582"/>
      <c r="BM18" s="583"/>
      <c r="BN18" s="584"/>
      <c r="BO18" s="584"/>
      <c r="BP18" s="584"/>
      <c r="BQ18" s="584"/>
      <c r="BR18" s="584"/>
      <c r="BS18" s="585"/>
    </row>
    <row r="19" spans="1:71" ht="15" customHeight="1" thickBot="1" x14ac:dyDescent="0.3">
      <c r="A19" s="586"/>
      <c r="B19" s="587"/>
      <c r="C19" s="587"/>
      <c r="D19" s="587"/>
      <c r="E19" s="587"/>
      <c r="F19" s="587"/>
      <c r="G19" s="588"/>
      <c r="I19" s="404" t="s">
        <v>293</v>
      </c>
      <c r="J19" s="242"/>
      <c r="K19" s="242"/>
      <c r="L19" s="242"/>
      <c r="M19" s="242"/>
      <c r="N19" s="242"/>
      <c r="O19" s="242"/>
      <c r="P19" s="403"/>
      <c r="Q19" s="402" t="s">
        <v>300</v>
      </c>
      <c r="R19" s="401"/>
      <c r="S19" s="401"/>
      <c r="T19" s="401"/>
      <c r="U19" s="401"/>
      <c r="V19" s="401"/>
      <c r="W19" s="401"/>
      <c r="X19" s="403"/>
      <c r="Y19" s="592"/>
      <c r="Z19" s="593"/>
      <c r="AA19" s="593"/>
      <c r="AB19" s="593"/>
      <c r="AC19" s="593"/>
      <c r="AD19" s="593"/>
      <c r="AE19" s="594"/>
      <c r="AG19" s="583"/>
      <c r="AH19" s="584"/>
      <c r="AI19" s="584"/>
      <c r="AJ19" s="584"/>
      <c r="AK19" s="584"/>
      <c r="AL19" s="584"/>
      <c r="AM19" s="585"/>
      <c r="AO19" s="583"/>
      <c r="AP19" s="584"/>
      <c r="AQ19" s="584"/>
      <c r="AR19" s="584"/>
      <c r="AS19" s="584"/>
      <c r="AT19" s="584"/>
      <c r="AU19" s="585"/>
      <c r="AW19" s="583"/>
      <c r="AX19" s="584"/>
      <c r="AY19" s="584"/>
      <c r="AZ19" s="584"/>
      <c r="BA19" s="584"/>
      <c r="BB19" s="584"/>
      <c r="BC19" s="585"/>
      <c r="BE19" s="583"/>
      <c r="BF19" s="584"/>
      <c r="BG19" s="584"/>
      <c r="BH19" s="584"/>
      <c r="BI19" s="584"/>
      <c r="BJ19" s="584"/>
      <c r="BK19" s="585"/>
      <c r="BM19" s="583"/>
      <c r="BN19" s="584"/>
      <c r="BO19" s="584"/>
      <c r="BP19" s="584"/>
      <c r="BQ19" s="584"/>
      <c r="BR19" s="584"/>
      <c r="BS19" s="585"/>
    </row>
    <row r="20" spans="1:71" ht="15.75" customHeight="1" x14ac:dyDescent="0.25">
      <c r="I20" s="589" t="s">
        <v>498</v>
      </c>
      <c r="J20" s="590"/>
      <c r="K20" s="590"/>
      <c r="L20" s="590"/>
      <c r="M20" s="590"/>
      <c r="N20" s="590"/>
      <c r="O20" s="591"/>
      <c r="P20" s="403"/>
      <c r="Q20" s="580" t="s">
        <v>320</v>
      </c>
      <c r="R20" s="581"/>
      <c r="S20" s="581"/>
      <c r="T20" s="581"/>
      <c r="U20" s="581"/>
      <c r="V20" s="581"/>
      <c r="W20" s="582"/>
      <c r="X20" s="403"/>
      <c r="Y20" s="592"/>
      <c r="Z20" s="593"/>
      <c r="AA20" s="593"/>
      <c r="AB20" s="593"/>
      <c r="AC20" s="593"/>
      <c r="AD20" s="593"/>
      <c r="AE20" s="594"/>
      <c r="AG20" s="583"/>
      <c r="AH20" s="584"/>
      <c r="AI20" s="584"/>
      <c r="AJ20" s="584"/>
      <c r="AK20" s="584"/>
      <c r="AL20" s="584"/>
      <c r="AM20" s="585"/>
      <c r="AO20" s="583"/>
      <c r="AP20" s="584"/>
      <c r="AQ20" s="584"/>
      <c r="AR20" s="584"/>
      <c r="AS20" s="584"/>
      <c r="AT20" s="584"/>
      <c r="AU20" s="585"/>
      <c r="AW20" s="583"/>
      <c r="AX20" s="584"/>
      <c r="AY20" s="584"/>
      <c r="AZ20" s="584"/>
      <c r="BA20" s="584"/>
      <c r="BB20" s="584"/>
      <c r="BC20" s="585"/>
      <c r="BE20" s="583"/>
      <c r="BF20" s="584"/>
      <c r="BG20" s="584"/>
      <c r="BH20" s="584"/>
      <c r="BI20" s="584"/>
      <c r="BJ20" s="584"/>
      <c r="BK20" s="585"/>
      <c r="BM20" s="583"/>
      <c r="BN20" s="584"/>
      <c r="BO20" s="584"/>
      <c r="BP20" s="584"/>
      <c r="BQ20" s="584"/>
      <c r="BR20" s="584"/>
      <c r="BS20" s="585"/>
    </row>
    <row r="21" spans="1:71" ht="15" customHeight="1" thickBot="1" x14ac:dyDescent="0.3">
      <c r="A21" s="246" t="s">
        <v>215</v>
      </c>
      <c r="B21" s="247"/>
      <c r="C21" s="247"/>
      <c r="D21" s="247"/>
      <c r="E21" s="247"/>
      <c r="F21" s="247"/>
      <c r="G21" s="247"/>
      <c r="I21" s="592"/>
      <c r="J21" s="593"/>
      <c r="K21" s="593"/>
      <c r="L21" s="593"/>
      <c r="M21" s="593"/>
      <c r="N21" s="593"/>
      <c r="O21" s="594"/>
      <c r="P21" s="403"/>
      <c r="Q21" s="583"/>
      <c r="R21" s="584"/>
      <c r="S21" s="584"/>
      <c r="T21" s="584"/>
      <c r="U21" s="584"/>
      <c r="V21" s="584"/>
      <c r="W21" s="585"/>
      <c r="X21" s="403"/>
      <c r="Y21" s="595"/>
      <c r="Z21" s="596"/>
      <c r="AA21" s="596"/>
      <c r="AB21" s="596"/>
      <c r="AC21" s="596"/>
      <c r="AD21" s="596"/>
      <c r="AE21" s="597"/>
      <c r="AG21" s="583"/>
      <c r="AH21" s="584"/>
      <c r="AI21" s="584"/>
      <c r="AJ21" s="584"/>
      <c r="AK21" s="584"/>
      <c r="AL21" s="584"/>
      <c r="AM21" s="585"/>
      <c r="AO21" s="583"/>
      <c r="AP21" s="584"/>
      <c r="AQ21" s="584"/>
      <c r="AR21" s="584"/>
      <c r="AS21" s="584"/>
      <c r="AT21" s="584"/>
      <c r="AU21" s="585"/>
      <c r="AW21" s="583"/>
      <c r="AX21" s="584"/>
      <c r="AY21" s="584"/>
      <c r="AZ21" s="584"/>
      <c r="BA21" s="584"/>
      <c r="BB21" s="584"/>
      <c r="BC21" s="585"/>
      <c r="BE21" s="583"/>
      <c r="BF21" s="584"/>
      <c r="BG21" s="584"/>
      <c r="BH21" s="584"/>
      <c r="BI21" s="584"/>
      <c r="BJ21" s="584"/>
      <c r="BK21" s="585"/>
      <c r="BM21" s="583"/>
      <c r="BN21" s="584"/>
      <c r="BO21" s="584"/>
      <c r="BP21" s="584"/>
      <c r="BQ21" s="584"/>
      <c r="BR21" s="584"/>
      <c r="BS21" s="585"/>
    </row>
    <row r="22" spans="1:71" ht="15" customHeight="1" x14ac:dyDescent="0.25">
      <c r="A22" s="580" t="s">
        <v>511</v>
      </c>
      <c r="B22" s="581"/>
      <c r="C22" s="581"/>
      <c r="D22" s="581"/>
      <c r="E22" s="581"/>
      <c r="F22" s="581"/>
      <c r="G22" s="582"/>
      <c r="I22" s="592"/>
      <c r="J22" s="593"/>
      <c r="K22" s="593"/>
      <c r="L22" s="593"/>
      <c r="M22" s="593"/>
      <c r="N22" s="593"/>
      <c r="O22" s="594"/>
      <c r="P22" s="406"/>
      <c r="Q22" s="583"/>
      <c r="R22" s="584"/>
      <c r="S22" s="584"/>
      <c r="T22" s="584"/>
      <c r="U22" s="584"/>
      <c r="V22" s="584"/>
      <c r="W22" s="585"/>
      <c r="AG22" s="583"/>
      <c r="AH22" s="584"/>
      <c r="AI22" s="584"/>
      <c r="AJ22" s="584"/>
      <c r="AK22" s="584"/>
      <c r="AL22" s="584"/>
      <c r="AM22" s="585"/>
      <c r="AO22" s="583"/>
      <c r="AP22" s="584"/>
      <c r="AQ22" s="584"/>
      <c r="AR22" s="584"/>
      <c r="AS22" s="584"/>
      <c r="AT22" s="584"/>
      <c r="AU22" s="585"/>
      <c r="AW22" s="583"/>
      <c r="AX22" s="584"/>
      <c r="AY22" s="584"/>
      <c r="AZ22" s="584"/>
      <c r="BA22" s="584"/>
      <c r="BB22" s="584"/>
      <c r="BC22" s="585"/>
      <c r="BE22" s="583"/>
      <c r="BF22" s="584"/>
      <c r="BG22" s="584"/>
      <c r="BH22" s="584"/>
      <c r="BI22" s="584"/>
      <c r="BJ22" s="584"/>
      <c r="BK22" s="585"/>
      <c r="BM22" s="583"/>
      <c r="BN22" s="584"/>
      <c r="BO22" s="584"/>
      <c r="BP22" s="584"/>
      <c r="BQ22" s="584"/>
      <c r="BR22" s="584"/>
      <c r="BS22" s="585"/>
    </row>
    <row r="23" spans="1:71" ht="15.75" customHeight="1" thickBot="1" x14ac:dyDescent="0.3">
      <c r="A23" s="583"/>
      <c r="B23" s="584"/>
      <c r="C23" s="584"/>
      <c r="D23" s="584"/>
      <c r="E23" s="584"/>
      <c r="F23" s="584"/>
      <c r="G23" s="585"/>
      <c r="I23" s="592"/>
      <c r="J23" s="593"/>
      <c r="K23" s="593"/>
      <c r="L23" s="593"/>
      <c r="M23" s="593"/>
      <c r="N23" s="593"/>
      <c r="O23" s="594"/>
      <c r="P23" s="403"/>
      <c r="Q23" s="586"/>
      <c r="R23" s="587"/>
      <c r="S23" s="587"/>
      <c r="T23" s="587"/>
      <c r="U23" s="587"/>
      <c r="V23" s="587"/>
      <c r="W23" s="588"/>
      <c r="X23" s="403"/>
      <c r="Y23" s="250" t="s">
        <v>297</v>
      </c>
      <c r="Z23" s="251"/>
      <c r="AA23" s="251"/>
      <c r="AB23" s="251"/>
      <c r="AC23" s="251"/>
      <c r="AD23" s="251"/>
      <c r="AE23" s="251"/>
      <c r="AG23" s="583"/>
      <c r="AH23" s="584"/>
      <c r="AI23" s="584"/>
      <c r="AJ23" s="584"/>
      <c r="AK23" s="584"/>
      <c r="AL23" s="584"/>
      <c r="AM23" s="585"/>
      <c r="AO23" s="583"/>
      <c r="AP23" s="584"/>
      <c r="AQ23" s="584"/>
      <c r="AR23" s="584"/>
      <c r="AS23" s="584"/>
      <c r="AT23" s="584"/>
      <c r="AU23" s="585"/>
      <c r="AW23" s="583"/>
      <c r="AX23" s="584"/>
      <c r="AY23" s="584"/>
      <c r="AZ23" s="584"/>
      <c r="BA23" s="584"/>
      <c r="BB23" s="584"/>
      <c r="BC23" s="585"/>
      <c r="BE23" s="583"/>
      <c r="BF23" s="584"/>
      <c r="BG23" s="584"/>
      <c r="BH23" s="584"/>
      <c r="BI23" s="584"/>
      <c r="BJ23" s="584"/>
      <c r="BK23" s="585"/>
      <c r="BM23" s="583"/>
      <c r="BN23" s="584"/>
      <c r="BO23" s="584"/>
      <c r="BP23" s="584"/>
      <c r="BQ23" s="584"/>
      <c r="BR23" s="584"/>
      <c r="BS23" s="585"/>
    </row>
    <row r="24" spans="1:71" ht="15" customHeight="1" x14ac:dyDescent="0.25">
      <c r="A24" s="583"/>
      <c r="B24" s="584"/>
      <c r="C24" s="584"/>
      <c r="D24" s="584"/>
      <c r="E24" s="584"/>
      <c r="F24" s="584"/>
      <c r="G24" s="585"/>
      <c r="I24" s="592"/>
      <c r="J24" s="593"/>
      <c r="K24" s="593"/>
      <c r="L24" s="593"/>
      <c r="M24" s="593"/>
      <c r="N24" s="593"/>
      <c r="O24" s="594"/>
      <c r="P24" s="403"/>
      <c r="X24" s="403"/>
      <c r="Y24" s="580" t="s">
        <v>514</v>
      </c>
      <c r="Z24" s="581"/>
      <c r="AA24" s="581"/>
      <c r="AB24" s="581"/>
      <c r="AC24" s="581"/>
      <c r="AD24" s="581"/>
      <c r="AE24" s="582"/>
      <c r="AG24" s="583"/>
      <c r="AH24" s="584"/>
      <c r="AI24" s="584"/>
      <c r="AJ24" s="584"/>
      <c r="AK24" s="584"/>
      <c r="AL24" s="584"/>
      <c r="AM24" s="585"/>
      <c r="AO24" s="583"/>
      <c r="AP24" s="584"/>
      <c r="AQ24" s="584"/>
      <c r="AR24" s="584"/>
      <c r="AS24" s="584"/>
      <c r="AT24" s="584"/>
      <c r="AU24" s="585"/>
      <c r="AW24" s="583"/>
      <c r="AX24" s="584"/>
      <c r="AY24" s="584"/>
      <c r="AZ24" s="584"/>
      <c r="BA24" s="584"/>
      <c r="BB24" s="584"/>
      <c r="BC24" s="585"/>
      <c r="BE24" s="583"/>
      <c r="BF24" s="584"/>
      <c r="BG24" s="584"/>
      <c r="BH24" s="584"/>
      <c r="BI24" s="584"/>
      <c r="BJ24" s="584"/>
      <c r="BK24" s="585"/>
      <c r="BM24" s="583"/>
      <c r="BN24" s="584"/>
      <c r="BO24" s="584"/>
      <c r="BP24" s="584"/>
      <c r="BQ24" s="584"/>
      <c r="BR24" s="584"/>
      <c r="BS24" s="585"/>
    </row>
    <row r="25" spans="1:71" ht="15" customHeight="1" thickBot="1" x14ac:dyDescent="0.3">
      <c r="A25" s="583"/>
      <c r="B25" s="584"/>
      <c r="C25" s="584"/>
      <c r="D25" s="584"/>
      <c r="E25" s="584"/>
      <c r="F25" s="584"/>
      <c r="G25" s="585"/>
      <c r="I25" s="592"/>
      <c r="J25" s="593"/>
      <c r="K25" s="593"/>
      <c r="L25" s="593"/>
      <c r="M25" s="593"/>
      <c r="N25" s="593"/>
      <c r="O25" s="594"/>
      <c r="P25" s="403"/>
      <c r="Q25" s="248" t="s">
        <v>223</v>
      </c>
      <c r="R25" s="242"/>
      <c r="S25" s="242"/>
      <c r="T25" s="242"/>
      <c r="U25" s="242"/>
      <c r="V25" s="242"/>
      <c r="W25" s="242"/>
      <c r="X25" s="403"/>
      <c r="Y25" s="583"/>
      <c r="Z25" s="584"/>
      <c r="AA25" s="584"/>
      <c r="AB25" s="584"/>
      <c r="AC25" s="584"/>
      <c r="AD25" s="584"/>
      <c r="AE25" s="585"/>
      <c r="AG25" s="583"/>
      <c r="AH25" s="584"/>
      <c r="AI25" s="584"/>
      <c r="AJ25" s="584"/>
      <c r="AK25" s="584"/>
      <c r="AL25" s="584"/>
      <c r="AM25" s="585"/>
      <c r="AO25" s="583"/>
      <c r="AP25" s="584"/>
      <c r="AQ25" s="584"/>
      <c r="AR25" s="584"/>
      <c r="AS25" s="584"/>
      <c r="AT25" s="584"/>
      <c r="AU25" s="585"/>
      <c r="AW25" s="583"/>
      <c r="AX25" s="584"/>
      <c r="AY25" s="584"/>
      <c r="AZ25" s="584"/>
      <c r="BA25" s="584"/>
      <c r="BB25" s="584"/>
      <c r="BC25" s="585"/>
      <c r="BE25" s="583"/>
      <c r="BF25" s="584"/>
      <c r="BG25" s="584"/>
      <c r="BH25" s="584"/>
      <c r="BI25" s="584"/>
      <c r="BJ25" s="584"/>
      <c r="BK25" s="585"/>
      <c r="BM25" s="583"/>
      <c r="BN25" s="584"/>
      <c r="BO25" s="584"/>
      <c r="BP25" s="584"/>
      <c r="BQ25" s="584"/>
      <c r="BR25" s="584"/>
      <c r="BS25" s="585"/>
    </row>
    <row r="26" spans="1:71" ht="15.75" thickBot="1" x14ac:dyDescent="0.3">
      <c r="A26" s="586"/>
      <c r="B26" s="587"/>
      <c r="C26" s="587"/>
      <c r="D26" s="587"/>
      <c r="E26" s="587"/>
      <c r="F26" s="587"/>
      <c r="G26" s="588"/>
      <c r="I26" s="592"/>
      <c r="J26" s="593"/>
      <c r="K26" s="593"/>
      <c r="L26" s="593"/>
      <c r="M26" s="593"/>
      <c r="N26" s="593"/>
      <c r="O26" s="594"/>
      <c r="P26" s="403"/>
      <c r="Q26" s="580" t="s">
        <v>510</v>
      </c>
      <c r="R26" s="581"/>
      <c r="S26" s="581"/>
      <c r="T26" s="581"/>
      <c r="U26" s="581"/>
      <c r="V26" s="581"/>
      <c r="W26" s="582"/>
      <c r="X26" s="403"/>
      <c r="Y26" s="583"/>
      <c r="Z26" s="584"/>
      <c r="AA26" s="584"/>
      <c r="AB26" s="584"/>
      <c r="AC26" s="584"/>
      <c r="AD26" s="584"/>
      <c r="AE26" s="585"/>
      <c r="AG26" s="583"/>
      <c r="AH26" s="584"/>
      <c r="AI26" s="584"/>
      <c r="AJ26" s="584"/>
      <c r="AK26" s="584"/>
      <c r="AL26" s="584"/>
      <c r="AM26" s="585"/>
      <c r="AO26" s="583"/>
      <c r="AP26" s="584"/>
      <c r="AQ26" s="584"/>
      <c r="AR26" s="584"/>
      <c r="AS26" s="584"/>
      <c r="AT26" s="584"/>
      <c r="AU26" s="585"/>
      <c r="AW26" s="583"/>
      <c r="AX26" s="584"/>
      <c r="AY26" s="584"/>
      <c r="AZ26" s="584"/>
      <c r="BA26" s="584"/>
      <c r="BB26" s="584"/>
      <c r="BC26" s="585"/>
      <c r="BE26" s="583"/>
      <c r="BF26" s="584"/>
      <c r="BG26" s="584"/>
      <c r="BH26" s="584"/>
      <c r="BI26" s="584"/>
      <c r="BJ26" s="584"/>
      <c r="BK26" s="585"/>
      <c r="BM26" s="583"/>
      <c r="BN26" s="584"/>
      <c r="BO26" s="584"/>
      <c r="BP26" s="584"/>
      <c r="BQ26" s="584"/>
      <c r="BR26" s="584"/>
      <c r="BS26" s="585"/>
    </row>
    <row r="27" spans="1:71" ht="15" customHeight="1" x14ac:dyDescent="0.25">
      <c r="I27" s="592"/>
      <c r="J27" s="593"/>
      <c r="K27" s="593"/>
      <c r="L27" s="593"/>
      <c r="M27" s="593"/>
      <c r="N27" s="593"/>
      <c r="O27" s="594"/>
      <c r="P27" s="403"/>
      <c r="Q27" s="583"/>
      <c r="R27" s="584"/>
      <c r="S27" s="584"/>
      <c r="T27" s="584"/>
      <c r="U27" s="584"/>
      <c r="V27" s="584"/>
      <c r="W27" s="585"/>
      <c r="X27" s="403"/>
      <c r="Y27" s="583"/>
      <c r="Z27" s="584"/>
      <c r="AA27" s="584"/>
      <c r="AB27" s="584"/>
      <c r="AC27" s="584"/>
      <c r="AD27" s="584"/>
      <c r="AE27" s="585"/>
      <c r="AG27" s="583"/>
      <c r="AH27" s="584"/>
      <c r="AI27" s="584"/>
      <c r="AJ27" s="584"/>
      <c r="AK27" s="584"/>
      <c r="AL27" s="584"/>
      <c r="AM27" s="585"/>
      <c r="AO27" s="583"/>
      <c r="AP27" s="584"/>
      <c r="AQ27" s="584"/>
      <c r="AR27" s="584"/>
      <c r="AS27" s="584"/>
      <c r="AT27" s="584"/>
      <c r="AU27" s="585"/>
      <c r="AW27" s="583"/>
      <c r="AX27" s="584"/>
      <c r="AY27" s="584"/>
      <c r="AZ27" s="584"/>
      <c r="BA27" s="584"/>
      <c r="BB27" s="584"/>
      <c r="BC27" s="585"/>
      <c r="BE27" s="583"/>
      <c r="BF27" s="584"/>
      <c r="BG27" s="584"/>
      <c r="BH27" s="584"/>
      <c r="BI27" s="584"/>
      <c r="BJ27" s="584"/>
      <c r="BK27" s="585"/>
      <c r="BM27" s="583"/>
      <c r="BN27" s="584"/>
      <c r="BO27" s="584"/>
      <c r="BP27" s="584"/>
      <c r="BQ27" s="584"/>
      <c r="BR27" s="584"/>
      <c r="BS27" s="585"/>
    </row>
    <row r="28" spans="1:71" ht="15.75" thickBot="1" x14ac:dyDescent="0.3">
      <c r="A28" s="248" t="s">
        <v>11</v>
      </c>
      <c r="B28" s="242"/>
      <c r="C28" s="242"/>
      <c r="D28" s="242"/>
      <c r="E28" s="242"/>
      <c r="F28" s="242"/>
      <c r="G28" s="242"/>
      <c r="I28" s="592"/>
      <c r="J28" s="593"/>
      <c r="K28" s="593"/>
      <c r="L28" s="593"/>
      <c r="M28" s="593"/>
      <c r="N28" s="593"/>
      <c r="O28" s="594"/>
      <c r="P28" s="403"/>
      <c r="Q28" s="583"/>
      <c r="R28" s="584"/>
      <c r="S28" s="584"/>
      <c r="T28" s="584"/>
      <c r="U28" s="584"/>
      <c r="V28" s="584"/>
      <c r="W28" s="585"/>
      <c r="X28" s="403"/>
      <c r="Y28" s="583"/>
      <c r="Z28" s="584"/>
      <c r="AA28" s="584"/>
      <c r="AB28" s="584"/>
      <c r="AC28" s="584"/>
      <c r="AD28" s="584"/>
      <c r="AE28" s="585"/>
      <c r="AG28" s="583"/>
      <c r="AH28" s="584"/>
      <c r="AI28" s="584"/>
      <c r="AJ28" s="584"/>
      <c r="AK28" s="584"/>
      <c r="AL28" s="584"/>
      <c r="AM28" s="585"/>
      <c r="AO28" s="583"/>
      <c r="AP28" s="584"/>
      <c r="AQ28" s="584"/>
      <c r="AR28" s="584"/>
      <c r="AS28" s="584"/>
      <c r="AT28" s="584"/>
      <c r="AU28" s="585"/>
      <c r="AW28" s="583"/>
      <c r="AX28" s="584"/>
      <c r="AY28" s="584"/>
      <c r="AZ28" s="584"/>
      <c r="BA28" s="584"/>
      <c r="BB28" s="584"/>
      <c r="BC28" s="585"/>
      <c r="BE28" s="583"/>
      <c r="BF28" s="584"/>
      <c r="BG28" s="584"/>
      <c r="BH28" s="584"/>
      <c r="BI28" s="584"/>
      <c r="BJ28" s="584"/>
      <c r="BK28" s="585"/>
      <c r="BM28" s="583"/>
      <c r="BN28" s="584"/>
      <c r="BO28" s="584"/>
      <c r="BP28" s="584"/>
      <c r="BQ28" s="584"/>
      <c r="BR28" s="584"/>
      <c r="BS28" s="585"/>
    </row>
    <row r="29" spans="1:71" x14ac:dyDescent="0.25">
      <c r="A29" s="580" t="s">
        <v>299</v>
      </c>
      <c r="B29" s="581"/>
      <c r="C29" s="581"/>
      <c r="D29" s="581"/>
      <c r="E29" s="581"/>
      <c r="F29" s="581"/>
      <c r="G29" s="582"/>
      <c r="I29" s="592"/>
      <c r="J29" s="593"/>
      <c r="K29" s="593"/>
      <c r="L29" s="593"/>
      <c r="M29" s="593"/>
      <c r="N29" s="593"/>
      <c r="O29" s="594"/>
      <c r="P29" s="403"/>
      <c r="Q29" s="583"/>
      <c r="R29" s="584"/>
      <c r="S29" s="584"/>
      <c r="T29" s="584"/>
      <c r="U29" s="584"/>
      <c r="V29" s="584"/>
      <c r="W29" s="585"/>
      <c r="X29" s="403"/>
      <c r="Y29" s="583"/>
      <c r="Z29" s="584"/>
      <c r="AA29" s="584"/>
      <c r="AB29" s="584"/>
      <c r="AC29" s="584"/>
      <c r="AD29" s="584"/>
      <c r="AE29" s="585"/>
      <c r="AG29" s="583"/>
      <c r="AH29" s="584"/>
      <c r="AI29" s="584"/>
      <c r="AJ29" s="584"/>
      <c r="AK29" s="584"/>
      <c r="AL29" s="584"/>
      <c r="AM29" s="585"/>
      <c r="AO29" s="583"/>
      <c r="AP29" s="584"/>
      <c r="AQ29" s="584"/>
      <c r="AR29" s="584"/>
      <c r="AS29" s="584"/>
      <c r="AT29" s="584"/>
      <c r="AU29" s="585"/>
      <c r="AW29" s="583"/>
      <c r="AX29" s="584"/>
      <c r="AY29" s="584"/>
      <c r="AZ29" s="584"/>
      <c r="BA29" s="584"/>
      <c r="BB29" s="584"/>
      <c r="BC29" s="585"/>
      <c r="BE29" s="583"/>
      <c r="BF29" s="584"/>
      <c r="BG29" s="584"/>
      <c r="BH29" s="584"/>
      <c r="BI29" s="584"/>
      <c r="BJ29" s="584"/>
      <c r="BK29" s="585"/>
      <c r="BM29" s="583"/>
      <c r="BN29" s="584"/>
      <c r="BO29" s="584"/>
      <c r="BP29" s="584"/>
      <c r="BQ29" s="584"/>
      <c r="BR29" s="584"/>
      <c r="BS29" s="585"/>
    </row>
    <row r="30" spans="1:71" ht="15.75" thickBot="1" x14ac:dyDescent="0.3">
      <c r="A30" s="583"/>
      <c r="B30" s="584"/>
      <c r="C30" s="584"/>
      <c r="D30" s="584"/>
      <c r="E30" s="584"/>
      <c r="F30" s="584"/>
      <c r="G30" s="585"/>
      <c r="I30" s="592"/>
      <c r="J30" s="593"/>
      <c r="K30" s="593"/>
      <c r="L30" s="593"/>
      <c r="M30" s="593"/>
      <c r="N30" s="593"/>
      <c r="O30" s="594"/>
      <c r="P30" s="403"/>
      <c r="Q30" s="583"/>
      <c r="R30" s="584"/>
      <c r="S30" s="584"/>
      <c r="T30" s="584"/>
      <c r="U30" s="584"/>
      <c r="V30" s="584"/>
      <c r="W30" s="585"/>
      <c r="X30" s="403"/>
      <c r="Y30" s="583"/>
      <c r="Z30" s="584"/>
      <c r="AA30" s="584"/>
      <c r="AB30" s="584"/>
      <c r="AC30" s="584"/>
      <c r="AD30" s="584"/>
      <c r="AE30" s="585"/>
      <c r="AG30" s="583"/>
      <c r="AH30" s="584"/>
      <c r="AI30" s="584"/>
      <c r="AJ30" s="584"/>
      <c r="AK30" s="584"/>
      <c r="AL30" s="584"/>
      <c r="AM30" s="585"/>
      <c r="AO30" s="583"/>
      <c r="AP30" s="584"/>
      <c r="AQ30" s="584"/>
      <c r="AR30" s="584"/>
      <c r="AS30" s="584"/>
      <c r="AT30" s="584"/>
      <c r="AU30" s="585"/>
      <c r="AW30" s="586"/>
      <c r="AX30" s="587"/>
      <c r="AY30" s="587"/>
      <c r="AZ30" s="587"/>
      <c r="BA30" s="587"/>
      <c r="BB30" s="587"/>
      <c r="BC30" s="588"/>
      <c r="BE30" s="583"/>
      <c r="BF30" s="584"/>
      <c r="BG30" s="584"/>
      <c r="BH30" s="584"/>
      <c r="BI30" s="584"/>
      <c r="BJ30" s="584"/>
      <c r="BK30" s="585"/>
      <c r="BM30" s="583"/>
      <c r="BN30" s="584"/>
      <c r="BO30" s="584"/>
      <c r="BP30" s="584"/>
      <c r="BQ30" s="584"/>
      <c r="BR30" s="584"/>
      <c r="BS30" s="585"/>
    </row>
    <row r="31" spans="1:71" ht="15.75" customHeight="1" thickBot="1" x14ac:dyDescent="0.3">
      <c r="A31" s="583"/>
      <c r="B31" s="584"/>
      <c r="C31" s="584"/>
      <c r="D31" s="584"/>
      <c r="E31" s="584"/>
      <c r="F31" s="584"/>
      <c r="G31" s="585"/>
      <c r="I31" s="592"/>
      <c r="J31" s="593"/>
      <c r="K31" s="593"/>
      <c r="L31" s="593"/>
      <c r="M31" s="593"/>
      <c r="N31" s="593"/>
      <c r="O31" s="594"/>
      <c r="P31" s="403"/>
      <c r="Q31" s="583"/>
      <c r="R31" s="584"/>
      <c r="S31" s="584"/>
      <c r="T31" s="584"/>
      <c r="U31" s="584"/>
      <c r="V31" s="584"/>
      <c r="W31" s="585"/>
      <c r="X31" s="403"/>
      <c r="Y31" s="583"/>
      <c r="Z31" s="584"/>
      <c r="AA31" s="584"/>
      <c r="AB31" s="584"/>
      <c r="AC31" s="584"/>
      <c r="AD31" s="584"/>
      <c r="AE31" s="585"/>
      <c r="AG31" s="583"/>
      <c r="AH31" s="584"/>
      <c r="AI31" s="584"/>
      <c r="AJ31" s="584"/>
      <c r="AK31" s="584"/>
      <c r="AL31" s="584"/>
      <c r="AM31" s="585"/>
      <c r="AO31" s="583"/>
      <c r="AP31" s="584"/>
      <c r="AQ31" s="584"/>
      <c r="AR31" s="584"/>
      <c r="AS31" s="584"/>
      <c r="AT31" s="584"/>
      <c r="AU31" s="585"/>
      <c r="BE31" s="586"/>
      <c r="BF31" s="587"/>
      <c r="BG31" s="587"/>
      <c r="BH31" s="587"/>
      <c r="BI31" s="587"/>
      <c r="BJ31" s="587"/>
      <c r="BK31" s="588"/>
      <c r="BM31" s="583"/>
      <c r="BN31" s="584"/>
      <c r="BO31" s="584"/>
      <c r="BP31" s="584"/>
      <c r="BQ31" s="584"/>
      <c r="BR31" s="584"/>
      <c r="BS31" s="585"/>
    </row>
    <row r="32" spans="1:71" ht="15" customHeight="1" thickBot="1" x14ac:dyDescent="0.3">
      <c r="A32" s="583"/>
      <c r="B32" s="584"/>
      <c r="C32" s="584"/>
      <c r="D32" s="584"/>
      <c r="E32" s="584"/>
      <c r="F32" s="584"/>
      <c r="G32" s="585"/>
      <c r="I32" s="592"/>
      <c r="J32" s="593"/>
      <c r="K32" s="593"/>
      <c r="L32" s="593"/>
      <c r="M32" s="593"/>
      <c r="N32" s="593"/>
      <c r="O32" s="594"/>
      <c r="P32" s="403"/>
      <c r="Q32" s="583"/>
      <c r="R32" s="584"/>
      <c r="S32" s="584"/>
      <c r="T32" s="584"/>
      <c r="U32" s="584"/>
      <c r="V32" s="584"/>
      <c r="W32" s="585"/>
      <c r="X32" s="403"/>
      <c r="Y32" s="583"/>
      <c r="Z32" s="584"/>
      <c r="AA32" s="584"/>
      <c r="AB32" s="584"/>
      <c r="AC32" s="584"/>
      <c r="AD32" s="584"/>
      <c r="AE32" s="585"/>
      <c r="AG32" s="586"/>
      <c r="AH32" s="587"/>
      <c r="AI32" s="587"/>
      <c r="AJ32" s="587"/>
      <c r="AK32" s="587"/>
      <c r="AL32" s="587"/>
      <c r="AM32" s="588"/>
      <c r="AO32" s="583"/>
      <c r="AP32" s="584"/>
      <c r="AQ32" s="584"/>
      <c r="AR32" s="584"/>
      <c r="AS32" s="584"/>
      <c r="AT32" s="584"/>
      <c r="AU32" s="585"/>
      <c r="AW32" s="246" t="s">
        <v>312</v>
      </c>
      <c r="AX32" s="247"/>
      <c r="AY32" s="247"/>
      <c r="AZ32" s="247"/>
      <c r="BA32" s="247"/>
      <c r="BB32" s="247"/>
      <c r="BC32" s="247"/>
      <c r="BM32" s="583"/>
      <c r="BN32" s="584"/>
      <c r="BO32" s="584"/>
      <c r="BP32" s="584"/>
      <c r="BQ32" s="584"/>
      <c r="BR32" s="584"/>
      <c r="BS32" s="585"/>
    </row>
    <row r="33" spans="1:71" ht="15.75" customHeight="1" thickBot="1" x14ac:dyDescent="0.3">
      <c r="A33" s="586"/>
      <c r="B33" s="587"/>
      <c r="C33" s="587"/>
      <c r="D33" s="587"/>
      <c r="E33" s="587"/>
      <c r="F33" s="587"/>
      <c r="G33" s="588"/>
      <c r="I33" s="595"/>
      <c r="J33" s="596"/>
      <c r="K33" s="596"/>
      <c r="L33" s="596"/>
      <c r="M33" s="596"/>
      <c r="N33" s="596"/>
      <c r="O33" s="597"/>
      <c r="P33" s="403"/>
      <c r="Q33" s="583"/>
      <c r="R33" s="584"/>
      <c r="S33" s="584"/>
      <c r="T33" s="584"/>
      <c r="U33" s="584"/>
      <c r="V33" s="584"/>
      <c r="W33" s="585"/>
      <c r="X33" s="403"/>
      <c r="Y33" s="583"/>
      <c r="Z33" s="584"/>
      <c r="AA33" s="584"/>
      <c r="AB33" s="584"/>
      <c r="AC33" s="584"/>
      <c r="AD33" s="584"/>
      <c r="AE33" s="585"/>
      <c r="AO33" s="583"/>
      <c r="AP33" s="584"/>
      <c r="AQ33" s="584"/>
      <c r="AR33" s="584"/>
      <c r="AS33" s="584"/>
      <c r="AT33" s="584"/>
      <c r="AU33" s="585"/>
      <c r="AW33" s="580" t="s">
        <v>519</v>
      </c>
      <c r="AX33" s="581"/>
      <c r="AY33" s="581"/>
      <c r="AZ33" s="581"/>
      <c r="BA33" s="581"/>
      <c r="BB33" s="581"/>
      <c r="BC33" s="582"/>
      <c r="BE33" s="246" t="s">
        <v>59</v>
      </c>
      <c r="BF33" s="247"/>
      <c r="BG33" s="247"/>
      <c r="BH33" s="247"/>
      <c r="BI33" s="247"/>
      <c r="BJ33" s="247"/>
      <c r="BK33" s="247"/>
      <c r="BM33" s="583"/>
      <c r="BN33" s="584"/>
      <c r="BO33" s="584"/>
      <c r="BP33" s="584"/>
      <c r="BQ33" s="584"/>
      <c r="BR33" s="584"/>
      <c r="BS33" s="585"/>
    </row>
    <row r="34" spans="1:71" ht="15.75" customHeight="1" thickBot="1" x14ac:dyDescent="0.3">
      <c r="I34" s="245"/>
      <c r="J34" s="245"/>
      <c r="K34" s="245"/>
      <c r="L34" s="245"/>
      <c r="M34" s="245"/>
      <c r="N34" s="245"/>
      <c r="O34" s="245"/>
      <c r="P34" s="403"/>
      <c r="Q34" s="583"/>
      <c r="R34" s="584"/>
      <c r="S34" s="584"/>
      <c r="T34" s="584"/>
      <c r="U34" s="584"/>
      <c r="V34" s="584"/>
      <c r="W34" s="585"/>
      <c r="X34" s="403"/>
      <c r="Y34" s="586"/>
      <c r="Z34" s="587"/>
      <c r="AA34" s="587"/>
      <c r="AB34" s="587"/>
      <c r="AC34" s="587"/>
      <c r="AD34" s="587"/>
      <c r="AE34" s="588"/>
      <c r="AG34" s="296" t="s">
        <v>266</v>
      </c>
      <c r="AH34" s="297"/>
      <c r="AI34" s="297"/>
      <c r="AJ34" s="297"/>
      <c r="AK34" s="297"/>
      <c r="AL34" s="297"/>
      <c r="AM34" s="297"/>
      <c r="AO34" s="583"/>
      <c r="AP34" s="584"/>
      <c r="AQ34" s="584"/>
      <c r="AR34" s="584"/>
      <c r="AS34" s="584"/>
      <c r="AT34" s="584"/>
      <c r="AU34" s="585"/>
      <c r="AW34" s="583"/>
      <c r="AX34" s="584"/>
      <c r="AY34" s="584"/>
      <c r="AZ34" s="584"/>
      <c r="BA34" s="584"/>
      <c r="BB34" s="584"/>
      <c r="BC34" s="585"/>
      <c r="BE34" s="580" t="s">
        <v>225</v>
      </c>
      <c r="BF34" s="581"/>
      <c r="BG34" s="581"/>
      <c r="BH34" s="581"/>
      <c r="BI34" s="581"/>
      <c r="BJ34" s="581"/>
      <c r="BK34" s="582"/>
      <c r="BM34" s="583"/>
      <c r="BN34" s="584"/>
      <c r="BO34" s="584"/>
      <c r="BP34" s="584"/>
      <c r="BQ34" s="584"/>
      <c r="BR34" s="584"/>
      <c r="BS34" s="585"/>
    </row>
    <row r="35" spans="1:71" ht="15" customHeight="1" thickBot="1" x14ac:dyDescent="0.3">
      <c r="A35" s="397" t="s">
        <v>156</v>
      </c>
      <c r="B35" s="398"/>
      <c r="C35" s="398"/>
      <c r="D35" s="398"/>
      <c r="E35" s="398"/>
      <c r="F35" s="398"/>
      <c r="G35" s="398"/>
      <c r="I35" s="404" t="s">
        <v>294</v>
      </c>
      <c r="J35" s="242"/>
      <c r="K35" s="242"/>
      <c r="L35" s="242"/>
      <c r="M35" s="242"/>
      <c r="N35" s="242"/>
      <c r="O35" s="242"/>
      <c r="P35" s="403"/>
      <c r="Q35" s="583"/>
      <c r="R35" s="584"/>
      <c r="S35" s="584"/>
      <c r="T35" s="584"/>
      <c r="U35" s="584"/>
      <c r="V35" s="584"/>
      <c r="W35" s="585"/>
      <c r="X35" s="403"/>
      <c r="AG35" s="580" t="s">
        <v>323</v>
      </c>
      <c r="AH35" s="581"/>
      <c r="AI35" s="581"/>
      <c r="AJ35" s="581"/>
      <c r="AK35" s="581"/>
      <c r="AL35" s="581"/>
      <c r="AM35" s="582"/>
      <c r="AO35" s="583"/>
      <c r="AP35" s="584"/>
      <c r="AQ35" s="584"/>
      <c r="AR35" s="584"/>
      <c r="AS35" s="584"/>
      <c r="AT35" s="584"/>
      <c r="AU35" s="585"/>
      <c r="AW35" s="583"/>
      <c r="AX35" s="584"/>
      <c r="AY35" s="584"/>
      <c r="AZ35" s="584"/>
      <c r="BA35" s="584"/>
      <c r="BB35" s="584"/>
      <c r="BC35" s="585"/>
      <c r="BE35" s="583"/>
      <c r="BF35" s="584"/>
      <c r="BG35" s="584"/>
      <c r="BH35" s="584"/>
      <c r="BI35" s="584"/>
      <c r="BJ35" s="584"/>
      <c r="BK35" s="585"/>
      <c r="BM35" s="583"/>
      <c r="BN35" s="584"/>
      <c r="BO35" s="584"/>
      <c r="BP35" s="584"/>
      <c r="BQ35" s="584"/>
      <c r="BR35" s="584"/>
      <c r="BS35" s="585"/>
    </row>
    <row r="36" spans="1:71" ht="15.75" customHeight="1" thickBot="1" x14ac:dyDescent="0.3">
      <c r="A36" s="580" t="s">
        <v>512</v>
      </c>
      <c r="B36" s="581"/>
      <c r="C36" s="581"/>
      <c r="D36" s="581"/>
      <c r="E36" s="581"/>
      <c r="F36" s="581"/>
      <c r="G36" s="582"/>
      <c r="I36" s="589" t="s">
        <v>499</v>
      </c>
      <c r="J36" s="590"/>
      <c r="K36" s="590"/>
      <c r="L36" s="590"/>
      <c r="M36" s="590"/>
      <c r="N36" s="590"/>
      <c r="O36" s="591"/>
      <c r="P36" s="403"/>
      <c r="Q36" s="583"/>
      <c r="R36" s="584"/>
      <c r="S36" s="584"/>
      <c r="T36" s="584"/>
      <c r="U36" s="584"/>
      <c r="V36" s="584"/>
      <c r="W36" s="585"/>
      <c r="X36" s="403"/>
      <c r="Y36" s="246" t="s">
        <v>321</v>
      </c>
      <c r="Z36" s="247"/>
      <c r="AA36" s="247"/>
      <c r="AB36" s="247"/>
      <c r="AC36" s="247"/>
      <c r="AD36" s="247"/>
      <c r="AE36" s="247"/>
      <c r="AG36" s="583"/>
      <c r="AH36" s="584"/>
      <c r="AI36" s="584"/>
      <c r="AJ36" s="584"/>
      <c r="AK36" s="584"/>
      <c r="AL36" s="584"/>
      <c r="AM36" s="585"/>
      <c r="AO36" s="583"/>
      <c r="AP36" s="584"/>
      <c r="AQ36" s="584"/>
      <c r="AR36" s="584"/>
      <c r="AS36" s="584"/>
      <c r="AT36" s="584"/>
      <c r="AU36" s="585"/>
      <c r="AW36" s="583"/>
      <c r="AX36" s="584"/>
      <c r="AY36" s="584"/>
      <c r="AZ36" s="584"/>
      <c r="BA36" s="584"/>
      <c r="BB36" s="584"/>
      <c r="BC36" s="585"/>
      <c r="BE36" s="586"/>
      <c r="BF36" s="587"/>
      <c r="BG36" s="587"/>
      <c r="BH36" s="587"/>
      <c r="BI36" s="587"/>
      <c r="BJ36" s="587"/>
      <c r="BK36" s="588"/>
      <c r="BM36" s="583"/>
      <c r="BN36" s="584"/>
      <c r="BO36" s="584"/>
      <c r="BP36" s="584"/>
      <c r="BQ36" s="584"/>
      <c r="BR36" s="584"/>
      <c r="BS36" s="585"/>
    </row>
    <row r="37" spans="1:71" ht="15.75" customHeight="1" x14ac:dyDescent="0.25">
      <c r="A37" s="583"/>
      <c r="B37" s="584"/>
      <c r="C37" s="584"/>
      <c r="D37" s="584"/>
      <c r="E37" s="584"/>
      <c r="F37" s="584"/>
      <c r="G37" s="585"/>
      <c r="I37" s="592"/>
      <c r="J37" s="593"/>
      <c r="K37" s="593"/>
      <c r="L37" s="593"/>
      <c r="M37" s="593"/>
      <c r="N37" s="593"/>
      <c r="O37" s="594"/>
      <c r="P37" s="403"/>
      <c r="Q37" s="583"/>
      <c r="R37" s="584"/>
      <c r="S37" s="584"/>
      <c r="T37" s="584"/>
      <c r="U37" s="584"/>
      <c r="V37" s="584"/>
      <c r="W37" s="585"/>
      <c r="X37" s="403"/>
      <c r="Y37" s="580" t="s">
        <v>515</v>
      </c>
      <c r="Z37" s="581"/>
      <c r="AA37" s="581"/>
      <c r="AB37" s="581"/>
      <c r="AC37" s="581"/>
      <c r="AD37" s="581"/>
      <c r="AE37" s="582"/>
      <c r="AG37" s="583"/>
      <c r="AH37" s="584"/>
      <c r="AI37" s="584"/>
      <c r="AJ37" s="584"/>
      <c r="AK37" s="584"/>
      <c r="AL37" s="584"/>
      <c r="AM37" s="585"/>
      <c r="AO37" s="583"/>
      <c r="AP37" s="584"/>
      <c r="AQ37" s="584"/>
      <c r="AR37" s="584"/>
      <c r="AS37" s="584"/>
      <c r="AT37" s="584"/>
      <c r="AU37" s="585"/>
      <c r="AW37" s="583"/>
      <c r="AX37" s="584"/>
      <c r="AY37" s="584"/>
      <c r="AZ37" s="584"/>
      <c r="BA37" s="584"/>
      <c r="BB37" s="584"/>
      <c r="BC37" s="585"/>
      <c r="BM37" s="583"/>
      <c r="BN37" s="584"/>
      <c r="BO37" s="584"/>
      <c r="BP37" s="584"/>
      <c r="BQ37" s="584"/>
      <c r="BR37" s="584"/>
      <c r="BS37" s="585"/>
    </row>
    <row r="38" spans="1:71" ht="15" customHeight="1" x14ac:dyDescent="0.25">
      <c r="A38" s="583"/>
      <c r="B38" s="584"/>
      <c r="C38" s="584"/>
      <c r="D38" s="584"/>
      <c r="E38" s="584"/>
      <c r="F38" s="584"/>
      <c r="G38" s="585"/>
      <c r="I38" s="592"/>
      <c r="J38" s="593"/>
      <c r="K38" s="593"/>
      <c r="L38" s="593"/>
      <c r="M38" s="593"/>
      <c r="N38" s="593"/>
      <c r="O38" s="594"/>
      <c r="P38" s="245"/>
      <c r="Q38" s="583"/>
      <c r="R38" s="584"/>
      <c r="S38" s="584"/>
      <c r="T38" s="584"/>
      <c r="U38" s="584"/>
      <c r="V38" s="584"/>
      <c r="W38" s="585"/>
      <c r="X38" s="245"/>
      <c r="Y38" s="583"/>
      <c r="Z38" s="584"/>
      <c r="AA38" s="584"/>
      <c r="AB38" s="584"/>
      <c r="AC38" s="584"/>
      <c r="AD38" s="584"/>
      <c r="AE38" s="585"/>
      <c r="AG38" s="583"/>
      <c r="AH38" s="584"/>
      <c r="AI38" s="584"/>
      <c r="AJ38" s="584"/>
      <c r="AK38" s="584"/>
      <c r="AL38" s="584"/>
      <c r="AM38" s="585"/>
      <c r="AO38" s="583"/>
      <c r="AP38" s="584"/>
      <c r="AQ38" s="584"/>
      <c r="AR38" s="584"/>
      <c r="AS38" s="584"/>
      <c r="AT38" s="584"/>
      <c r="AU38" s="585"/>
      <c r="AW38" s="583"/>
      <c r="AX38" s="584"/>
      <c r="AY38" s="584"/>
      <c r="AZ38" s="584"/>
      <c r="BA38" s="584"/>
      <c r="BB38" s="584"/>
      <c r="BC38" s="585"/>
      <c r="BM38" s="583"/>
      <c r="BN38" s="584"/>
      <c r="BO38" s="584"/>
      <c r="BP38" s="584"/>
      <c r="BQ38" s="584"/>
      <c r="BR38" s="584"/>
      <c r="BS38" s="585"/>
    </row>
    <row r="39" spans="1:71" ht="15" customHeight="1" thickBot="1" x14ac:dyDescent="0.3">
      <c r="A39" s="586"/>
      <c r="B39" s="587"/>
      <c r="C39" s="587"/>
      <c r="D39" s="587"/>
      <c r="E39" s="587"/>
      <c r="F39" s="587"/>
      <c r="G39" s="588"/>
      <c r="I39" s="592"/>
      <c r="J39" s="593"/>
      <c r="K39" s="593"/>
      <c r="L39" s="593"/>
      <c r="M39" s="593"/>
      <c r="N39" s="593"/>
      <c r="O39" s="594"/>
      <c r="P39" s="245"/>
      <c r="Q39" s="583"/>
      <c r="R39" s="584"/>
      <c r="S39" s="584"/>
      <c r="T39" s="584"/>
      <c r="U39" s="584"/>
      <c r="V39" s="584"/>
      <c r="W39" s="585"/>
      <c r="X39" s="245"/>
      <c r="Y39" s="583"/>
      <c r="Z39" s="584"/>
      <c r="AA39" s="584"/>
      <c r="AB39" s="584"/>
      <c r="AC39" s="584"/>
      <c r="AD39" s="584"/>
      <c r="AE39" s="585"/>
      <c r="AG39" s="583"/>
      <c r="AH39" s="584"/>
      <c r="AI39" s="584"/>
      <c r="AJ39" s="584"/>
      <c r="AK39" s="584"/>
      <c r="AL39" s="584"/>
      <c r="AM39" s="585"/>
      <c r="AO39" s="586"/>
      <c r="AP39" s="587"/>
      <c r="AQ39" s="587"/>
      <c r="AR39" s="587"/>
      <c r="AS39" s="587"/>
      <c r="AT39" s="587"/>
      <c r="AU39" s="588"/>
      <c r="AW39" s="583"/>
      <c r="AX39" s="584"/>
      <c r="AY39" s="584"/>
      <c r="AZ39" s="584"/>
      <c r="BA39" s="584"/>
      <c r="BB39" s="584"/>
      <c r="BC39" s="585"/>
      <c r="BM39" s="583"/>
      <c r="BN39" s="584"/>
      <c r="BO39" s="584"/>
      <c r="BP39" s="584"/>
      <c r="BQ39" s="584"/>
      <c r="BR39" s="584"/>
      <c r="BS39" s="585"/>
    </row>
    <row r="40" spans="1:71" ht="15" customHeight="1" x14ac:dyDescent="0.25">
      <c r="A40" s="249"/>
      <c r="B40" s="249"/>
      <c r="C40" s="249"/>
      <c r="D40" s="249"/>
      <c r="E40" s="249"/>
      <c r="F40" s="249"/>
      <c r="G40" s="249"/>
      <c r="I40" s="592"/>
      <c r="J40" s="593"/>
      <c r="K40" s="593"/>
      <c r="L40" s="593"/>
      <c r="M40" s="593"/>
      <c r="N40" s="593"/>
      <c r="O40" s="594"/>
      <c r="P40" s="403"/>
      <c r="Q40" s="583"/>
      <c r="R40" s="584"/>
      <c r="S40" s="584"/>
      <c r="T40" s="584"/>
      <c r="U40" s="584"/>
      <c r="V40" s="584"/>
      <c r="W40" s="585"/>
      <c r="X40" s="403"/>
      <c r="Y40" s="583"/>
      <c r="Z40" s="584"/>
      <c r="AA40" s="584"/>
      <c r="AB40" s="584"/>
      <c r="AC40" s="584"/>
      <c r="AD40" s="584"/>
      <c r="AE40" s="585"/>
      <c r="AG40" s="583"/>
      <c r="AH40" s="584"/>
      <c r="AI40" s="584"/>
      <c r="AJ40" s="584"/>
      <c r="AK40" s="584"/>
      <c r="AL40" s="584"/>
      <c r="AM40" s="585"/>
      <c r="AW40" s="583"/>
      <c r="AX40" s="584"/>
      <c r="AY40" s="584"/>
      <c r="AZ40" s="584"/>
      <c r="BA40" s="584"/>
      <c r="BB40" s="584"/>
      <c r="BC40" s="585"/>
      <c r="BM40" s="583"/>
      <c r="BN40" s="584"/>
      <c r="BO40" s="584"/>
      <c r="BP40" s="584"/>
      <c r="BQ40" s="584"/>
      <c r="BR40" s="584"/>
      <c r="BS40" s="585"/>
    </row>
    <row r="41" spans="1:71" ht="15.75" customHeight="1" thickBot="1" x14ac:dyDescent="0.3">
      <c r="A41" s="250" t="s">
        <v>209</v>
      </c>
      <c r="B41" s="251"/>
      <c r="C41" s="251"/>
      <c r="D41" s="251"/>
      <c r="E41" s="251"/>
      <c r="F41" s="251"/>
      <c r="G41" s="251"/>
      <c r="I41" s="592"/>
      <c r="J41" s="593"/>
      <c r="K41" s="593"/>
      <c r="L41" s="593"/>
      <c r="M41" s="593"/>
      <c r="N41" s="593"/>
      <c r="O41" s="594"/>
      <c r="P41" s="403"/>
      <c r="Q41" s="583"/>
      <c r="R41" s="584"/>
      <c r="S41" s="584"/>
      <c r="T41" s="584"/>
      <c r="U41" s="584"/>
      <c r="V41" s="584"/>
      <c r="W41" s="585"/>
      <c r="X41" s="403"/>
      <c r="Y41" s="583"/>
      <c r="Z41" s="584"/>
      <c r="AA41" s="584"/>
      <c r="AB41" s="584"/>
      <c r="AC41" s="584"/>
      <c r="AD41" s="584"/>
      <c r="AE41" s="585"/>
      <c r="AG41" s="583"/>
      <c r="AH41" s="584"/>
      <c r="AI41" s="584"/>
      <c r="AJ41" s="584"/>
      <c r="AK41" s="584"/>
      <c r="AL41" s="584"/>
      <c r="AM41" s="585"/>
      <c r="AW41" s="586"/>
      <c r="AX41" s="587"/>
      <c r="AY41" s="587"/>
      <c r="AZ41" s="587"/>
      <c r="BA41" s="587"/>
      <c r="BB41" s="587"/>
      <c r="BC41" s="588"/>
      <c r="BM41" s="583"/>
      <c r="BN41" s="584"/>
      <c r="BO41" s="584"/>
      <c r="BP41" s="584"/>
      <c r="BQ41" s="584"/>
      <c r="BR41" s="584"/>
      <c r="BS41" s="585"/>
    </row>
    <row r="42" spans="1:71" ht="15" customHeight="1" thickBot="1" x14ac:dyDescent="0.3">
      <c r="A42" s="580" t="s">
        <v>227</v>
      </c>
      <c r="B42" s="581"/>
      <c r="C42" s="581"/>
      <c r="D42" s="581"/>
      <c r="E42" s="581"/>
      <c r="F42" s="581"/>
      <c r="G42" s="582"/>
      <c r="I42" s="592"/>
      <c r="J42" s="593"/>
      <c r="K42" s="593"/>
      <c r="L42" s="593"/>
      <c r="M42" s="593"/>
      <c r="N42" s="593"/>
      <c r="O42" s="594"/>
      <c r="P42" s="403"/>
      <c r="Q42" s="583"/>
      <c r="R42" s="584"/>
      <c r="S42" s="584"/>
      <c r="T42" s="584"/>
      <c r="U42" s="584"/>
      <c r="V42" s="584"/>
      <c r="W42" s="585"/>
      <c r="X42" s="403"/>
      <c r="Y42" s="583"/>
      <c r="Z42" s="584"/>
      <c r="AA42" s="584"/>
      <c r="AB42" s="584"/>
      <c r="AC42" s="584"/>
      <c r="AD42" s="584"/>
      <c r="AE42" s="585"/>
      <c r="AG42" s="583"/>
      <c r="AH42" s="584"/>
      <c r="AI42" s="584"/>
      <c r="AJ42" s="584"/>
      <c r="AK42" s="584"/>
      <c r="AL42" s="584"/>
      <c r="AM42" s="585"/>
      <c r="BM42" s="586"/>
      <c r="BN42" s="587"/>
      <c r="BO42" s="587"/>
      <c r="BP42" s="587"/>
      <c r="BQ42" s="587"/>
      <c r="BR42" s="587"/>
      <c r="BS42" s="588"/>
    </row>
    <row r="43" spans="1:71" ht="15.75" thickBot="1" x14ac:dyDescent="0.3">
      <c r="A43" s="583"/>
      <c r="B43" s="584"/>
      <c r="C43" s="584"/>
      <c r="D43" s="584"/>
      <c r="E43" s="584"/>
      <c r="F43" s="584"/>
      <c r="G43" s="585"/>
      <c r="I43" s="592"/>
      <c r="J43" s="593"/>
      <c r="K43" s="593"/>
      <c r="L43" s="593"/>
      <c r="M43" s="593"/>
      <c r="N43" s="593"/>
      <c r="O43" s="594"/>
      <c r="P43" s="403"/>
      <c r="Q43" s="583"/>
      <c r="R43" s="584"/>
      <c r="S43" s="584"/>
      <c r="T43" s="584"/>
      <c r="U43" s="584"/>
      <c r="V43" s="584"/>
      <c r="W43" s="585"/>
      <c r="X43" s="403"/>
      <c r="Y43" s="586"/>
      <c r="Z43" s="587"/>
      <c r="AA43" s="587"/>
      <c r="AB43" s="587"/>
      <c r="AC43" s="587"/>
      <c r="AD43" s="587"/>
      <c r="AE43" s="588"/>
      <c r="AG43" s="586"/>
      <c r="AH43" s="587"/>
      <c r="AI43" s="587"/>
      <c r="AJ43" s="587"/>
      <c r="AK43" s="587"/>
      <c r="AL43" s="587"/>
      <c r="AM43" s="588"/>
    </row>
    <row r="44" spans="1:71" ht="15" customHeight="1" thickBot="1" x14ac:dyDescent="0.3">
      <c r="A44" s="586"/>
      <c r="B44" s="587"/>
      <c r="C44" s="587"/>
      <c r="D44" s="587"/>
      <c r="E44" s="587"/>
      <c r="F44" s="587"/>
      <c r="G44" s="588"/>
      <c r="I44" s="592"/>
      <c r="J44" s="593"/>
      <c r="K44" s="593"/>
      <c r="L44" s="593"/>
      <c r="M44" s="593"/>
      <c r="N44" s="593"/>
      <c r="O44" s="594"/>
      <c r="P44" s="403"/>
      <c r="Q44" s="583"/>
      <c r="R44" s="584"/>
      <c r="S44" s="584"/>
      <c r="T44" s="584"/>
      <c r="U44" s="584"/>
      <c r="V44" s="584"/>
      <c r="W44" s="585"/>
      <c r="X44" s="403"/>
    </row>
    <row r="45" spans="1:71" x14ac:dyDescent="0.25">
      <c r="I45" s="592"/>
      <c r="J45" s="593"/>
      <c r="K45" s="593"/>
      <c r="L45" s="593"/>
      <c r="M45" s="593"/>
      <c r="N45" s="593"/>
      <c r="O45" s="594"/>
      <c r="P45" s="403"/>
      <c r="Q45" s="583"/>
      <c r="R45" s="584"/>
      <c r="S45" s="584"/>
      <c r="T45" s="584"/>
      <c r="U45" s="584"/>
      <c r="V45" s="584"/>
      <c r="W45" s="585"/>
      <c r="X45" s="403"/>
    </row>
    <row r="46" spans="1:71" ht="15.75" thickBot="1" x14ac:dyDescent="0.3">
      <c r="I46" s="595"/>
      <c r="J46" s="596"/>
      <c r="K46" s="596"/>
      <c r="L46" s="596"/>
      <c r="M46" s="596"/>
      <c r="N46" s="596"/>
      <c r="O46" s="597"/>
      <c r="P46" s="403"/>
      <c r="Q46" s="586"/>
      <c r="R46" s="587"/>
      <c r="S46" s="587"/>
      <c r="T46" s="587"/>
      <c r="U46" s="587"/>
      <c r="V46" s="587"/>
      <c r="W46" s="588"/>
      <c r="X46" s="403"/>
    </row>
    <row r="47" spans="1:71" x14ac:dyDescent="0.25">
      <c r="I47" s="245"/>
      <c r="J47" s="245"/>
      <c r="K47" s="245"/>
      <c r="L47" s="245"/>
      <c r="M47" s="245"/>
      <c r="N47" s="245"/>
      <c r="O47" s="245"/>
      <c r="P47" s="403"/>
      <c r="X47" s="403"/>
    </row>
    <row r="48" spans="1:71" ht="15" customHeight="1" x14ac:dyDescent="0.25">
      <c r="P48" s="403"/>
      <c r="X48" s="403"/>
    </row>
    <row r="49" spans="9:24" ht="15" customHeight="1" x14ac:dyDescent="0.25">
      <c r="I49" s="243"/>
      <c r="J49" s="243"/>
      <c r="K49" s="243"/>
      <c r="L49" s="243"/>
      <c r="M49" s="243"/>
      <c r="N49" s="243"/>
      <c r="O49" s="243"/>
      <c r="P49" s="403"/>
      <c r="X49" s="403"/>
    </row>
    <row r="50" spans="9:24" x14ac:dyDescent="0.25">
      <c r="P50" s="403"/>
      <c r="X50" s="403"/>
    </row>
    <row r="51" spans="9:24" x14ac:dyDescent="0.25">
      <c r="P51" s="403"/>
      <c r="X51" s="403"/>
    </row>
    <row r="52" spans="9:24" x14ac:dyDescent="0.25">
      <c r="P52" s="403"/>
      <c r="X52" s="403"/>
    </row>
    <row r="53" spans="9:24" x14ac:dyDescent="0.25">
      <c r="P53" s="403"/>
      <c r="X53" s="403"/>
    </row>
    <row r="54" spans="9:24" x14ac:dyDescent="0.25">
      <c r="P54" s="403"/>
      <c r="X54" s="403"/>
    </row>
    <row r="55" spans="9:24" x14ac:dyDescent="0.25">
      <c r="P55" s="243"/>
      <c r="X55" s="243"/>
    </row>
    <row r="56" spans="9:24" x14ac:dyDescent="0.25">
      <c r="P56" s="406"/>
    </row>
    <row r="57" spans="9:24" x14ac:dyDescent="0.25">
      <c r="P57" s="403"/>
      <c r="X57" s="403"/>
    </row>
    <row r="58" spans="9:24" x14ac:dyDescent="0.25">
      <c r="P58" s="403"/>
      <c r="X58" s="403"/>
    </row>
    <row r="59" spans="9:24" x14ac:dyDescent="0.25">
      <c r="P59" s="403"/>
      <c r="X59" s="403"/>
    </row>
    <row r="60" spans="9:24" x14ac:dyDescent="0.25">
      <c r="P60" s="403"/>
      <c r="X60" s="403"/>
    </row>
    <row r="61" spans="9:24" x14ac:dyDescent="0.25">
      <c r="P61" s="403"/>
      <c r="X61" s="403"/>
    </row>
    <row r="62" spans="9:24" x14ac:dyDescent="0.25">
      <c r="P62" s="403"/>
      <c r="X62" s="403"/>
    </row>
    <row r="63" spans="9:24" x14ac:dyDescent="0.25">
      <c r="P63" s="403"/>
      <c r="X63" s="403"/>
    </row>
    <row r="64" spans="9:24" x14ac:dyDescent="0.25">
      <c r="P64" s="403"/>
      <c r="X64" s="403"/>
    </row>
    <row r="65" spans="9:24" x14ac:dyDescent="0.25">
      <c r="P65" s="403"/>
      <c r="X65" s="403"/>
    </row>
    <row r="66" spans="9:24" x14ac:dyDescent="0.25">
      <c r="P66" s="403"/>
      <c r="X66" s="403"/>
    </row>
    <row r="67" spans="9:24" x14ac:dyDescent="0.25">
      <c r="P67" s="403"/>
      <c r="X67" s="403"/>
    </row>
    <row r="68" spans="9:24" x14ac:dyDescent="0.25">
      <c r="P68" s="403"/>
      <c r="X68" s="403"/>
    </row>
    <row r="69" spans="9:24" x14ac:dyDescent="0.25">
      <c r="P69" s="403"/>
      <c r="X69" s="403"/>
    </row>
    <row r="70" spans="9:24" x14ac:dyDescent="0.25">
      <c r="P70" s="403"/>
      <c r="X70" s="403"/>
    </row>
    <row r="71" spans="9:24" x14ac:dyDescent="0.25">
      <c r="P71" s="403"/>
      <c r="X71" s="403"/>
    </row>
    <row r="72" spans="9:24" x14ac:dyDescent="0.25">
      <c r="P72" s="406"/>
    </row>
    <row r="73" spans="9:24" x14ac:dyDescent="0.25">
      <c r="P73" s="406"/>
    </row>
    <row r="74" spans="9:24" x14ac:dyDescent="0.25">
      <c r="P74" s="403"/>
      <c r="X74" s="403"/>
    </row>
    <row r="75" spans="9:24" x14ac:dyDescent="0.25">
      <c r="P75" s="403"/>
      <c r="X75" s="403"/>
    </row>
    <row r="76" spans="9:24" x14ac:dyDescent="0.25">
      <c r="P76" s="403"/>
      <c r="X76" s="403"/>
    </row>
    <row r="77" spans="9:24" x14ac:dyDescent="0.25">
      <c r="P77" s="403"/>
      <c r="X77" s="403"/>
    </row>
    <row r="78" spans="9:24" x14ac:dyDescent="0.25">
      <c r="I78" s="245"/>
      <c r="J78" s="245"/>
      <c r="K78" s="245"/>
      <c r="L78" s="245"/>
      <c r="M78" s="245"/>
      <c r="N78" s="245"/>
      <c r="O78" s="245"/>
      <c r="P78" s="403"/>
      <c r="X78" s="403"/>
    </row>
    <row r="79" spans="9:24" x14ac:dyDescent="0.25">
      <c r="P79" s="403"/>
      <c r="X79" s="403"/>
    </row>
    <row r="80" spans="9:24" x14ac:dyDescent="0.25">
      <c r="P80" s="403"/>
      <c r="X80" s="403"/>
    </row>
    <row r="81" spans="16:24" x14ac:dyDescent="0.25">
      <c r="P81" s="403"/>
      <c r="X81" s="403"/>
    </row>
    <row r="82" spans="16:24" x14ac:dyDescent="0.25">
      <c r="P82" s="403"/>
      <c r="X82" s="403"/>
    </row>
    <row r="83" spans="16:24" x14ac:dyDescent="0.25">
      <c r="P83" s="403"/>
      <c r="X83" s="403"/>
    </row>
  </sheetData>
  <sheetProtection password="918C" sheet="1" objects="1" scenarios="1"/>
  <mergeCells count="25">
    <mergeCell ref="BM5:BS42"/>
    <mergeCell ref="AO5:AU39"/>
    <mergeCell ref="A12:G19"/>
    <mergeCell ref="I5:O17"/>
    <mergeCell ref="I20:O33"/>
    <mergeCell ref="A5:G9"/>
    <mergeCell ref="Y5:AE21"/>
    <mergeCell ref="Q5:W17"/>
    <mergeCell ref="Q20:W23"/>
    <mergeCell ref="A36:G39"/>
    <mergeCell ref="A42:G44"/>
    <mergeCell ref="Y37:AE43"/>
    <mergeCell ref="I36:O46"/>
    <mergeCell ref="BE5:BK15"/>
    <mergeCell ref="AG5:AM9"/>
    <mergeCell ref="AW33:BC41"/>
    <mergeCell ref="Q26:W46"/>
    <mergeCell ref="A29:G33"/>
    <mergeCell ref="A22:G26"/>
    <mergeCell ref="AG35:AM43"/>
    <mergeCell ref="BE34:BK36"/>
    <mergeCell ref="BE18:BK31"/>
    <mergeCell ref="Y24:AE34"/>
    <mergeCell ref="AG12:AM32"/>
    <mergeCell ref="AW5:BC30"/>
  </mergeCells>
  <pageMargins left="0.25" right="0.25" top="0.75" bottom="0.75" header="0.3" footer="0.3"/>
  <pageSetup scale="72" fitToWidth="0" orientation="landscape" r:id="rId1"/>
  <colBreaks count="4" manualBreakCount="4">
    <brk id="15" max="1048575" man="1"/>
    <brk id="31" max="1048575" man="1"/>
    <brk id="47" max="1048575" man="1"/>
    <brk id="63"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tint="0.39997558519241921"/>
    <pageSetUpPr fitToPage="1"/>
  </sheetPr>
  <dimension ref="A1:DO200"/>
  <sheetViews>
    <sheetView showGridLines="0" zoomScaleNormal="100" zoomScaleSheetLayoutView="100" workbookViewId="0">
      <pane xSplit="1" ySplit="5" topLeftCell="B6" activePane="bottomRight" state="frozen"/>
      <selection pane="topRight"/>
      <selection pane="bottomLeft"/>
      <selection pane="bottomRight"/>
    </sheetView>
  </sheetViews>
  <sheetFormatPr defaultColWidth="16.140625" defaultRowHeight="15" x14ac:dyDescent="0.25"/>
  <cols>
    <col min="1" max="1" width="25.7109375" style="90" customWidth="1"/>
    <col min="2" max="3" width="12.7109375" style="91" customWidth="1"/>
    <col min="4" max="4" width="10.7109375" style="92" customWidth="1"/>
    <col min="5" max="5" width="15.7109375" style="92" customWidth="1"/>
    <col min="6" max="6" width="23.7109375" style="92" customWidth="1"/>
    <col min="7" max="7" width="11.7109375" style="92" customWidth="1"/>
    <col min="8" max="8" width="30.7109375" style="92" customWidth="1"/>
    <col min="9" max="9" width="13.7109375" style="116" customWidth="1"/>
    <col min="10" max="11" width="13.7109375" style="93" customWidth="1"/>
    <col min="12" max="12" width="30.7109375" style="93" customWidth="1"/>
    <col min="13" max="13" width="16.140625" customWidth="1"/>
    <col min="14" max="15" width="13.7109375" style="93" customWidth="1"/>
    <col min="16" max="16" width="30.7109375" style="93" customWidth="1"/>
    <col min="17" max="17" width="13.7109375" style="93" customWidth="1"/>
    <col min="18" max="18" width="30.7109375" style="93" customWidth="1"/>
    <col min="19" max="19" width="13.7109375" style="90" hidden="1" customWidth="1"/>
    <col min="20" max="20" width="10.7109375" style="92" hidden="1" customWidth="1"/>
    <col min="21" max="21" width="2.7109375" style="343" hidden="1" customWidth="1"/>
    <col min="22" max="116" width="2.7109375" style="92" hidden="1" customWidth="1"/>
    <col min="117" max="117" width="10.7109375" style="92" hidden="1" customWidth="1"/>
    <col min="118" max="119" width="9.7109375" style="43" customWidth="1"/>
    <col min="120" max="16384" width="16.140625" style="43"/>
  </cols>
  <sheetData>
    <row r="1" spans="1:119" s="162" customFormat="1" ht="21" x14ac:dyDescent="0.35">
      <c r="A1" s="150" t="s">
        <v>11</v>
      </c>
      <c r="B1" s="153"/>
      <c r="C1" s="153"/>
      <c r="D1" s="156"/>
      <c r="E1" s="154"/>
      <c r="F1" s="155"/>
      <c r="G1" s="155"/>
      <c r="H1" s="156"/>
      <c r="K1" s="163"/>
      <c r="L1" s="219"/>
      <c r="M1" s="163"/>
      <c r="O1" s="163"/>
      <c r="P1" s="219"/>
      <c r="Q1" s="389"/>
      <c r="R1" s="157"/>
      <c r="S1" s="150"/>
      <c r="T1" s="154"/>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9"/>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59"/>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59"/>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1"/>
    </row>
    <row r="2" spans="1:119" s="192" customFormat="1" ht="17.25" x14ac:dyDescent="0.3">
      <c r="A2" s="225" t="s">
        <v>217</v>
      </c>
      <c r="B2" s="226"/>
      <c r="C2" s="226"/>
      <c r="D2" s="227"/>
      <c r="E2" s="228" t="s">
        <v>14</v>
      </c>
      <c r="F2" s="228"/>
      <c r="G2" s="228"/>
      <c r="H2" s="229"/>
      <c r="I2" s="234" t="s">
        <v>26</v>
      </c>
      <c r="J2" s="235"/>
      <c r="K2" s="235"/>
      <c r="L2" s="236"/>
      <c r="M2" s="237" t="s">
        <v>25</v>
      </c>
      <c r="N2" s="238"/>
      <c r="O2" s="238"/>
      <c r="P2" s="239"/>
      <c r="Q2" s="390"/>
      <c r="R2" s="230"/>
      <c r="S2" s="225"/>
      <c r="T2" s="228"/>
      <c r="U2" s="231" t="s">
        <v>108</v>
      </c>
      <c r="V2" s="231"/>
      <c r="W2" s="231"/>
      <c r="X2" s="231"/>
      <c r="Y2" s="231"/>
      <c r="Z2" s="231"/>
      <c r="AA2" s="231"/>
      <c r="AB2" s="231"/>
      <c r="AC2" s="231"/>
      <c r="AD2" s="231"/>
      <c r="AE2" s="231"/>
      <c r="AF2" s="231"/>
      <c r="AG2" s="231"/>
      <c r="AH2" s="231"/>
      <c r="AI2" s="231"/>
      <c r="AJ2" s="231"/>
      <c r="AK2" s="231"/>
      <c r="AL2" s="231"/>
      <c r="AM2" s="231"/>
      <c r="AN2" s="231"/>
      <c r="AO2" s="231"/>
      <c r="AP2" s="231"/>
      <c r="AQ2" s="231"/>
      <c r="AR2" s="232"/>
      <c r="AS2" s="231" t="s">
        <v>109</v>
      </c>
      <c r="AT2" s="231"/>
      <c r="AU2" s="231"/>
      <c r="AV2" s="231"/>
      <c r="AW2" s="231"/>
      <c r="AX2" s="231"/>
      <c r="AY2" s="231"/>
      <c r="AZ2" s="231"/>
      <c r="BA2" s="231"/>
      <c r="BB2" s="231"/>
      <c r="BC2" s="231"/>
      <c r="BD2" s="231"/>
      <c r="BE2" s="231"/>
      <c r="BF2" s="231"/>
      <c r="BG2" s="231"/>
      <c r="BH2" s="231"/>
      <c r="BI2" s="231"/>
      <c r="BJ2" s="231"/>
      <c r="BK2" s="231"/>
      <c r="BL2" s="231"/>
      <c r="BM2" s="231"/>
      <c r="BN2" s="231"/>
      <c r="BO2" s="231"/>
      <c r="BP2" s="232"/>
      <c r="BQ2" s="231" t="s">
        <v>110</v>
      </c>
      <c r="BR2" s="231"/>
      <c r="BS2" s="231"/>
      <c r="BT2" s="231"/>
      <c r="BU2" s="231"/>
      <c r="BV2" s="231"/>
      <c r="BW2" s="231"/>
      <c r="BX2" s="231"/>
      <c r="BY2" s="231"/>
      <c r="BZ2" s="231"/>
      <c r="CA2" s="231"/>
      <c r="CB2" s="231"/>
      <c r="CC2" s="231"/>
      <c r="CD2" s="231"/>
      <c r="CE2" s="231"/>
      <c r="CF2" s="231"/>
      <c r="CG2" s="231"/>
      <c r="CH2" s="231"/>
      <c r="CI2" s="231"/>
      <c r="CJ2" s="231"/>
      <c r="CK2" s="231"/>
      <c r="CL2" s="231"/>
      <c r="CM2" s="231"/>
      <c r="CN2" s="232"/>
      <c r="CO2" s="231" t="s">
        <v>111</v>
      </c>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3"/>
      <c r="DN2" s="240" t="s">
        <v>184</v>
      </c>
      <c r="DO2" s="240"/>
    </row>
    <row r="3" spans="1:119" s="80" customFormat="1" x14ac:dyDescent="0.25">
      <c r="A3" s="77"/>
      <c r="B3" s="78"/>
      <c r="C3" s="78"/>
      <c r="D3" s="215"/>
      <c r="E3" s="87"/>
      <c r="F3" s="87"/>
      <c r="G3" s="87"/>
      <c r="H3" s="94"/>
      <c r="I3" s="114"/>
      <c r="J3" s="114"/>
      <c r="K3" s="114"/>
      <c r="L3" s="220"/>
      <c r="M3" s="115"/>
      <c r="N3" s="115"/>
      <c r="O3" s="115"/>
      <c r="P3" s="223"/>
      <c r="Q3" s="391"/>
      <c r="R3" s="79"/>
      <c r="S3" s="77"/>
      <c r="T3" s="87"/>
      <c r="U3" s="558">
        <f>Summary!L5</f>
        <v>2018</v>
      </c>
      <c r="V3" s="558" t="str">
        <f>Summary!M5</f>
        <v/>
      </c>
      <c r="W3" s="558" t="str">
        <f>Summary!N5</f>
        <v/>
      </c>
      <c r="X3" s="558" t="str">
        <f>Summary!O5</f>
        <v/>
      </c>
      <c r="Y3" s="558" t="str">
        <f>Summary!P5</f>
        <v/>
      </c>
      <c r="Z3" s="558" t="str">
        <f>Summary!Q5</f>
        <v/>
      </c>
      <c r="AA3" s="558" t="str">
        <f>Summary!R5</f>
        <v/>
      </c>
      <c r="AB3" s="558" t="str">
        <f>Summary!S5</f>
        <v/>
      </c>
      <c r="AC3" s="558" t="str">
        <f>Summary!T5</f>
        <v/>
      </c>
      <c r="AD3" s="558" t="str">
        <f>Summary!U5</f>
        <v/>
      </c>
      <c r="AE3" s="558" t="str">
        <f>Summary!V5</f>
        <v/>
      </c>
      <c r="AF3" s="558">
        <f>Summary!W5</f>
        <v>2019</v>
      </c>
      <c r="AG3" s="558" t="str">
        <f>Summary!X5</f>
        <v/>
      </c>
      <c r="AH3" s="558" t="str">
        <f>Summary!Y5</f>
        <v/>
      </c>
      <c r="AI3" s="558" t="str">
        <f>Summary!Z5</f>
        <v/>
      </c>
      <c r="AJ3" s="558" t="str">
        <f>Summary!AA5</f>
        <v/>
      </c>
      <c r="AK3" s="558" t="str">
        <f>Summary!AB5</f>
        <v/>
      </c>
      <c r="AL3" s="558" t="str">
        <f>Summary!AC5</f>
        <v/>
      </c>
      <c r="AM3" s="558" t="str">
        <f>Summary!AD5</f>
        <v/>
      </c>
      <c r="AN3" s="558" t="str">
        <f>Summary!AE5</f>
        <v/>
      </c>
      <c r="AO3" s="558" t="str">
        <f>Summary!AF5</f>
        <v/>
      </c>
      <c r="AP3" s="558" t="str">
        <f>Summary!AG5</f>
        <v/>
      </c>
      <c r="AQ3" s="558" t="str">
        <f>Summary!AH5</f>
        <v/>
      </c>
      <c r="AR3" s="183">
        <f>Summary!AI5</f>
        <v>2020</v>
      </c>
      <c r="AS3" s="117">
        <f>Summary!L5</f>
        <v>2018</v>
      </c>
      <c r="AT3" s="117" t="str">
        <f>Summary!M5</f>
        <v/>
      </c>
      <c r="AU3" s="117" t="str">
        <f>Summary!N5</f>
        <v/>
      </c>
      <c r="AV3" s="117" t="str">
        <f>Summary!O5</f>
        <v/>
      </c>
      <c r="AW3" s="117" t="str">
        <f>Summary!P5</f>
        <v/>
      </c>
      <c r="AX3" s="117" t="str">
        <f>Summary!Q5</f>
        <v/>
      </c>
      <c r="AY3" s="117" t="str">
        <f>Summary!R5</f>
        <v/>
      </c>
      <c r="AZ3" s="117" t="str">
        <f>Summary!S5</f>
        <v/>
      </c>
      <c r="BA3" s="117" t="str">
        <f>Summary!T5</f>
        <v/>
      </c>
      <c r="BB3" s="117" t="str">
        <f>Summary!U5</f>
        <v/>
      </c>
      <c r="BC3" s="117" t="str">
        <f>Summary!V5</f>
        <v/>
      </c>
      <c r="BD3" s="117">
        <f>Summary!W5</f>
        <v>2019</v>
      </c>
      <c r="BE3" s="117" t="str">
        <f>Summary!X5</f>
        <v/>
      </c>
      <c r="BF3" s="117" t="str">
        <f>Summary!Y5</f>
        <v/>
      </c>
      <c r="BG3" s="117" t="str">
        <f>Summary!Z5</f>
        <v/>
      </c>
      <c r="BH3" s="117" t="str">
        <f>Summary!AA5</f>
        <v/>
      </c>
      <c r="BI3" s="117" t="str">
        <f>Summary!AB5</f>
        <v/>
      </c>
      <c r="BJ3" s="117" t="str">
        <f>Summary!AC5</f>
        <v/>
      </c>
      <c r="BK3" s="117" t="str">
        <f>Summary!AD5</f>
        <v/>
      </c>
      <c r="BL3" s="117" t="str">
        <f>Summary!AE5</f>
        <v/>
      </c>
      <c r="BM3" s="117" t="str">
        <f>Summary!AF5</f>
        <v/>
      </c>
      <c r="BN3" s="117" t="str">
        <f>Summary!AG5</f>
        <v/>
      </c>
      <c r="BO3" s="117" t="str">
        <f>Summary!AH5</f>
        <v/>
      </c>
      <c r="BP3" s="118">
        <f>Summary!AI5</f>
        <v>2020</v>
      </c>
      <c r="BQ3" s="117">
        <f>Summary!L5</f>
        <v>2018</v>
      </c>
      <c r="BR3" s="117" t="str">
        <f>Summary!M5</f>
        <v/>
      </c>
      <c r="BS3" s="117" t="str">
        <f>Summary!N5</f>
        <v/>
      </c>
      <c r="BT3" s="117" t="str">
        <f>Summary!O5</f>
        <v/>
      </c>
      <c r="BU3" s="117" t="str">
        <f>Summary!P5</f>
        <v/>
      </c>
      <c r="BV3" s="117" t="str">
        <f>Summary!Q5</f>
        <v/>
      </c>
      <c r="BW3" s="117" t="str">
        <f>Summary!R5</f>
        <v/>
      </c>
      <c r="BX3" s="117" t="str">
        <f>Summary!S5</f>
        <v/>
      </c>
      <c r="BY3" s="117" t="str">
        <f>Summary!T5</f>
        <v/>
      </c>
      <c r="BZ3" s="117" t="str">
        <f>Summary!U5</f>
        <v/>
      </c>
      <c r="CA3" s="117" t="str">
        <f>Summary!V5</f>
        <v/>
      </c>
      <c r="CB3" s="117">
        <f>Summary!W5</f>
        <v>2019</v>
      </c>
      <c r="CC3" s="117" t="str">
        <f>Summary!X5</f>
        <v/>
      </c>
      <c r="CD3" s="117" t="str">
        <f>Summary!Y5</f>
        <v/>
      </c>
      <c r="CE3" s="117" t="str">
        <f>Summary!Z5</f>
        <v/>
      </c>
      <c r="CF3" s="117" t="str">
        <f>Summary!AA5</f>
        <v/>
      </c>
      <c r="CG3" s="117" t="str">
        <f>Summary!AB5</f>
        <v/>
      </c>
      <c r="CH3" s="117" t="str">
        <f>Summary!AC5</f>
        <v/>
      </c>
      <c r="CI3" s="117" t="str">
        <f>Summary!AD5</f>
        <v/>
      </c>
      <c r="CJ3" s="117" t="str">
        <f>Summary!AE5</f>
        <v/>
      </c>
      <c r="CK3" s="117" t="str">
        <f>Summary!AF5</f>
        <v/>
      </c>
      <c r="CL3" s="117" t="str">
        <f>Summary!AG5</f>
        <v/>
      </c>
      <c r="CM3" s="117" t="str">
        <f>Summary!AH5</f>
        <v/>
      </c>
      <c r="CN3" s="118">
        <f>Summary!AI5</f>
        <v>2020</v>
      </c>
      <c r="CO3" s="117">
        <f>Summary!L5</f>
        <v>2018</v>
      </c>
      <c r="CP3" s="117" t="str">
        <f>Summary!M5</f>
        <v/>
      </c>
      <c r="CQ3" s="117" t="str">
        <f>Summary!N5</f>
        <v/>
      </c>
      <c r="CR3" s="117" t="str">
        <f>Summary!O5</f>
        <v/>
      </c>
      <c r="CS3" s="117" t="str">
        <f>Summary!P5</f>
        <v/>
      </c>
      <c r="CT3" s="117" t="str">
        <f>Summary!Q5</f>
        <v/>
      </c>
      <c r="CU3" s="117" t="str">
        <f>Summary!R5</f>
        <v/>
      </c>
      <c r="CV3" s="117" t="str">
        <f>Summary!S5</f>
        <v/>
      </c>
      <c r="CW3" s="117" t="str">
        <f>Summary!T5</f>
        <v/>
      </c>
      <c r="CX3" s="117" t="str">
        <f>Summary!U5</f>
        <v/>
      </c>
      <c r="CY3" s="117" t="str">
        <f>Summary!V5</f>
        <v/>
      </c>
      <c r="CZ3" s="117">
        <f>Summary!W5</f>
        <v>2019</v>
      </c>
      <c r="DA3" s="117" t="str">
        <f>Summary!X5</f>
        <v/>
      </c>
      <c r="DB3" s="117" t="str">
        <f>Summary!Y5</f>
        <v/>
      </c>
      <c r="DC3" s="117" t="str">
        <f>Summary!Z5</f>
        <v/>
      </c>
      <c r="DD3" s="117" t="str">
        <f>Summary!AA5</f>
        <v/>
      </c>
      <c r="DE3" s="117" t="str">
        <f>Summary!AB5</f>
        <v/>
      </c>
      <c r="DF3" s="117" t="str">
        <f>Summary!AC5</f>
        <v/>
      </c>
      <c r="DG3" s="117" t="str">
        <f>Summary!AD5</f>
        <v/>
      </c>
      <c r="DH3" s="117" t="str">
        <f>Summary!AE5</f>
        <v/>
      </c>
      <c r="DI3" s="117" t="str">
        <f>Summary!AF5</f>
        <v/>
      </c>
      <c r="DJ3" s="117" t="str">
        <f>Summary!AG5</f>
        <v/>
      </c>
      <c r="DK3" s="117" t="str">
        <f>Summary!AH5</f>
        <v/>
      </c>
      <c r="DL3" s="117">
        <f>Summary!AI5</f>
        <v>2020</v>
      </c>
      <c r="DM3" s="118"/>
      <c r="DN3" s="208"/>
      <c r="DO3" s="208"/>
    </row>
    <row r="4" spans="1:119" s="80" customFormat="1" x14ac:dyDescent="0.25">
      <c r="A4" s="77" t="s">
        <v>115</v>
      </c>
      <c r="B4" s="78" t="s">
        <v>115</v>
      </c>
      <c r="C4" s="78" t="s">
        <v>115</v>
      </c>
      <c r="D4" s="215" t="s">
        <v>115</v>
      </c>
      <c r="E4" s="87" t="s">
        <v>117</v>
      </c>
      <c r="F4" s="87" t="s">
        <v>115</v>
      </c>
      <c r="G4" s="87" t="s">
        <v>117</v>
      </c>
      <c r="H4" s="94" t="s">
        <v>117</v>
      </c>
      <c r="I4" s="114" t="s">
        <v>115</v>
      </c>
      <c r="J4" s="114" t="s">
        <v>115</v>
      </c>
      <c r="K4" s="114" t="s">
        <v>115</v>
      </c>
      <c r="L4" s="220" t="s">
        <v>117</v>
      </c>
      <c r="M4" s="115" t="s">
        <v>115</v>
      </c>
      <c r="N4" s="115" t="s">
        <v>115</v>
      </c>
      <c r="O4" s="115" t="s">
        <v>115</v>
      </c>
      <c r="P4" s="223" t="s">
        <v>117</v>
      </c>
      <c r="Q4" s="392" t="s">
        <v>115</v>
      </c>
      <c r="R4" s="96" t="s">
        <v>117</v>
      </c>
      <c r="S4" s="77" t="s">
        <v>116</v>
      </c>
      <c r="T4" s="87" t="s">
        <v>116</v>
      </c>
      <c r="U4" s="559">
        <f>Summary!L7</f>
        <v>43132</v>
      </c>
      <c r="V4" s="559">
        <f>Summary!M7</f>
        <v>43160</v>
      </c>
      <c r="W4" s="559">
        <f>Summary!N7</f>
        <v>43191</v>
      </c>
      <c r="X4" s="559">
        <f>Summary!O7</f>
        <v>43221</v>
      </c>
      <c r="Y4" s="559">
        <f>Summary!P7</f>
        <v>43252</v>
      </c>
      <c r="Z4" s="559">
        <f>Summary!Q7</f>
        <v>43282</v>
      </c>
      <c r="AA4" s="559">
        <f>Summary!R7</f>
        <v>43313</v>
      </c>
      <c r="AB4" s="559">
        <f>Summary!S7</f>
        <v>43344</v>
      </c>
      <c r="AC4" s="559">
        <f>Summary!T7</f>
        <v>43374</v>
      </c>
      <c r="AD4" s="559">
        <f>Summary!U7</f>
        <v>43405</v>
      </c>
      <c r="AE4" s="559">
        <f>Summary!V7</f>
        <v>43435</v>
      </c>
      <c r="AF4" s="559">
        <f>Summary!W7</f>
        <v>43466</v>
      </c>
      <c r="AG4" s="559">
        <f>Summary!X7</f>
        <v>43497</v>
      </c>
      <c r="AH4" s="559">
        <f>Summary!Y7</f>
        <v>43525</v>
      </c>
      <c r="AI4" s="559">
        <f>Summary!Z7</f>
        <v>43556</v>
      </c>
      <c r="AJ4" s="559">
        <f>Summary!AA7</f>
        <v>43586</v>
      </c>
      <c r="AK4" s="559">
        <f>Summary!AB7</f>
        <v>43617</v>
      </c>
      <c r="AL4" s="559">
        <f>Summary!AC7</f>
        <v>43647</v>
      </c>
      <c r="AM4" s="559">
        <f>Summary!AD7</f>
        <v>43678</v>
      </c>
      <c r="AN4" s="559">
        <f>Summary!AE7</f>
        <v>43709</v>
      </c>
      <c r="AO4" s="559">
        <f>Summary!AF7</f>
        <v>43739</v>
      </c>
      <c r="AP4" s="559">
        <f>Summary!AG7</f>
        <v>43770</v>
      </c>
      <c r="AQ4" s="559">
        <f>Summary!AH7</f>
        <v>43800</v>
      </c>
      <c r="AR4" s="560">
        <f>Summary!AI7</f>
        <v>43831</v>
      </c>
      <c r="AS4" s="559">
        <f>Summary!L7</f>
        <v>43132</v>
      </c>
      <c r="AT4" s="559">
        <f>Summary!M7</f>
        <v>43160</v>
      </c>
      <c r="AU4" s="559">
        <f>Summary!N7</f>
        <v>43191</v>
      </c>
      <c r="AV4" s="559">
        <f>Summary!O7</f>
        <v>43221</v>
      </c>
      <c r="AW4" s="559">
        <f>Summary!P7</f>
        <v>43252</v>
      </c>
      <c r="AX4" s="559">
        <f>Summary!Q7</f>
        <v>43282</v>
      </c>
      <c r="AY4" s="559">
        <f>Summary!R7</f>
        <v>43313</v>
      </c>
      <c r="AZ4" s="559">
        <f>Summary!S7</f>
        <v>43344</v>
      </c>
      <c r="BA4" s="559">
        <f>Summary!T7</f>
        <v>43374</v>
      </c>
      <c r="BB4" s="559">
        <f>Summary!U7</f>
        <v>43405</v>
      </c>
      <c r="BC4" s="559">
        <f>Summary!V7</f>
        <v>43435</v>
      </c>
      <c r="BD4" s="559">
        <f>Summary!W7</f>
        <v>43466</v>
      </c>
      <c r="BE4" s="559">
        <f>Summary!X7</f>
        <v>43497</v>
      </c>
      <c r="BF4" s="559">
        <f>Summary!Y7</f>
        <v>43525</v>
      </c>
      <c r="BG4" s="559">
        <f>Summary!Z7</f>
        <v>43556</v>
      </c>
      <c r="BH4" s="559">
        <f>Summary!AA7</f>
        <v>43586</v>
      </c>
      <c r="BI4" s="559">
        <f>Summary!AB7</f>
        <v>43617</v>
      </c>
      <c r="BJ4" s="559">
        <f>Summary!AC7</f>
        <v>43647</v>
      </c>
      <c r="BK4" s="559">
        <f>Summary!AD7</f>
        <v>43678</v>
      </c>
      <c r="BL4" s="559">
        <f>Summary!AE7</f>
        <v>43709</v>
      </c>
      <c r="BM4" s="559">
        <f>Summary!AF7</f>
        <v>43739</v>
      </c>
      <c r="BN4" s="559">
        <f>Summary!AG7</f>
        <v>43770</v>
      </c>
      <c r="BO4" s="559">
        <f>Summary!AH7</f>
        <v>43800</v>
      </c>
      <c r="BP4" s="560">
        <f>Summary!AI7</f>
        <v>43831</v>
      </c>
      <c r="BQ4" s="559">
        <f>Summary!L7</f>
        <v>43132</v>
      </c>
      <c r="BR4" s="559">
        <f>Summary!M7</f>
        <v>43160</v>
      </c>
      <c r="BS4" s="559">
        <f>Summary!N7</f>
        <v>43191</v>
      </c>
      <c r="BT4" s="559">
        <f>Summary!O7</f>
        <v>43221</v>
      </c>
      <c r="BU4" s="559">
        <f>Summary!P7</f>
        <v>43252</v>
      </c>
      <c r="BV4" s="559">
        <f>Summary!Q7</f>
        <v>43282</v>
      </c>
      <c r="BW4" s="559">
        <f>Summary!R7</f>
        <v>43313</v>
      </c>
      <c r="BX4" s="559">
        <f>Summary!S7</f>
        <v>43344</v>
      </c>
      <c r="BY4" s="559">
        <f>Summary!T7</f>
        <v>43374</v>
      </c>
      <c r="BZ4" s="559">
        <f>Summary!U7</f>
        <v>43405</v>
      </c>
      <c r="CA4" s="559">
        <f>Summary!V7</f>
        <v>43435</v>
      </c>
      <c r="CB4" s="559">
        <f>Summary!W7</f>
        <v>43466</v>
      </c>
      <c r="CC4" s="559">
        <f>Summary!X7</f>
        <v>43497</v>
      </c>
      <c r="CD4" s="559">
        <f>Summary!Y7</f>
        <v>43525</v>
      </c>
      <c r="CE4" s="559">
        <f>Summary!Z7</f>
        <v>43556</v>
      </c>
      <c r="CF4" s="559">
        <f>Summary!AA7</f>
        <v>43586</v>
      </c>
      <c r="CG4" s="559">
        <f>Summary!AB7</f>
        <v>43617</v>
      </c>
      <c r="CH4" s="559">
        <f>Summary!AC7</f>
        <v>43647</v>
      </c>
      <c r="CI4" s="559">
        <f>Summary!AD7</f>
        <v>43678</v>
      </c>
      <c r="CJ4" s="559">
        <f>Summary!AE7</f>
        <v>43709</v>
      </c>
      <c r="CK4" s="559">
        <f>Summary!AF7</f>
        <v>43739</v>
      </c>
      <c r="CL4" s="559">
        <f>Summary!AG7</f>
        <v>43770</v>
      </c>
      <c r="CM4" s="559">
        <f>Summary!AH7</f>
        <v>43800</v>
      </c>
      <c r="CN4" s="560">
        <f>Summary!AI7</f>
        <v>43831</v>
      </c>
      <c r="CO4" s="559">
        <f>Summary!L7</f>
        <v>43132</v>
      </c>
      <c r="CP4" s="559">
        <f>Summary!M7</f>
        <v>43160</v>
      </c>
      <c r="CQ4" s="559">
        <f>Summary!N7</f>
        <v>43191</v>
      </c>
      <c r="CR4" s="559">
        <f>Summary!O7</f>
        <v>43221</v>
      </c>
      <c r="CS4" s="559">
        <f>Summary!P7</f>
        <v>43252</v>
      </c>
      <c r="CT4" s="559">
        <f>Summary!Q7</f>
        <v>43282</v>
      </c>
      <c r="CU4" s="559">
        <f>Summary!R7</f>
        <v>43313</v>
      </c>
      <c r="CV4" s="559">
        <f>Summary!S7</f>
        <v>43344</v>
      </c>
      <c r="CW4" s="559">
        <f>Summary!T7</f>
        <v>43374</v>
      </c>
      <c r="CX4" s="559">
        <f>Summary!U7</f>
        <v>43405</v>
      </c>
      <c r="CY4" s="559">
        <f>Summary!V7</f>
        <v>43435</v>
      </c>
      <c r="CZ4" s="559">
        <f>Summary!W7</f>
        <v>43466</v>
      </c>
      <c r="DA4" s="559">
        <f>Summary!X7</f>
        <v>43497</v>
      </c>
      <c r="DB4" s="559">
        <f>Summary!Y7</f>
        <v>43525</v>
      </c>
      <c r="DC4" s="559">
        <f>Summary!Z7</f>
        <v>43556</v>
      </c>
      <c r="DD4" s="559">
        <f>Summary!AA7</f>
        <v>43586</v>
      </c>
      <c r="DE4" s="559">
        <f>Summary!AB7</f>
        <v>43617</v>
      </c>
      <c r="DF4" s="559">
        <f>Summary!AC7</f>
        <v>43647</v>
      </c>
      <c r="DG4" s="559">
        <f>Summary!AD7</f>
        <v>43678</v>
      </c>
      <c r="DH4" s="559">
        <f>Summary!AE7</f>
        <v>43709</v>
      </c>
      <c r="DI4" s="559">
        <f>Summary!AF7</f>
        <v>43739</v>
      </c>
      <c r="DJ4" s="559">
        <f>Summary!AG7</f>
        <v>43770</v>
      </c>
      <c r="DK4" s="559">
        <f>Summary!AH7</f>
        <v>43800</v>
      </c>
      <c r="DL4" s="559">
        <f>Summary!AI7</f>
        <v>43831</v>
      </c>
      <c r="DM4" s="183" t="s">
        <v>116</v>
      </c>
      <c r="DN4" s="208" t="s">
        <v>116</v>
      </c>
      <c r="DO4" s="208" t="s">
        <v>116</v>
      </c>
    </row>
    <row r="5" spans="1:119" s="72" customFormat="1" ht="45" x14ac:dyDescent="0.25">
      <c r="A5" s="70" t="s">
        <v>508</v>
      </c>
      <c r="B5" s="71" t="s">
        <v>502</v>
      </c>
      <c r="C5" s="71" t="s">
        <v>503</v>
      </c>
      <c r="D5" s="216" t="s">
        <v>4</v>
      </c>
      <c r="E5" s="88" t="s">
        <v>126</v>
      </c>
      <c r="F5" s="88" t="s">
        <v>200</v>
      </c>
      <c r="G5" s="88" t="s">
        <v>159</v>
      </c>
      <c r="H5" s="95" t="s">
        <v>501</v>
      </c>
      <c r="I5" s="126" t="s">
        <v>500</v>
      </c>
      <c r="J5" s="126" t="s">
        <v>186</v>
      </c>
      <c r="K5" s="126" t="s">
        <v>196</v>
      </c>
      <c r="L5" s="221" t="s">
        <v>506</v>
      </c>
      <c r="M5" s="127" t="s">
        <v>504</v>
      </c>
      <c r="N5" s="127" t="s">
        <v>187</v>
      </c>
      <c r="O5" s="127" t="s">
        <v>195</v>
      </c>
      <c r="P5" s="224" t="s">
        <v>505</v>
      </c>
      <c r="Q5" s="393" t="s">
        <v>27</v>
      </c>
      <c r="R5" s="75" t="s">
        <v>507</v>
      </c>
      <c r="S5" s="70" t="s">
        <v>12</v>
      </c>
      <c r="T5" s="88" t="s">
        <v>102</v>
      </c>
      <c r="U5" s="124" t="s">
        <v>29</v>
      </c>
      <c r="V5" s="124" t="s">
        <v>30</v>
      </c>
      <c r="W5" s="124" t="s">
        <v>31</v>
      </c>
      <c r="X5" s="124" t="s">
        <v>32</v>
      </c>
      <c r="Y5" s="124" t="s">
        <v>33</v>
      </c>
      <c r="Z5" s="124" t="s">
        <v>34</v>
      </c>
      <c r="AA5" s="124" t="s">
        <v>35</v>
      </c>
      <c r="AB5" s="124" t="s">
        <v>36</v>
      </c>
      <c r="AC5" s="124" t="s">
        <v>37</v>
      </c>
      <c r="AD5" s="124" t="s">
        <v>38</v>
      </c>
      <c r="AE5" s="124" t="s">
        <v>39</v>
      </c>
      <c r="AF5" s="124" t="s">
        <v>40</v>
      </c>
      <c r="AG5" s="124" t="s">
        <v>41</v>
      </c>
      <c r="AH5" s="124" t="s">
        <v>42</v>
      </c>
      <c r="AI5" s="124" t="s">
        <v>43</v>
      </c>
      <c r="AJ5" s="124" t="s">
        <v>44</v>
      </c>
      <c r="AK5" s="124" t="s">
        <v>45</v>
      </c>
      <c r="AL5" s="124" t="s">
        <v>46</v>
      </c>
      <c r="AM5" s="124" t="s">
        <v>47</v>
      </c>
      <c r="AN5" s="124" t="s">
        <v>48</v>
      </c>
      <c r="AO5" s="124" t="s">
        <v>49</v>
      </c>
      <c r="AP5" s="124" t="s">
        <v>50</v>
      </c>
      <c r="AQ5" s="124" t="s">
        <v>51</v>
      </c>
      <c r="AR5" s="125" t="s">
        <v>52</v>
      </c>
      <c r="AS5" s="124" t="s">
        <v>367</v>
      </c>
      <c r="AT5" s="124" t="s">
        <v>368</v>
      </c>
      <c r="AU5" s="124" t="s">
        <v>369</v>
      </c>
      <c r="AV5" s="124" t="s">
        <v>370</v>
      </c>
      <c r="AW5" s="124" t="s">
        <v>371</v>
      </c>
      <c r="AX5" s="124" t="s">
        <v>372</v>
      </c>
      <c r="AY5" s="124" t="s">
        <v>373</v>
      </c>
      <c r="AZ5" s="124" t="s">
        <v>374</v>
      </c>
      <c r="BA5" s="124" t="s">
        <v>375</v>
      </c>
      <c r="BB5" s="124" t="s">
        <v>376</v>
      </c>
      <c r="BC5" s="124" t="s">
        <v>377</v>
      </c>
      <c r="BD5" s="124" t="s">
        <v>378</v>
      </c>
      <c r="BE5" s="124" t="s">
        <v>379</v>
      </c>
      <c r="BF5" s="124" t="s">
        <v>380</v>
      </c>
      <c r="BG5" s="124" t="s">
        <v>381</v>
      </c>
      <c r="BH5" s="124" t="s">
        <v>382</v>
      </c>
      <c r="BI5" s="124" t="s">
        <v>383</v>
      </c>
      <c r="BJ5" s="124" t="s">
        <v>384</v>
      </c>
      <c r="BK5" s="124" t="s">
        <v>385</v>
      </c>
      <c r="BL5" s="124" t="s">
        <v>386</v>
      </c>
      <c r="BM5" s="124" t="s">
        <v>387</v>
      </c>
      <c r="BN5" s="124" t="s">
        <v>388</v>
      </c>
      <c r="BO5" s="124" t="s">
        <v>389</v>
      </c>
      <c r="BP5" s="125" t="s">
        <v>390</v>
      </c>
      <c r="BQ5" s="124" t="s">
        <v>391</v>
      </c>
      <c r="BR5" s="124" t="s">
        <v>392</v>
      </c>
      <c r="BS5" s="124" t="s">
        <v>393</v>
      </c>
      <c r="BT5" s="124" t="s">
        <v>394</v>
      </c>
      <c r="BU5" s="124" t="s">
        <v>395</v>
      </c>
      <c r="BV5" s="124" t="s">
        <v>396</v>
      </c>
      <c r="BW5" s="124" t="s">
        <v>397</v>
      </c>
      <c r="BX5" s="124" t="s">
        <v>398</v>
      </c>
      <c r="BY5" s="124" t="s">
        <v>399</v>
      </c>
      <c r="BZ5" s="124" t="s">
        <v>400</v>
      </c>
      <c r="CA5" s="124" t="s">
        <v>401</v>
      </c>
      <c r="CB5" s="124" t="s">
        <v>402</v>
      </c>
      <c r="CC5" s="124" t="s">
        <v>403</v>
      </c>
      <c r="CD5" s="124" t="s">
        <v>404</v>
      </c>
      <c r="CE5" s="124" t="s">
        <v>405</v>
      </c>
      <c r="CF5" s="124" t="s">
        <v>406</v>
      </c>
      <c r="CG5" s="124" t="s">
        <v>407</v>
      </c>
      <c r="CH5" s="124" t="s">
        <v>408</v>
      </c>
      <c r="CI5" s="124" t="s">
        <v>409</v>
      </c>
      <c r="CJ5" s="124" t="s">
        <v>410</v>
      </c>
      <c r="CK5" s="124" t="s">
        <v>411</v>
      </c>
      <c r="CL5" s="124" t="s">
        <v>412</v>
      </c>
      <c r="CM5" s="124" t="s">
        <v>413</v>
      </c>
      <c r="CN5" s="125" t="s">
        <v>414</v>
      </c>
      <c r="CO5" s="124" t="s">
        <v>415</v>
      </c>
      <c r="CP5" s="124" t="s">
        <v>416</v>
      </c>
      <c r="CQ5" s="124" t="s">
        <v>417</v>
      </c>
      <c r="CR5" s="124" t="s">
        <v>418</v>
      </c>
      <c r="CS5" s="124" t="s">
        <v>419</v>
      </c>
      <c r="CT5" s="124" t="s">
        <v>420</v>
      </c>
      <c r="CU5" s="124" t="s">
        <v>421</v>
      </c>
      <c r="CV5" s="124" t="s">
        <v>422</v>
      </c>
      <c r="CW5" s="124" t="s">
        <v>423</v>
      </c>
      <c r="CX5" s="124" t="s">
        <v>424</v>
      </c>
      <c r="CY5" s="124" t="s">
        <v>425</v>
      </c>
      <c r="CZ5" s="124" t="s">
        <v>426</v>
      </c>
      <c r="DA5" s="124" t="s">
        <v>427</v>
      </c>
      <c r="DB5" s="124" t="s">
        <v>428</v>
      </c>
      <c r="DC5" s="124" t="s">
        <v>429</v>
      </c>
      <c r="DD5" s="124" t="s">
        <v>430</v>
      </c>
      <c r="DE5" s="124" t="s">
        <v>431</v>
      </c>
      <c r="DF5" s="124" t="s">
        <v>432</v>
      </c>
      <c r="DG5" s="124" t="s">
        <v>433</v>
      </c>
      <c r="DH5" s="124" t="s">
        <v>434</v>
      </c>
      <c r="DI5" s="124" t="s">
        <v>435</v>
      </c>
      <c r="DJ5" s="124" t="s">
        <v>436</v>
      </c>
      <c r="DK5" s="124" t="s">
        <v>437</v>
      </c>
      <c r="DL5" s="124" t="s">
        <v>438</v>
      </c>
      <c r="DM5" s="184" t="s">
        <v>125</v>
      </c>
      <c r="DN5" s="209" t="s">
        <v>286</v>
      </c>
      <c r="DO5" s="209" t="s">
        <v>172</v>
      </c>
    </row>
    <row r="6" spans="1:119" x14ac:dyDescent="0.25">
      <c r="A6" s="177"/>
      <c r="B6" s="178"/>
      <c r="C6" s="178"/>
      <c r="D6" s="217"/>
      <c r="E6" s="179"/>
      <c r="F6" s="181"/>
      <c r="G6" s="181"/>
      <c r="H6" s="375"/>
      <c r="I6" s="185"/>
      <c r="J6" s="387"/>
      <c r="K6" s="178"/>
      <c r="L6" s="388"/>
      <c r="M6" s="185"/>
      <c r="N6" s="386"/>
      <c r="O6" s="178"/>
      <c r="P6" s="388"/>
      <c r="Q6" s="394"/>
      <c r="R6" s="388"/>
      <c r="S6" s="131" t="str">
        <f>IF(ISBLANK(Tbl_ResidentData[[#This Row],[Discharge '[mmm-yyyy']]]),IF(ISBLANK(Tbl_ResidentData[[#This Row],[Enrollment '[mmm-yyyy']]]),"","In Care Home"),"Discharged")</f>
        <v/>
      </c>
      <c r="T6" s="119" t="str">
        <f>IF(ISBLANK(Tbl_ResidentData[[#This Row],[Diagnosis (RAI)]]),IF(ISBLANK(Tbl_ResidentData[[#This Row],[Resident Name '[last, first']]]),"",0),IF(Tbl_ResidentData[[#This Row],[Diagnosis (RAI)]]="Other (see clinical notes)",0,1))</f>
        <v/>
      </c>
      <c r="U6" s="120" t="str">
        <f ca="1">IF(U$4&gt;NOW(),"-",IF(ISBLANK(Tbl_ResidentData[[#This Row],[Enrollment '[mmm-yyyy']]]),"-",AND((Tbl_ResidentData[[#This Row],[Enrollment '[mmm-yyyy']]]&lt;=U$4),IF(ISBLANK(Tbl_ResidentData[[#This Row],[Discharge '[mmm-yyyy']]]),TRUE,(Tbl_ResidentData[[#This Row],[Discharge '[mmm-yyyy']]]&gt;=U$4)))))</f>
        <v>-</v>
      </c>
      <c r="V6" s="121" t="str">
        <f ca="1">IF(V$4&gt;NOW(),"-",IF(ISBLANK(Tbl_ResidentData[[#This Row],[Enrollment '[mmm-yyyy']]]),"-",AND((Tbl_ResidentData[[#This Row],[Enrollment '[mmm-yyyy']]]&lt;=V$4),IF(ISBLANK(Tbl_ResidentData[[#This Row],[Discharge '[mmm-yyyy']]]),TRUE,(Tbl_ResidentData[[#This Row],[Discharge '[mmm-yyyy']]]&gt;=V$4)))))</f>
        <v>-</v>
      </c>
      <c r="W6" s="121" t="str">
        <f ca="1">IF(W$4&gt;NOW(),"-",IF(ISBLANK(Tbl_ResidentData[[#This Row],[Enrollment '[mmm-yyyy']]]),"-",AND((Tbl_ResidentData[[#This Row],[Enrollment '[mmm-yyyy']]]&lt;=W$4),IF(ISBLANK(Tbl_ResidentData[[#This Row],[Discharge '[mmm-yyyy']]]),TRUE,(Tbl_ResidentData[[#This Row],[Discharge '[mmm-yyyy']]]&gt;=W$4)))))</f>
        <v>-</v>
      </c>
      <c r="X6" s="121" t="str">
        <f ca="1">IF(X$4&gt;NOW(),"-",IF(ISBLANK(Tbl_ResidentData[[#This Row],[Enrollment '[mmm-yyyy']]]),"-",AND((Tbl_ResidentData[[#This Row],[Enrollment '[mmm-yyyy']]]&lt;=X$4),IF(ISBLANK(Tbl_ResidentData[[#This Row],[Discharge '[mmm-yyyy']]]),TRUE,(Tbl_ResidentData[[#This Row],[Discharge '[mmm-yyyy']]]&gt;=X$4)))))</f>
        <v>-</v>
      </c>
      <c r="Y6" s="121" t="str">
        <f ca="1">IF(Y$4&gt;NOW(),"-",IF(ISBLANK(Tbl_ResidentData[[#This Row],[Enrollment '[mmm-yyyy']]]),"-",AND((Tbl_ResidentData[[#This Row],[Enrollment '[mmm-yyyy']]]&lt;=Y$4),IF(ISBLANK(Tbl_ResidentData[[#This Row],[Discharge '[mmm-yyyy']]]),TRUE,(Tbl_ResidentData[[#This Row],[Discharge '[mmm-yyyy']]]&gt;=Y$4)))))</f>
        <v>-</v>
      </c>
      <c r="Z6" s="121" t="str">
        <f ca="1">IF(Z$4&gt;NOW(),"-",IF(ISBLANK(Tbl_ResidentData[[#This Row],[Enrollment '[mmm-yyyy']]]),"-",AND((Tbl_ResidentData[[#This Row],[Enrollment '[mmm-yyyy']]]&lt;=Z$4),IF(ISBLANK(Tbl_ResidentData[[#This Row],[Discharge '[mmm-yyyy']]]),TRUE,(Tbl_ResidentData[[#This Row],[Discharge '[mmm-yyyy']]]&gt;=Z$4)))))</f>
        <v>-</v>
      </c>
      <c r="AA6" s="121" t="str">
        <f ca="1">IF(AA$4&gt;NOW(),"-",IF(ISBLANK(Tbl_ResidentData[[#This Row],[Enrollment '[mmm-yyyy']]]),"-",AND((Tbl_ResidentData[[#This Row],[Enrollment '[mmm-yyyy']]]&lt;=AA$4),IF(ISBLANK(Tbl_ResidentData[[#This Row],[Discharge '[mmm-yyyy']]]),TRUE,(Tbl_ResidentData[[#This Row],[Discharge '[mmm-yyyy']]]&gt;=AA$4)))))</f>
        <v>-</v>
      </c>
      <c r="AB6" s="121" t="str">
        <f ca="1">IF(AB$4&gt;NOW(),"-",IF(ISBLANK(Tbl_ResidentData[[#This Row],[Enrollment '[mmm-yyyy']]]),"-",AND((Tbl_ResidentData[[#This Row],[Enrollment '[mmm-yyyy']]]&lt;=AB$4),IF(ISBLANK(Tbl_ResidentData[[#This Row],[Discharge '[mmm-yyyy']]]),TRUE,(Tbl_ResidentData[[#This Row],[Discharge '[mmm-yyyy']]]&gt;=AB$4)))))</f>
        <v>-</v>
      </c>
      <c r="AC6" s="121" t="str">
        <f ca="1">IF(AC$4&gt;NOW(),"-",IF(ISBLANK(Tbl_ResidentData[[#This Row],[Enrollment '[mmm-yyyy']]]),"-",AND((Tbl_ResidentData[[#This Row],[Enrollment '[mmm-yyyy']]]&lt;=AC$4),IF(ISBLANK(Tbl_ResidentData[[#This Row],[Discharge '[mmm-yyyy']]]),TRUE,(Tbl_ResidentData[[#This Row],[Discharge '[mmm-yyyy']]]&gt;=AC$4)))))</f>
        <v>-</v>
      </c>
      <c r="AD6" s="121" t="str">
        <f ca="1">IF(AD$4&gt;NOW(),"-",IF(ISBLANK(Tbl_ResidentData[[#This Row],[Enrollment '[mmm-yyyy']]]),"-",AND((Tbl_ResidentData[[#This Row],[Enrollment '[mmm-yyyy']]]&lt;=AD$4),IF(ISBLANK(Tbl_ResidentData[[#This Row],[Discharge '[mmm-yyyy']]]),TRUE,(Tbl_ResidentData[[#This Row],[Discharge '[mmm-yyyy']]]&gt;=AD$4)))))</f>
        <v>-</v>
      </c>
      <c r="AE6" s="121" t="str">
        <f ca="1">IF(AE$4&gt;NOW(),"-",IF(ISBLANK(Tbl_ResidentData[[#This Row],[Enrollment '[mmm-yyyy']]]),"-",AND((Tbl_ResidentData[[#This Row],[Enrollment '[mmm-yyyy']]]&lt;=AE$4),IF(ISBLANK(Tbl_ResidentData[[#This Row],[Discharge '[mmm-yyyy']]]),TRUE,(Tbl_ResidentData[[#This Row],[Discharge '[mmm-yyyy']]]&gt;=AE$4)))))</f>
        <v>-</v>
      </c>
      <c r="AF6" s="121" t="str">
        <f ca="1">IF(AF$4&gt;NOW(),"-",IF(ISBLANK(Tbl_ResidentData[[#This Row],[Enrollment '[mmm-yyyy']]]),"-",AND((Tbl_ResidentData[[#This Row],[Enrollment '[mmm-yyyy']]]&lt;=AF$4),IF(ISBLANK(Tbl_ResidentData[[#This Row],[Discharge '[mmm-yyyy']]]),TRUE,(Tbl_ResidentData[[#This Row],[Discharge '[mmm-yyyy']]]&gt;=AF$4)))))</f>
        <v>-</v>
      </c>
      <c r="AG6" s="121" t="str">
        <f ca="1">IF(AG$4&gt;NOW(),"-",IF(ISBLANK(Tbl_ResidentData[[#This Row],[Enrollment '[mmm-yyyy']]]),"-",AND((Tbl_ResidentData[[#This Row],[Enrollment '[mmm-yyyy']]]&lt;=AG$4),IF(ISBLANK(Tbl_ResidentData[[#This Row],[Discharge '[mmm-yyyy']]]),TRUE,(Tbl_ResidentData[[#This Row],[Discharge '[mmm-yyyy']]]&gt;=AG$4)))))</f>
        <v>-</v>
      </c>
      <c r="AH6" s="121" t="str">
        <f ca="1">IF(AH$4&gt;NOW(),"-",IF(ISBLANK(Tbl_ResidentData[[#This Row],[Enrollment '[mmm-yyyy']]]),"-",AND((Tbl_ResidentData[[#This Row],[Enrollment '[mmm-yyyy']]]&lt;=AH$4),IF(ISBLANK(Tbl_ResidentData[[#This Row],[Discharge '[mmm-yyyy']]]),TRUE,(Tbl_ResidentData[[#This Row],[Discharge '[mmm-yyyy']]]&gt;=AH$4)))))</f>
        <v>-</v>
      </c>
      <c r="AI6" s="121" t="str">
        <f ca="1">IF(AI$4&gt;NOW(),"-",IF(ISBLANK(Tbl_ResidentData[[#This Row],[Enrollment '[mmm-yyyy']]]),"-",AND((Tbl_ResidentData[[#This Row],[Enrollment '[mmm-yyyy']]]&lt;=AI$4),IF(ISBLANK(Tbl_ResidentData[[#This Row],[Discharge '[mmm-yyyy']]]),TRUE,(Tbl_ResidentData[[#This Row],[Discharge '[mmm-yyyy']]]&gt;=AI$4)))))</f>
        <v>-</v>
      </c>
      <c r="AJ6" s="121" t="str">
        <f ca="1">IF(AJ$4&gt;NOW(),"-",IF(ISBLANK(Tbl_ResidentData[[#This Row],[Enrollment '[mmm-yyyy']]]),"-",AND((Tbl_ResidentData[[#This Row],[Enrollment '[mmm-yyyy']]]&lt;=AJ$4),IF(ISBLANK(Tbl_ResidentData[[#This Row],[Discharge '[mmm-yyyy']]]),TRUE,(Tbl_ResidentData[[#This Row],[Discharge '[mmm-yyyy']]]&gt;=AJ$4)))))</f>
        <v>-</v>
      </c>
      <c r="AK6" s="121" t="str">
        <f ca="1">IF(AK$4&gt;NOW(),"-",IF(ISBLANK(Tbl_ResidentData[[#This Row],[Enrollment '[mmm-yyyy']]]),"-",AND((Tbl_ResidentData[[#This Row],[Enrollment '[mmm-yyyy']]]&lt;=AK$4),IF(ISBLANK(Tbl_ResidentData[[#This Row],[Discharge '[mmm-yyyy']]]),TRUE,(Tbl_ResidentData[[#This Row],[Discharge '[mmm-yyyy']]]&gt;=AK$4)))))</f>
        <v>-</v>
      </c>
      <c r="AL6" s="121" t="str">
        <f ca="1">IF(AL$4&gt;NOW(),"-",IF(ISBLANK(Tbl_ResidentData[[#This Row],[Enrollment '[mmm-yyyy']]]),"-",AND((Tbl_ResidentData[[#This Row],[Enrollment '[mmm-yyyy']]]&lt;=AL$4),IF(ISBLANK(Tbl_ResidentData[[#This Row],[Discharge '[mmm-yyyy']]]),TRUE,(Tbl_ResidentData[[#This Row],[Discharge '[mmm-yyyy']]]&gt;=AL$4)))))</f>
        <v>-</v>
      </c>
      <c r="AM6" s="121" t="str">
        <f ca="1">IF(AM$4&gt;NOW(),"-",IF(ISBLANK(Tbl_ResidentData[[#This Row],[Enrollment '[mmm-yyyy']]]),"-",AND((Tbl_ResidentData[[#This Row],[Enrollment '[mmm-yyyy']]]&lt;=AM$4),IF(ISBLANK(Tbl_ResidentData[[#This Row],[Discharge '[mmm-yyyy']]]),TRUE,(Tbl_ResidentData[[#This Row],[Discharge '[mmm-yyyy']]]&gt;=AM$4)))))</f>
        <v>-</v>
      </c>
      <c r="AN6" s="121" t="str">
        <f ca="1">IF(AN$4&gt;NOW(),"-",IF(ISBLANK(Tbl_ResidentData[[#This Row],[Enrollment '[mmm-yyyy']]]),"-",AND((Tbl_ResidentData[[#This Row],[Enrollment '[mmm-yyyy']]]&lt;=AN$4),IF(ISBLANK(Tbl_ResidentData[[#This Row],[Discharge '[mmm-yyyy']]]),TRUE,(Tbl_ResidentData[[#This Row],[Discharge '[mmm-yyyy']]]&gt;=AN$4)))))</f>
        <v>-</v>
      </c>
      <c r="AO6" s="121" t="str">
        <f ca="1">IF(AO$4&gt;NOW(),"-",IF(ISBLANK(Tbl_ResidentData[[#This Row],[Enrollment '[mmm-yyyy']]]),"-",AND((Tbl_ResidentData[[#This Row],[Enrollment '[mmm-yyyy']]]&lt;=AO$4),IF(ISBLANK(Tbl_ResidentData[[#This Row],[Discharge '[mmm-yyyy']]]),TRUE,(Tbl_ResidentData[[#This Row],[Discharge '[mmm-yyyy']]]&gt;=AO$4)))))</f>
        <v>-</v>
      </c>
      <c r="AP6" s="121" t="str">
        <f ca="1">IF(AP$4&gt;NOW(),"-",IF(ISBLANK(Tbl_ResidentData[[#This Row],[Enrollment '[mmm-yyyy']]]),"-",AND((Tbl_ResidentData[[#This Row],[Enrollment '[mmm-yyyy']]]&lt;=AP$4),IF(ISBLANK(Tbl_ResidentData[[#This Row],[Discharge '[mmm-yyyy']]]),TRUE,(Tbl_ResidentData[[#This Row],[Discharge '[mmm-yyyy']]]&gt;=AP$4)))))</f>
        <v>-</v>
      </c>
      <c r="AQ6" s="121" t="str">
        <f ca="1">IF(AQ$4&gt;NOW(),"-",IF(ISBLANK(Tbl_ResidentData[[#This Row],[Enrollment '[mmm-yyyy']]]),"-",AND((Tbl_ResidentData[[#This Row],[Enrollment '[mmm-yyyy']]]&lt;=AQ$4),IF(ISBLANK(Tbl_ResidentData[[#This Row],[Discharge '[mmm-yyyy']]]),TRUE,(Tbl_ResidentData[[#This Row],[Discharge '[mmm-yyyy']]]&gt;=AQ$4)))))</f>
        <v>-</v>
      </c>
      <c r="AR6" s="122" t="str">
        <f ca="1">IF(AR$4&gt;NOW(),"-",IF(ISBLANK(Tbl_ResidentData[[#This Row],[Enrollment '[mmm-yyyy']]]),"-",AND((Tbl_ResidentData[[#This Row],[Enrollment '[mmm-yyyy']]]&lt;=AR$4),IF(ISBLANK(Tbl_ResidentData[[#This Row],[Discharge '[mmm-yyyy']]]),TRUE,(Tbl_ResidentData[[#This Row],[Discharge '[mmm-yyyy']]]&gt;=AR$4)))))</f>
        <v>-</v>
      </c>
      <c r="AS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 s="120" t="b">
        <f ca="1">AND(Tbl_ResidentData[[#This Row],[PRN Med Started]]&lt;&gt;"",Tbl_ResidentData[[#This Row],[PRN Med Started]]&lt;=NOW(),Tbl_ResidentData[[#This Row],[PRN Med Started]]&lt;=AS$4,OR(Tbl_ResidentData[[#This Row],[PRN Med Discontinued]]&gt;AS$4,ISBLANK(Tbl_ResidentData[[#This Row],[PRN Med Discontinued]])))</f>
        <v>0</v>
      </c>
      <c r="BR6" s="121" t="b">
        <f ca="1">AND(Tbl_ResidentData[[#This Row],[PRN Med Started]]&lt;&gt;"",Tbl_ResidentData[[#This Row],[PRN Med Started]]&lt;=NOW(),Tbl_ResidentData[[#This Row],[PRN Med Started]]&lt;=AT$4,OR(Tbl_ResidentData[[#This Row],[PRN Med Discontinued]]&gt;AT$4,ISBLANK(Tbl_ResidentData[[#This Row],[PRN Med Discontinued]])))</f>
        <v>0</v>
      </c>
      <c r="BS6" s="120" t="b">
        <f ca="1">AND(Tbl_ResidentData[[#This Row],[PRN Med Started]]&lt;&gt;"",Tbl_ResidentData[[#This Row],[PRN Med Started]]&lt;=NOW(),Tbl_ResidentData[[#This Row],[PRN Med Started]]&lt;=AU$4,OR(Tbl_ResidentData[[#This Row],[PRN Med Discontinued]]&gt;AU$4,ISBLANK(Tbl_ResidentData[[#This Row],[PRN Med Discontinued]])))</f>
        <v>0</v>
      </c>
      <c r="BT6" s="120" t="b">
        <f ca="1">AND(Tbl_ResidentData[[#This Row],[PRN Med Started]]&lt;&gt;"",Tbl_ResidentData[[#This Row],[PRN Med Started]]&lt;=NOW(),Tbl_ResidentData[[#This Row],[PRN Med Started]]&lt;=AV$4,OR(Tbl_ResidentData[[#This Row],[PRN Med Discontinued]]&gt;AV$4,ISBLANK(Tbl_ResidentData[[#This Row],[PRN Med Discontinued]])))</f>
        <v>0</v>
      </c>
      <c r="BU6" s="120" t="b">
        <f ca="1">AND(Tbl_ResidentData[[#This Row],[PRN Med Started]]&lt;&gt;"",Tbl_ResidentData[[#This Row],[PRN Med Started]]&lt;=NOW(),Tbl_ResidentData[[#This Row],[PRN Med Started]]&lt;=AW$4,OR(Tbl_ResidentData[[#This Row],[PRN Med Discontinued]]&gt;AW$4,ISBLANK(Tbl_ResidentData[[#This Row],[PRN Med Discontinued]])))</f>
        <v>0</v>
      </c>
      <c r="BV6" s="120" t="b">
        <f ca="1">AND(Tbl_ResidentData[[#This Row],[PRN Med Started]]&lt;&gt;"",Tbl_ResidentData[[#This Row],[PRN Med Started]]&lt;=NOW(),Tbl_ResidentData[[#This Row],[PRN Med Started]]&lt;=AX$4,OR(Tbl_ResidentData[[#This Row],[PRN Med Discontinued]]&gt;AX$4,ISBLANK(Tbl_ResidentData[[#This Row],[PRN Med Discontinued]])))</f>
        <v>0</v>
      </c>
      <c r="BW6" s="120" t="b">
        <f ca="1">AND(Tbl_ResidentData[[#This Row],[PRN Med Started]]&lt;&gt;"",Tbl_ResidentData[[#This Row],[PRN Med Started]]&lt;=NOW(),Tbl_ResidentData[[#This Row],[PRN Med Started]]&lt;=AY$4,OR(Tbl_ResidentData[[#This Row],[PRN Med Discontinued]]&gt;AY$4,ISBLANK(Tbl_ResidentData[[#This Row],[PRN Med Discontinued]])))</f>
        <v>0</v>
      </c>
      <c r="BX6" s="120" t="b">
        <f ca="1">AND(Tbl_ResidentData[[#This Row],[PRN Med Started]]&lt;&gt;"",Tbl_ResidentData[[#This Row],[PRN Med Started]]&lt;=NOW(),Tbl_ResidentData[[#This Row],[PRN Med Started]]&lt;=AZ$4,OR(Tbl_ResidentData[[#This Row],[PRN Med Discontinued]]&gt;AZ$4,ISBLANK(Tbl_ResidentData[[#This Row],[PRN Med Discontinued]])))</f>
        <v>0</v>
      </c>
      <c r="BY6" s="120" t="b">
        <f ca="1">AND(Tbl_ResidentData[[#This Row],[PRN Med Started]]&lt;&gt;"",Tbl_ResidentData[[#This Row],[PRN Med Started]]&lt;=NOW(),Tbl_ResidentData[[#This Row],[PRN Med Started]]&lt;=BA$4,OR(Tbl_ResidentData[[#This Row],[PRN Med Discontinued]]&gt;BA$4,ISBLANK(Tbl_ResidentData[[#This Row],[PRN Med Discontinued]])))</f>
        <v>0</v>
      </c>
      <c r="BZ6" s="120" t="b">
        <f ca="1">AND(Tbl_ResidentData[[#This Row],[PRN Med Started]]&lt;&gt;"",Tbl_ResidentData[[#This Row],[PRN Med Started]]&lt;=NOW(),Tbl_ResidentData[[#This Row],[PRN Med Started]]&lt;=BB$4,OR(Tbl_ResidentData[[#This Row],[PRN Med Discontinued]]&gt;BB$4,ISBLANK(Tbl_ResidentData[[#This Row],[PRN Med Discontinued]])))</f>
        <v>0</v>
      </c>
      <c r="CA6" s="120" t="b">
        <f ca="1">AND(Tbl_ResidentData[[#This Row],[PRN Med Started]]&lt;&gt;"",Tbl_ResidentData[[#This Row],[PRN Med Started]]&lt;=NOW(),Tbl_ResidentData[[#This Row],[PRN Med Started]]&lt;=BC$4,OR(Tbl_ResidentData[[#This Row],[PRN Med Discontinued]]&gt;BC$4,ISBLANK(Tbl_ResidentData[[#This Row],[PRN Med Discontinued]])))</f>
        <v>0</v>
      </c>
      <c r="CB6" s="120" t="b">
        <f ca="1">AND(Tbl_ResidentData[[#This Row],[PRN Med Started]]&lt;&gt;"",Tbl_ResidentData[[#This Row],[PRN Med Started]]&lt;=NOW(),Tbl_ResidentData[[#This Row],[PRN Med Started]]&lt;=BD$4,OR(Tbl_ResidentData[[#This Row],[PRN Med Discontinued]]&gt;BD$4,ISBLANK(Tbl_ResidentData[[#This Row],[PRN Med Discontinued]])))</f>
        <v>0</v>
      </c>
      <c r="CC6" s="120" t="b">
        <f ca="1">AND(Tbl_ResidentData[[#This Row],[PRN Med Started]]&lt;&gt;"",Tbl_ResidentData[[#This Row],[PRN Med Started]]&lt;=NOW(),Tbl_ResidentData[[#This Row],[PRN Med Started]]&lt;=BE$4,OR(Tbl_ResidentData[[#This Row],[PRN Med Discontinued]]&gt;BE$4,ISBLANK(Tbl_ResidentData[[#This Row],[PRN Med Discontinued]])))</f>
        <v>0</v>
      </c>
      <c r="CD6" s="120" t="b">
        <f ca="1">AND(Tbl_ResidentData[[#This Row],[PRN Med Started]]&lt;&gt;"",Tbl_ResidentData[[#This Row],[PRN Med Started]]&lt;=NOW(),Tbl_ResidentData[[#This Row],[PRN Med Started]]&lt;=BF$4,OR(Tbl_ResidentData[[#This Row],[PRN Med Discontinued]]&gt;BF$4,ISBLANK(Tbl_ResidentData[[#This Row],[PRN Med Discontinued]])))</f>
        <v>0</v>
      </c>
      <c r="CE6" s="120" t="b">
        <f ca="1">AND(Tbl_ResidentData[[#This Row],[PRN Med Started]]&lt;&gt;"",Tbl_ResidentData[[#This Row],[PRN Med Started]]&lt;=NOW(),Tbl_ResidentData[[#This Row],[PRN Med Started]]&lt;=BG$4,OR(Tbl_ResidentData[[#This Row],[PRN Med Discontinued]]&gt;BG$4,ISBLANK(Tbl_ResidentData[[#This Row],[PRN Med Discontinued]])))</f>
        <v>0</v>
      </c>
      <c r="CF6" s="120" t="b">
        <f ca="1">AND(Tbl_ResidentData[[#This Row],[PRN Med Started]]&lt;&gt;"",Tbl_ResidentData[[#This Row],[PRN Med Started]]&lt;=NOW(),Tbl_ResidentData[[#This Row],[PRN Med Started]]&lt;=BH$4,OR(Tbl_ResidentData[[#This Row],[PRN Med Discontinued]]&gt;BH$4,ISBLANK(Tbl_ResidentData[[#This Row],[PRN Med Discontinued]])))</f>
        <v>0</v>
      </c>
      <c r="CG6" s="120" t="b">
        <f ca="1">AND(Tbl_ResidentData[[#This Row],[PRN Med Started]]&lt;&gt;"",Tbl_ResidentData[[#This Row],[PRN Med Started]]&lt;=NOW(),Tbl_ResidentData[[#This Row],[PRN Med Started]]&lt;=BI$4,OR(Tbl_ResidentData[[#This Row],[PRN Med Discontinued]]&gt;BI$4,ISBLANK(Tbl_ResidentData[[#This Row],[PRN Med Discontinued]])))</f>
        <v>0</v>
      </c>
      <c r="CH6" s="120" t="b">
        <f ca="1">AND(Tbl_ResidentData[[#This Row],[PRN Med Started]]&lt;&gt;"",Tbl_ResidentData[[#This Row],[PRN Med Started]]&lt;=NOW(),Tbl_ResidentData[[#This Row],[PRN Med Started]]&lt;=BJ$4,OR(Tbl_ResidentData[[#This Row],[PRN Med Discontinued]]&gt;BJ$4,ISBLANK(Tbl_ResidentData[[#This Row],[PRN Med Discontinued]])))</f>
        <v>0</v>
      </c>
      <c r="CI6" s="120" t="b">
        <f ca="1">AND(Tbl_ResidentData[[#This Row],[PRN Med Started]]&lt;&gt;"",Tbl_ResidentData[[#This Row],[PRN Med Started]]&lt;=NOW(),Tbl_ResidentData[[#This Row],[PRN Med Started]]&lt;=BK$4,OR(Tbl_ResidentData[[#This Row],[PRN Med Discontinued]]&gt;BK$4,ISBLANK(Tbl_ResidentData[[#This Row],[PRN Med Discontinued]])))</f>
        <v>0</v>
      </c>
      <c r="CJ6" s="120" t="b">
        <f ca="1">AND(Tbl_ResidentData[[#This Row],[PRN Med Started]]&lt;&gt;"",Tbl_ResidentData[[#This Row],[PRN Med Started]]&lt;=NOW(),Tbl_ResidentData[[#This Row],[PRN Med Started]]&lt;=BL$4,OR(Tbl_ResidentData[[#This Row],[PRN Med Discontinued]]&gt;BL$4,ISBLANK(Tbl_ResidentData[[#This Row],[PRN Med Discontinued]])))</f>
        <v>0</v>
      </c>
      <c r="CK6" s="120" t="b">
        <f ca="1">AND(Tbl_ResidentData[[#This Row],[PRN Med Started]]&lt;&gt;"",Tbl_ResidentData[[#This Row],[PRN Med Started]]&lt;=NOW(),Tbl_ResidentData[[#This Row],[PRN Med Started]]&lt;=BM$4,OR(Tbl_ResidentData[[#This Row],[PRN Med Discontinued]]&gt;BM$4,ISBLANK(Tbl_ResidentData[[#This Row],[PRN Med Discontinued]])))</f>
        <v>0</v>
      </c>
      <c r="CL6" s="120" t="b">
        <f ca="1">AND(Tbl_ResidentData[[#This Row],[PRN Med Started]]&lt;&gt;"",Tbl_ResidentData[[#This Row],[PRN Med Started]]&lt;=NOW(),Tbl_ResidentData[[#This Row],[PRN Med Started]]&lt;=BN$4,OR(Tbl_ResidentData[[#This Row],[PRN Med Discontinued]]&gt;BN$4,ISBLANK(Tbl_ResidentData[[#This Row],[PRN Med Discontinued]])))</f>
        <v>0</v>
      </c>
      <c r="CM6" s="121" t="b">
        <f ca="1">AND(Tbl_ResidentData[[#This Row],[PRN Med Started]]&lt;&gt;"",Tbl_ResidentData[[#This Row],[PRN Med Started]]&lt;=NOW(),Tbl_ResidentData[[#This Row],[PRN Med Started]]&lt;=BO$4,OR(Tbl_ResidentData[[#This Row],[PRN Med Discontinued]]&gt;BO$4,ISBLANK(Tbl_ResidentData[[#This Row],[PRN Med Discontinued]])))</f>
        <v>0</v>
      </c>
      <c r="CN6" s="122" t="b">
        <f ca="1">AND(Tbl_ResidentData[[#This Row],[PRN Med Started]]&lt;&gt;"",Tbl_ResidentData[[#This Row],[PRN Med Started]]&lt;=NOW(),Tbl_ResidentData[[#This Row],[PRN Med Started]]&lt;=BP$4,OR(Tbl_ResidentData[[#This Row],[PRN Med Discontinued]]&gt;BP$4,ISBLANK(Tbl_ResidentData[[#This Row],[PRN Med Discontinued]])))</f>
        <v>0</v>
      </c>
      <c r="CO6" s="120">
        <f ca="1">IF(OR(Tbl_ResidentData[[#This Row],[S1]]=TRUE,Tbl_ResidentData[[#This Row],[P1]]=TRUE),1,0)</f>
        <v>0</v>
      </c>
      <c r="CP6" s="121">
        <f ca="1">IF(OR(Tbl_ResidentData[[#This Row],[S2]]=TRUE,Tbl_ResidentData[[#This Row],[P2]]=TRUE),1,0)</f>
        <v>0</v>
      </c>
      <c r="CQ6" s="121">
        <f ca="1">IF(OR(Tbl_ResidentData[[#This Row],[S3]]=TRUE,Tbl_ResidentData[[#This Row],[P3]]=TRUE),1,0)</f>
        <v>0</v>
      </c>
      <c r="CR6" s="120">
        <f ca="1">IF(OR(Tbl_ResidentData[[#This Row],[S4]]=TRUE,Tbl_ResidentData[[#This Row],[P4]]=TRUE),1,0)</f>
        <v>0</v>
      </c>
      <c r="CS6" s="120">
        <f ca="1">IF(OR(Tbl_ResidentData[[#This Row],[S5]]=TRUE,Tbl_ResidentData[[#This Row],[P5]]=TRUE),1,0)</f>
        <v>0</v>
      </c>
      <c r="CT6" s="120">
        <f ca="1">IF(OR(Tbl_ResidentData[[#This Row],[S6]]=TRUE,Tbl_ResidentData[[#This Row],[P6]]=TRUE),1,0)</f>
        <v>0</v>
      </c>
      <c r="CU6" s="120">
        <f ca="1">IF(OR(Tbl_ResidentData[[#This Row],[S7]]=TRUE,Tbl_ResidentData[[#This Row],[P7]]=TRUE),1,0)</f>
        <v>0</v>
      </c>
      <c r="CV6" s="120">
        <f ca="1">IF(OR(Tbl_ResidentData[[#This Row],[S8]]=TRUE,Tbl_ResidentData[[#This Row],[P8]]=TRUE),1,0)</f>
        <v>0</v>
      </c>
      <c r="CW6" s="120">
        <f ca="1">IF(OR(Tbl_ResidentData[[#This Row],[S9]]=TRUE,Tbl_ResidentData[[#This Row],[P9]]=TRUE),1,0)</f>
        <v>0</v>
      </c>
      <c r="CX6" s="120">
        <f ca="1">IF(OR(Tbl_ResidentData[[#This Row],[S10]]=TRUE,Tbl_ResidentData[[#This Row],[P10]]=TRUE),1,0)</f>
        <v>0</v>
      </c>
      <c r="CY6" s="120">
        <f ca="1">IF(OR(Tbl_ResidentData[[#This Row],[S11]]=TRUE,Tbl_ResidentData[[#This Row],[P11]]=TRUE),1,0)</f>
        <v>0</v>
      </c>
      <c r="CZ6" s="120">
        <f ca="1">IF(OR(Tbl_ResidentData[[#This Row],[S12]]=TRUE,Tbl_ResidentData[[#This Row],[P12]]=TRUE),1,0)</f>
        <v>0</v>
      </c>
      <c r="DA6" s="120">
        <f ca="1">IF(OR(Tbl_ResidentData[[#This Row],[S13]]=TRUE,Tbl_ResidentData[[#This Row],[P13]]=TRUE),1,0)</f>
        <v>0</v>
      </c>
      <c r="DB6" s="120">
        <f ca="1">IF(OR(Tbl_ResidentData[[#This Row],[S14]]=TRUE,Tbl_ResidentData[[#This Row],[P14]]=TRUE),1,0)</f>
        <v>0</v>
      </c>
      <c r="DC6" s="120">
        <f ca="1">IF(OR(Tbl_ResidentData[[#This Row],[S15]]=TRUE,Tbl_ResidentData[[#This Row],[P15]]=TRUE),1,0)</f>
        <v>0</v>
      </c>
      <c r="DD6" s="120">
        <f ca="1">IF(OR(Tbl_ResidentData[[#This Row],[S16]]=TRUE,Tbl_ResidentData[[#This Row],[P16]]=TRUE),1,0)</f>
        <v>0</v>
      </c>
      <c r="DE6" s="120">
        <f ca="1">IF(OR(Tbl_ResidentData[[#This Row],[S17]]=TRUE,Tbl_ResidentData[[#This Row],[P17]]=TRUE),1,0)</f>
        <v>0</v>
      </c>
      <c r="DF6" s="120">
        <f ca="1">IF(OR(Tbl_ResidentData[[#This Row],[S18]]=TRUE,Tbl_ResidentData[[#This Row],[P18]]=TRUE),1,0)</f>
        <v>0</v>
      </c>
      <c r="DG6" s="120">
        <f ca="1">IF(OR(Tbl_ResidentData[[#This Row],[S19]]=TRUE,Tbl_ResidentData[[#This Row],[P19]]=TRUE),1,0)</f>
        <v>0</v>
      </c>
      <c r="DH6" s="120">
        <f ca="1">IF(OR(Tbl_ResidentData[[#This Row],[S20]]=TRUE,Tbl_ResidentData[[#This Row],[P20]]=TRUE),1,0)</f>
        <v>0</v>
      </c>
      <c r="DI6" s="120">
        <f ca="1">IF(OR(Tbl_ResidentData[[#This Row],[S21]]=TRUE,Tbl_ResidentData[[#This Row],[P21]]=TRUE),1,0)</f>
        <v>0</v>
      </c>
      <c r="DJ6" s="120">
        <f ca="1">IF(OR(Tbl_ResidentData[[#This Row],[S22]]=TRUE,Tbl_ResidentData[[#This Row],[P22]]=TRUE),1,0)</f>
        <v>0</v>
      </c>
      <c r="DK6" s="120">
        <f ca="1">IF(OR(Tbl_ResidentData[[#This Row],[S23]]=TRUE,Tbl_ResidentData[[#This Row],[P23]]=TRUE),1,0)</f>
        <v>0</v>
      </c>
      <c r="DL6" s="120">
        <f ca="1">IF(OR(Tbl_ResidentData[[#This Row],[S24]]=TRUE,Tbl_ResidentData[[#This Row],[P24]]=TRUE),1,0)</f>
        <v>0</v>
      </c>
      <c r="DM6" s="123" t="str">
        <f ca="1">IFERROR(INDEX($CO$4:$DL$4,MATCH(TRUE,INDEX((Tbl_ResidentData[[#This Row],[Over1]:[Over24]]&lt;&gt;0),0),0)),"")</f>
        <v/>
      </c>
      <c r="DN6" s="133" t="str">
        <f>IFERROR(INDEX(Tbl_PDSAData[Last DRT],MATCH(Tbl_ResidentData[Resident Name '[last, first']],Tbl_PDSAData[Resident Name (last, first)],0)),"")</f>
        <v/>
      </c>
      <c r="DO6" s="222" t="str">
        <f>IFERROR(INDEX(Tbl_PDSAData[Last MR],MATCH(Tbl_ResidentData[Resident Name '[last, first']],Tbl_PDSAData[Resident Name (last, first)],0)),"")</f>
        <v/>
      </c>
    </row>
    <row r="7" spans="1:119" x14ac:dyDescent="0.25">
      <c r="A7" s="179"/>
      <c r="B7" s="180"/>
      <c r="C7" s="180"/>
      <c r="D7" s="218"/>
      <c r="E7" s="179"/>
      <c r="F7" s="181"/>
      <c r="G7" s="181"/>
      <c r="H7" s="375"/>
      <c r="I7" s="185"/>
      <c r="J7" s="387"/>
      <c r="K7" s="178"/>
      <c r="L7" s="388"/>
      <c r="M7" s="185"/>
      <c r="N7" s="386"/>
      <c r="O7" s="178"/>
      <c r="P7" s="388"/>
      <c r="Q7" s="395"/>
      <c r="R7" s="396"/>
      <c r="S7" s="131" t="str">
        <f>IF(ISBLANK(Tbl_ResidentData[[#This Row],[Discharge '[mmm-yyyy']]]),IF(ISBLANK(Tbl_ResidentData[[#This Row],[Enrollment '[mmm-yyyy']]]),"","In Care Home"),"Discharged")</f>
        <v/>
      </c>
      <c r="T7" s="119" t="str">
        <f>IF(ISBLANK(Tbl_ResidentData[[#This Row],[Diagnosis (RAI)]]),IF(ISBLANK(Tbl_ResidentData[[#This Row],[Resident Name '[last, first']]]),"",0),IF(Tbl_ResidentData[[#This Row],[Diagnosis (RAI)]]="Other (see clinical notes)",0,1))</f>
        <v/>
      </c>
      <c r="U7" s="120" t="str">
        <f ca="1">IF(U$4&gt;NOW(),"-",IF(ISBLANK(Tbl_ResidentData[[#This Row],[Enrollment '[mmm-yyyy']]]),"-",AND((Tbl_ResidentData[[#This Row],[Enrollment '[mmm-yyyy']]]&lt;=U$4),IF(ISBLANK(Tbl_ResidentData[[#This Row],[Discharge '[mmm-yyyy']]]),TRUE,(Tbl_ResidentData[[#This Row],[Discharge '[mmm-yyyy']]]&gt;=U$4)))))</f>
        <v>-</v>
      </c>
      <c r="V7" s="121" t="str">
        <f ca="1">IF(V$4&gt;NOW(),"-",IF(ISBLANK(Tbl_ResidentData[[#This Row],[Enrollment '[mmm-yyyy']]]),"-",AND((Tbl_ResidentData[[#This Row],[Enrollment '[mmm-yyyy']]]&lt;=V$4),IF(ISBLANK(Tbl_ResidentData[[#This Row],[Discharge '[mmm-yyyy']]]),TRUE,(Tbl_ResidentData[[#This Row],[Discharge '[mmm-yyyy']]]&gt;=V$4)))))</f>
        <v>-</v>
      </c>
      <c r="W7" s="121" t="str">
        <f ca="1">IF(W$4&gt;NOW(),"-",IF(ISBLANK(Tbl_ResidentData[[#This Row],[Enrollment '[mmm-yyyy']]]),"-",AND((Tbl_ResidentData[[#This Row],[Enrollment '[mmm-yyyy']]]&lt;=W$4),IF(ISBLANK(Tbl_ResidentData[[#This Row],[Discharge '[mmm-yyyy']]]),TRUE,(Tbl_ResidentData[[#This Row],[Discharge '[mmm-yyyy']]]&gt;=W$4)))))</f>
        <v>-</v>
      </c>
      <c r="X7" s="121" t="str">
        <f ca="1">IF(X$4&gt;NOW(),"-",IF(ISBLANK(Tbl_ResidentData[[#This Row],[Enrollment '[mmm-yyyy']]]),"-",AND((Tbl_ResidentData[[#This Row],[Enrollment '[mmm-yyyy']]]&lt;=X$4),IF(ISBLANK(Tbl_ResidentData[[#This Row],[Discharge '[mmm-yyyy']]]),TRUE,(Tbl_ResidentData[[#This Row],[Discharge '[mmm-yyyy']]]&gt;=X$4)))))</f>
        <v>-</v>
      </c>
      <c r="Y7" s="121" t="str">
        <f ca="1">IF(Y$4&gt;NOW(),"-",IF(ISBLANK(Tbl_ResidentData[[#This Row],[Enrollment '[mmm-yyyy']]]),"-",AND((Tbl_ResidentData[[#This Row],[Enrollment '[mmm-yyyy']]]&lt;=Y$4),IF(ISBLANK(Tbl_ResidentData[[#This Row],[Discharge '[mmm-yyyy']]]),TRUE,(Tbl_ResidentData[[#This Row],[Discharge '[mmm-yyyy']]]&gt;=Y$4)))))</f>
        <v>-</v>
      </c>
      <c r="Z7" s="121" t="str">
        <f ca="1">IF(Z$4&gt;NOW(),"-",IF(ISBLANK(Tbl_ResidentData[[#This Row],[Enrollment '[mmm-yyyy']]]),"-",AND((Tbl_ResidentData[[#This Row],[Enrollment '[mmm-yyyy']]]&lt;=Z$4),IF(ISBLANK(Tbl_ResidentData[[#This Row],[Discharge '[mmm-yyyy']]]),TRUE,(Tbl_ResidentData[[#This Row],[Discharge '[mmm-yyyy']]]&gt;=Z$4)))))</f>
        <v>-</v>
      </c>
      <c r="AA7" s="121" t="str">
        <f ca="1">IF(AA$4&gt;NOW(),"-",IF(ISBLANK(Tbl_ResidentData[[#This Row],[Enrollment '[mmm-yyyy']]]),"-",AND((Tbl_ResidentData[[#This Row],[Enrollment '[mmm-yyyy']]]&lt;=AA$4),IF(ISBLANK(Tbl_ResidentData[[#This Row],[Discharge '[mmm-yyyy']]]),TRUE,(Tbl_ResidentData[[#This Row],[Discharge '[mmm-yyyy']]]&gt;=AA$4)))))</f>
        <v>-</v>
      </c>
      <c r="AB7" s="121" t="str">
        <f ca="1">IF(AB$4&gt;NOW(),"-",IF(ISBLANK(Tbl_ResidentData[[#This Row],[Enrollment '[mmm-yyyy']]]),"-",AND((Tbl_ResidentData[[#This Row],[Enrollment '[mmm-yyyy']]]&lt;=AB$4),IF(ISBLANK(Tbl_ResidentData[[#This Row],[Discharge '[mmm-yyyy']]]),TRUE,(Tbl_ResidentData[[#This Row],[Discharge '[mmm-yyyy']]]&gt;=AB$4)))))</f>
        <v>-</v>
      </c>
      <c r="AC7" s="121" t="str">
        <f ca="1">IF(AC$4&gt;NOW(),"-",IF(ISBLANK(Tbl_ResidentData[[#This Row],[Enrollment '[mmm-yyyy']]]),"-",AND((Tbl_ResidentData[[#This Row],[Enrollment '[mmm-yyyy']]]&lt;=AC$4),IF(ISBLANK(Tbl_ResidentData[[#This Row],[Discharge '[mmm-yyyy']]]),TRUE,(Tbl_ResidentData[[#This Row],[Discharge '[mmm-yyyy']]]&gt;=AC$4)))))</f>
        <v>-</v>
      </c>
      <c r="AD7" s="121" t="str">
        <f ca="1">IF(AD$4&gt;NOW(),"-",IF(ISBLANK(Tbl_ResidentData[[#This Row],[Enrollment '[mmm-yyyy']]]),"-",AND((Tbl_ResidentData[[#This Row],[Enrollment '[mmm-yyyy']]]&lt;=AD$4),IF(ISBLANK(Tbl_ResidentData[[#This Row],[Discharge '[mmm-yyyy']]]),TRUE,(Tbl_ResidentData[[#This Row],[Discharge '[mmm-yyyy']]]&gt;=AD$4)))))</f>
        <v>-</v>
      </c>
      <c r="AE7" s="121" t="str">
        <f ca="1">IF(AE$4&gt;NOW(),"-",IF(ISBLANK(Tbl_ResidentData[[#This Row],[Enrollment '[mmm-yyyy']]]),"-",AND((Tbl_ResidentData[[#This Row],[Enrollment '[mmm-yyyy']]]&lt;=AE$4),IF(ISBLANK(Tbl_ResidentData[[#This Row],[Discharge '[mmm-yyyy']]]),TRUE,(Tbl_ResidentData[[#This Row],[Discharge '[mmm-yyyy']]]&gt;=AE$4)))))</f>
        <v>-</v>
      </c>
      <c r="AF7" s="121" t="str">
        <f ca="1">IF(AF$4&gt;NOW(),"-",IF(ISBLANK(Tbl_ResidentData[[#This Row],[Enrollment '[mmm-yyyy']]]),"-",AND((Tbl_ResidentData[[#This Row],[Enrollment '[mmm-yyyy']]]&lt;=AF$4),IF(ISBLANK(Tbl_ResidentData[[#This Row],[Discharge '[mmm-yyyy']]]),TRUE,(Tbl_ResidentData[[#This Row],[Discharge '[mmm-yyyy']]]&gt;=AF$4)))))</f>
        <v>-</v>
      </c>
      <c r="AG7" s="121" t="str">
        <f ca="1">IF(AG$4&gt;NOW(),"-",IF(ISBLANK(Tbl_ResidentData[[#This Row],[Enrollment '[mmm-yyyy']]]),"-",AND((Tbl_ResidentData[[#This Row],[Enrollment '[mmm-yyyy']]]&lt;=AG$4),IF(ISBLANK(Tbl_ResidentData[[#This Row],[Discharge '[mmm-yyyy']]]),TRUE,(Tbl_ResidentData[[#This Row],[Discharge '[mmm-yyyy']]]&gt;=AG$4)))))</f>
        <v>-</v>
      </c>
      <c r="AH7" s="121" t="str">
        <f ca="1">IF(AH$4&gt;NOW(),"-",IF(ISBLANK(Tbl_ResidentData[[#This Row],[Enrollment '[mmm-yyyy']]]),"-",AND((Tbl_ResidentData[[#This Row],[Enrollment '[mmm-yyyy']]]&lt;=AH$4),IF(ISBLANK(Tbl_ResidentData[[#This Row],[Discharge '[mmm-yyyy']]]),TRUE,(Tbl_ResidentData[[#This Row],[Discharge '[mmm-yyyy']]]&gt;=AH$4)))))</f>
        <v>-</v>
      </c>
      <c r="AI7" s="121" t="str">
        <f ca="1">IF(AI$4&gt;NOW(),"-",IF(ISBLANK(Tbl_ResidentData[[#This Row],[Enrollment '[mmm-yyyy']]]),"-",AND((Tbl_ResidentData[[#This Row],[Enrollment '[mmm-yyyy']]]&lt;=AI$4),IF(ISBLANK(Tbl_ResidentData[[#This Row],[Discharge '[mmm-yyyy']]]),TRUE,(Tbl_ResidentData[[#This Row],[Discharge '[mmm-yyyy']]]&gt;=AI$4)))))</f>
        <v>-</v>
      </c>
      <c r="AJ7" s="121" t="str">
        <f ca="1">IF(AJ$4&gt;NOW(),"-",IF(ISBLANK(Tbl_ResidentData[[#This Row],[Enrollment '[mmm-yyyy']]]),"-",AND((Tbl_ResidentData[[#This Row],[Enrollment '[mmm-yyyy']]]&lt;=AJ$4),IF(ISBLANK(Tbl_ResidentData[[#This Row],[Discharge '[mmm-yyyy']]]),TRUE,(Tbl_ResidentData[[#This Row],[Discharge '[mmm-yyyy']]]&gt;=AJ$4)))))</f>
        <v>-</v>
      </c>
      <c r="AK7" s="121" t="str">
        <f ca="1">IF(AK$4&gt;NOW(),"-",IF(ISBLANK(Tbl_ResidentData[[#This Row],[Enrollment '[mmm-yyyy']]]),"-",AND((Tbl_ResidentData[[#This Row],[Enrollment '[mmm-yyyy']]]&lt;=AK$4),IF(ISBLANK(Tbl_ResidentData[[#This Row],[Discharge '[mmm-yyyy']]]),TRUE,(Tbl_ResidentData[[#This Row],[Discharge '[mmm-yyyy']]]&gt;=AK$4)))))</f>
        <v>-</v>
      </c>
      <c r="AL7" s="121" t="str">
        <f ca="1">IF(AL$4&gt;NOW(),"-",IF(ISBLANK(Tbl_ResidentData[[#This Row],[Enrollment '[mmm-yyyy']]]),"-",AND((Tbl_ResidentData[[#This Row],[Enrollment '[mmm-yyyy']]]&lt;=AL$4),IF(ISBLANK(Tbl_ResidentData[[#This Row],[Discharge '[mmm-yyyy']]]),TRUE,(Tbl_ResidentData[[#This Row],[Discharge '[mmm-yyyy']]]&gt;=AL$4)))))</f>
        <v>-</v>
      </c>
      <c r="AM7" s="121" t="str">
        <f ca="1">IF(AM$4&gt;NOW(),"-",IF(ISBLANK(Tbl_ResidentData[[#This Row],[Enrollment '[mmm-yyyy']]]),"-",AND((Tbl_ResidentData[[#This Row],[Enrollment '[mmm-yyyy']]]&lt;=AM$4),IF(ISBLANK(Tbl_ResidentData[[#This Row],[Discharge '[mmm-yyyy']]]),TRUE,(Tbl_ResidentData[[#This Row],[Discharge '[mmm-yyyy']]]&gt;=AM$4)))))</f>
        <v>-</v>
      </c>
      <c r="AN7" s="121" t="str">
        <f ca="1">IF(AN$4&gt;NOW(),"-",IF(ISBLANK(Tbl_ResidentData[[#This Row],[Enrollment '[mmm-yyyy']]]),"-",AND((Tbl_ResidentData[[#This Row],[Enrollment '[mmm-yyyy']]]&lt;=AN$4),IF(ISBLANK(Tbl_ResidentData[[#This Row],[Discharge '[mmm-yyyy']]]),TRUE,(Tbl_ResidentData[[#This Row],[Discharge '[mmm-yyyy']]]&gt;=AN$4)))))</f>
        <v>-</v>
      </c>
      <c r="AO7" s="121" t="str">
        <f ca="1">IF(AO$4&gt;NOW(),"-",IF(ISBLANK(Tbl_ResidentData[[#This Row],[Enrollment '[mmm-yyyy']]]),"-",AND((Tbl_ResidentData[[#This Row],[Enrollment '[mmm-yyyy']]]&lt;=AO$4),IF(ISBLANK(Tbl_ResidentData[[#This Row],[Discharge '[mmm-yyyy']]]),TRUE,(Tbl_ResidentData[[#This Row],[Discharge '[mmm-yyyy']]]&gt;=AO$4)))))</f>
        <v>-</v>
      </c>
      <c r="AP7" s="121" t="str">
        <f ca="1">IF(AP$4&gt;NOW(),"-",IF(ISBLANK(Tbl_ResidentData[[#This Row],[Enrollment '[mmm-yyyy']]]),"-",AND((Tbl_ResidentData[[#This Row],[Enrollment '[mmm-yyyy']]]&lt;=AP$4),IF(ISBLANK(Tbl_ResidentData[[#This Row],[Discharge '[mmm-yyyy']]]),TRUE,(Tbl_ResidentData[[#This Row],[Discharge '[mmm-yyyy']]]&gt;=AP$4)))))</f>
        <v>-</v>
      </c>
      <c r="AQ7" s="121" t="str">
        <f ca="1">IF(AQ$4&gt;NOW(),"-",IF(ISBLANK(Tbl_ResidentData[[#This Row],[Enrollment '[mmm-yyyy']]]),"-",AND((Tbl_ResidentData[[#This Row],[Enrollment '[mmm-yyyy']]]&lt;=AQ$4),IF(ISBLANK(Tbl_ResidentData[[#This Row],[Discharge '[mmm-yyyy']]]),TRUE,(Tbl_ResidentData[[#This Row],[Discharge '[mmm-yyyy']]]&gt;=AQ$4)))))</f>
        <v>-</v>
      </c>
      <c r="AR7" s="122" t="str">
        <f ca="1">IF(AR$4&gt;NOW(),"-",IF(ISBLANK(Tbl_ResidentData[[#This Row],[Enrollment '[mmm-yyyy']]]),"-",AND((Tbl_ResidentData[[#This Row],[Enrollment '[mmm-yyyy']]]&lt;=AR$4),IF(ISBLANK(Tbl_ResidentData[[#This Row],[Discharge '[mmm-yyyy']]]),TRUE,(Tbl_ResidentData[[#This Row],[Discharge '[mmm-yyyy']]]&gt;=AR$4)))))</f>
        <v>-</v>
      </c>
      <c r="AS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 s="120" t="b">
        <f ca="1">AND(Tbl_ResidentData[[#This Row],[PRN Med Started]]&lt;&gt;"",Tbl_ResidentData[[#This Row],[PRN Med Started]]&lt;=NOW(),Tbl_ResidentData[[#This Row],[PRN Med Started]]&lt;=AS$4,OR(Tbl_ResidentData[[#This Row],[PRN Med Discontinued]]&gt;AS$4,ISBLANK(Tbl_ResidentData[[#This Row],[PRN Med Discontinued]])))</f>
        <v>0</v>
      </c>
      <c r="BR7" s="121" t="b">
        <f ca="1">AND(Tbl_ResidentData[[#This Row],[PRN Med Started]]&lt;&gt;"",Tbl_ResidentData[[#This Row],[PRN Med Started]]&lt;=NOW(),Tbl_ResidentData[[#This Row],[PRN Med Started]]&lt;=AT$4,OR(Tbl_ResidentData[[#This Row],[PRN Med Discontinued]]&gt;AT$4,ISBLANK(Tbl_ResidentData[[#This Row],[PRN Med Discontinued]])))</f>
        <v>0</v>
      </c>
      <c r="BS7" s="121" t="b">
        <f ca="1">AND(Tbl_ResidentData[[#This Row],[PRN Med Started]]&lt;&gt;"",Tbl_ResidentData[[#This Row],[PRN Med Started]]&lt;=NOW(),Tbl_ResidentData[[#This Row],[PRN Med Started]]&lt;=AU$4,OR(Tbl_ResidentData[[#This Row],[PRN Med Discontinued]]&gt;AU$4,ISBLANK(Tbl_ResidentData[[#This Row],[PRN Med Discontinued]])))</f>
        <v>0</v>
      </c>
      <c r="BT7" s="121" t="b">
        <f ca="1">AND(Tbl_ResidentData[[#This Row],[PRN Med Started]]&lt;&gt;"",Tbl_ResidentData[[#This Row],[PRN Med Started]]&lt;=NOW(),Tbl_ResidentData[[#This Row],[PRN Med Started]]&lt;=AV$4,OR(Tbl_ResidentData[[#This Row],[PRN Med Discontinued]]&gt;AV$4,ISBLANK(Tbl_ResidentData[[#This Row],[PRN Med Discontinued]])))</f>
        <v>0</v>
      </c>
      <c r="BU7" s="121" t="b">
        <f ca="1">AND(Tbl_ResidentData[[#This Row],[PRN Med Started]]&lt;&gt;"",Tbl_ResidentData[[#This Row],[PRN Med Started]]&lt;=NOW(),Tbl_ResidentData[[#This Row],[PRN Med Started]]&lt;=AW$4,OR(Tbl_ResidentData[[#This Row],[PRN Med Discontinued]]&gt;AW$4,ISBLANK(Tbl_ResidentData[[#This Row],[PRN Med Discontinued]])))</f>
        <v>0</v>
      </c>
      <c r="BV7" s="121" t="b">
        <f ca="1">AND(Tbl_ResidentData[[#This Row],[PRN Med Started]]&lt;&gt;"",Tbl_ResidentData[[#This Row],[PRN Med Started]]&lt;=NOW(),Tbl_ResidentData[[#This Row],[PRN Med Started]]&lt;=AX$4,OR(Tbl_ResidentData[[#This Row],[PRN Med Discontinued]]&gt;AX$4,ISBLANK(Tbl_ResidentData[[#This Row],[PRN Med Discontinued]])))</f>
        <v>0</v>
      </c>
      <c r="BW7" s="121" t="b">
        <f ca="1">AND(Tbl_ResidentData[[#This Row],[PRN Med Started]]&lt;&gt;"",Tbl_ResidentData[[#This Row],[PRN Med Started]]&lt;=NOW(),Tbl_ResidentData[[#This Row],[PRN Med Started]]&lt;=AY$4,OR(Tbl_ResidentData[[#This Row],[PRN Med Discontinued]]&gt;AY$4,ISBLANK(Tbl_ResidentData[[#This Row],[PRN Med Discontinued]])))</f>
        <v>0</v>
      </c>
      <c r="BX7" s="121" t="b">
        <f ca="1">AND(Tbl_ResidentData[[#This Row],[PRN Med Started]]&lt;&gt;"",Tbl_ResidentData[[#This Row],[PRN Med Started]]&lt;=NOW(),Tbl_ResidentData[[#This Row],[PRN Med Started]]&lt;=AZ$4,OR(Tbl_ResidentData[[#This Row],[PRN Med Discontinued]]&gt;AZ$4,ISBLANK(Tbl_ResidentData[[#This Row],[PRN Med Discontinued]])))</f>
        <v>0</v>
      </c>
      <c r="BY7" s="121" t="b">
        <f ca="1">AND(Tbl_ResidentData[[#This Row],[PRN Med Started]]&lt;&gt;"",Tbl_ResidentData[[#This Row],[PRN Med Started]]&lt;=NOW(),Tbl_ResidentData[[#This Row],[PRN Med Started]]&lt;=BA$4,OR(Tbl_ResidentData[[#This Row],[PRN Med Discontinued]]&gt;BA$4,ISBLANK(Tbl_ResidentData[[#This Row],[PRN Med Discontinued]])))</f>
        <v>0</v>
      </c>
      <c r="BZ7" s="121" t="b">
        <f ca="1">AND(Tbl_ResidentData[[#This Row],[PRN Med Started]]&lt;&gt;"",Tbl_ResidentData[[#This Row],[PRN Med Started]]&lt;=NOW(),Tbl_ResidentData[[#This Row],[PRN Med Started]]&lt;=BB$4,OR(Tbl_ResidentData[[#This Row],[PRN Med Discontinued]]&gt;BB$4,ISBLANK(Tbl_ResidentData[[#This Row],[PRN Med Discontinued]])))</f>
        <v>0</v>
      </c>
      <c r="CA7" s="121" t="b">
        <f ca="1">AND(Tbl_ResidentData[[#This Row],[PRN Med Started]]&lt;&gt;"",Tbl_ResidentData[[#This Row],[PRN Med Started]]&lt;=NOW(),Tbl_ResidentData[[#This Row],[PRN Med Started]]&lt;=BC$4,OR(Tbl_ResidentData[[#This Row],[PRN Med Discontinued]]&gt;BC$4,ISBLANK(Tbl_ResidentData[[#This Row],[PRN Med Discontinued]])))</f>
        <v>0</v>
      </c>
      <c r="CB7" s="121" t="b">
        <f ca="1">AND(Tbl_ResidentData[[#This Row],[PRN Med Started]]&lt;&gt;"",Tbl_ResidentData[[#This Row],[PRN Med Started]]&lt;=NOW(),Tbl_ResidentData[[#This Row],[PRN Med Started]]&lt;=BD$4,OR(Tbl_ResidentData[[#This Row],[PRN Med Discontinued]]&gt;BD$4,ISBLANK(Tbl_ResidentData[[#This Row],[PRN Med Discontinued]])))</f>
        <v>0</v>
      </c>
      <c r="CC7" s="121" t="b">
        <f ca="1">AND(Tbl_ResidentData[[#This Row],[PRN Med Started]]&lt;&gt;"",Tbl_ResidentData[[#This Row],[PRN Med Started]]&lt;=NOW(),Tbl_ResidentData[[#This Row],[PRN Med Started]]&lt;=BE$4,OR(Tbl_ResidentData[[#This Row],[PRN Med Discontinued]]&gt;BE$4,ISBLANK(Tbl_ResidentData[[#This Row],[PRN Med Discontinued]])))</f>
        <v>0</v>
      </c>
      <c r="CD7" s="121" t="b">
        <f ca="1">AND(Tbl_ResidentData[[#This Row],[PRN Med Started]]&lt;&gt;"",Tbl_ResidentData[[#This Row],[PRN Med Started]]&lt;=NOW(),Tbl_ResidentData[[#This Row],[PRN Med Started]]&lt;=BF$4,OR(Tbl_ResidentData[[#This Row],[PRN Med Discontinued]]&gt;BF$4,ISBLANK(Tbl_ResidentData[[#This Row],[PRN Med Discontinued]])))</f>
        <v>0</v>
      </c>
      <c r="CE7" s="121" t="b">
        <f ca="1">AND(Tbl_ResidentData[[#This Row],[PRN Med Started]]&lt;&gt;"",Tbl_ResidentData[[#This Row],[PRN Med Started]]&lt;=NOW(),Tbl_ResidentData[[#This Row],[PRN Med Started]]&lt;=BG$4,OR(Tbl_ResidentData[[#This Row],[PRN Med Discontinued]]&gt;BG$4,ISBLANK(Tbl_ResidentData[[#This Row],[PRN Med Discontinued]])))</f>
        <v>0</v>
      </c>
      <c r="CF7" s="121" t="b">
        <f ca="1">AND(Tbl_ResidentData[[#This Row],[PRN Med Started]]&lt;&gt;"",Tbl_ResidentData[[#This Row],[PRN Med Started]]&lt;=NOW(),Tbl_ResidentData[[#This Row],[PRN Med Started]]&lt;=BH$4,OR(Tbl_ResidentData[[#This Row],[PRN Med Discontinued]]&gt;BH$4,ISBLANK(Tbl_ResidentData[[#This Row],[PRN Med Discontinued]])))</f>
        <v>0</v>
      </c>
      <c r="CG7" s="121" t="b">
        <f ca="1">AND(Tbl_ResidentData[[#This Row],[PRN Med Started]]&lt;&gt;"",Tbl_ResidentData[[#This Row],[PRN Med Started]]&lt;=NOW(),Tbl_ResidentData[[#This Row],[PRN Med Started]]&lt;=BI$4,OR(Tbl_ResidentData[[#This Row],[PRN Med Discontinued]]&gt;BI$4,ISBLANK(Tbl_ResidentData[[#This Row],[PRN Med Discontinued]])))</f>
        <v>0</v>
      </c>
      <c r="CH7" s="121" t="b">
        <f ca="1">AND(Tbl_ResidentData[[#This Row],[PRN Med Started]]&lt;&gt;"",Tbl_ResidentData[[#This Row],[PRN Med Started]]&lt;=NOW(),Tbl_ResidentData[[#This Row],[PRN Med Started]]&lt;=BJ$4,OR(Tbl_ResidentData[[#This Row],[PRN Med Discontinued]]&gt;BJ$4,ISBLANK(Tbl_ResidentData[[#This Row],[PRN Med Discontinued]])))</f>
        <v>0</v>
      </c>
      <c r="CI7" s="121" t="b">
        <f ca="1">AND(Tbl_ResidentData[[#This Row],[PRN Med Started]]&lt;&gt;"",Tbl_ResidentData[[#This Row],[PRN Med Started]]&lt;=NOW(),Tbl_ResidentData[[#This Row],[PRN Med Started]]&lt;=BK$4,OR(Tbl_ResidentData[[#This Row],[PRN Med Discontinued]]&gt;BK$4,ISBLANK(Tbl_ResidentData[[#This Row],[PRN Med Discontinued]])))</f>
        <v>0</v>
      </c>
      <c r="CJ7" s="121" t="b">
        <f ca="1">AND(Tbl_ResidentData[[#This Row],[PRN Med Started]]&lt;&gt;"",Tbl_ResidentData[[#This Row],[PRN Med Started]]&lt;=NOW(),Tbl_ResidentData[[#This Row],[PRN Med Started]]&lt;=BL$4,OR(Tbl_ResidentData[[#This Row],[PRN Med Discontinued]]&gt;BL$4,ISBLANK(Tbl_ResidentData[[#This Row],[PRN Med Discontinued]])))</f>
        <v>0</v>
      </c>
      <c r="CK7" s="121" t="b">
        <f ca="1">AND(Tbl_ResidentData[[#This Row],[PRN Med Started]]&lt;&gt;"",Tbl_ResidentData[[#This Row],[PRN Med Started]]&lt;=NOW(),Tbl_ResidentData[[#This Row],[PRN Med Started]]&lt;=BM$4,OR(Tbl_ResidentData[[#This Row],[PRN Med Discontinued]]&gt;BM$4,ISBLANK(Tbl_ResidentData[[#This Row],[PRN Med Discontinued]])))</f>
        <v>0</v>
      </c>
      <c r="CL7" s="121" t="b">
        <f ca="1">AND(Tbl_ResidentData[[#This Row],[PRN Med Started]]&lt;&gt;"",Tbl_ResidentData[[#This Row],[PRN Med Started]]&lt;=NOW(),Tbl_ResidentData[[#This Row],[PRN Med Started]]&lt;=BN$4,OR(Tbl_ResidentData[[#This Row],[PRN Med Discontinued]]&gt;BN$4,ISBLANK(Tbl_ResidentData[[#This Row],[PRN Med Discontinued]])))</f>
        <v>0</v>
      </c>
      <c r="CM7" s="121" t="b">
        <f ca="1">AND(Tbl_ResidentData[[#This Row],[PRN Med Started]]&lt;&gt;"",Tbl_ResidentData[[#This Row],[PRN Med Started]]&lt;=NOW(),Tbl_ResidentData[[#This Row],[PRN Med Started]]&lt;=BO$4,OR(Tbl_ResidentData[[#This Row],[PRN Med Discontinued]]&gt;BO$4,ISBLANK(Tbl_ResidentData[[#This Row],[PRN Med Discontinued]])))</f>
        <v>0</v>
      </c>
      <c r="CN7" s="122" t="b">
        <f ca="1">AND(Tbl_ResidentData[[#This Row],[PRN Med Started]]&lt;&gt;"",Tbl_ResidentData[[#This Row],[PRN Med Started]]&lt;=NOW(),Tbl_ResidentData[[#This Row],[PRN Med Started]]&lt;=BP$4,OR(Tbl_ResidentData[[#This Row],[PRN Med Discontinued]]&gt;BP$4,ISBLANK(Tbl_ResidentData[[#This Row],[PRN Med Discontinued]])))</f>
        <v>0</v>
      </c>
      <c r="CO7" s="120">
        <f ca="1">IF(OR(Tbl_ResidentData[[#This Row],[S1]]=TRUE,Tbl_ResidentData[[#This Row],[P1]]=TRUE),1,0)</f>
        <v>0</v>
      </c>
      <c r="CP7" s="121">
        <f ca="1">IF(OR(Tbl_ResidentData[[#This Row],[S2]]=TRUE,Tbl_ResidentData[[#This Row],[P2]]=TRUE),1,0)</f>
        <v>0</v>
      </c>
      <c r="CQ7" s="121">
        <f ca="1">IF(OR(Tbl_ResidentData[[#This Row],[S3]]=TRUE,Tbl_ResidentData[[#This Row],[P3]]=TRUE),1,0)</f>
        <v>0</v>
      </c>
      <c r="CR7" s="120">
        <f ca="1">IF(OR(Tbl_ResidentData[[#This Row],[S4]]=TRUE,Tbl_ResidentData[[#This Row],[P4]]=TRUE),1,0)</f>
        <v>0</v>
      </c>
      <c r="CS7" s="120">
        <f ca="1">IF(OR(Tbl_ResidentData[[#This Row],[S5]]=TRUE,Tbl_ResidentData[[#This Row],[P5]]=TRUE),1,0)</f>
        <v>0</v>
      </c>
      <c r="CT7" s="120">
        <f ca="1">IF(OR(Tbl_ResidentData[[#This Row],[S6]]=TRUE,Tbl_ResidentData[[#This Row],[P6]]=TRUE),1,0)</f>
        <v>0</v>
      </c>
      <c r="CU7" s="120">
        <f ca="1">IF(OR(Tbl_ResidentData[[#This Row],[S7]]=TRUE,Tbl_ResidentData[[#This Row],[P7]]=TRUE),1,0)</f>
        <v>0</v>
      </c>
      <c r="CV7" s="120">
        <f ca="1">IF(OR(Tbl_ResidentData[[#This Row],[S8]]=TRUE,Tbl_ResidentData[[#This Row],[P8]]=TRUE),1,0)</f>
        <v>0</v>
      </c>
      <c r="CW7" s="120">
        <f ca="1">IF(OR(Tbl_ResidentData[[#This Row],[S9]]=TRUE,Tbl_ResidentData[[#This Row],[P9]]=TRUE),1,0)</f>
        <v>0</v>
      </c>
      <c r="CX7" s="120">
        <f ca="1">IF(OR(Tbl_ResidentData[[#This Row],[S10]]=TRUE,Tbl_ResidentData[[#This Row],[P10]]=TRUE),1,0)</f>
        <v>0</v>
      </c>
      <c r="CY7" s="120">
        <f ca="1">IF(OR(Tbl_ResidentData[[#This Row],[S11]]=TRUE,Tbl_ResidentData[[#This Row],[P11]]=TRUE),1,0)</f>
        <v>0</v>
      </c>
      <c r="CZ7" s="120">
        <f ca="1">IF(OR(Tbl_ResidentData[[#This Row],[S12]]=TRUE,Tbl_ResidentData[[#This Row],[P12]]=TRUE),1,0)</f>
        <v>0</v>
      </c>
      <c r="DA7" s="120">
        <f ca="1">IF(OR(Tbl_ResidentData[[#This Row],[S13]]=TRUE,Tbl_ResidentData[[#This Row],[P13]]=TRUE),1,0)</f>
        <v>0</v>
      </c>
      <c r="DB7" s="120">
        <f ca="1">IF(OR(Tbl_ResidentData[[#This Row],[S14]]=TRUE,Tbl_ResidentData[[#This Row],[P14]]=TRUE),1,0)</f>
        <v>0</v>
      </c>
      <c r="DC7" s="120">
        <f ca="1">IF(OR(Tbl_ResidentData[[#This Row],[S15]]=TRUE,Tbl_ResidentData[[#This Row],[P15]]=TRUE),1,0)</f>
        <v>0</v>
      </c>
      <c r="DD7" s="120">
        <f ca="1">IF(OR(Tbl_ResidentData[[#This Row],[S16]]=TRUE,Tbl_ResidentData[[#This Row],[P16]]=TRUE),1,0)</f>
        <v>0</v>
      </c>
      <c r="DE7" s="120">
        <f ca="1">IF(OR(Tbl_ResidentData[[#This Row],[S17]]=TRUE,Tbl_ResidentData[[#This Row],[P17]]=TRUE),1,0)</f>
        <v>0</v>
      </c>
      <c r="DF7" s="120">
        <f ca="1">IF(OR(Tbl_ResidentData[[#This Row],[S18]]=TRUE,Tbl_ResidentData[[#This Row],[P18]]=TRUE),1,0)</f>
        <v>0</v>
      </c>
      <c r="DG7" s="120">
        <f ca="1">IF(OR(Tbl_ResidentData[[#This Row],[S19]]=TRUE,Tbl_ResidentData[[#This Row],[P19]]=TRUE),1,0)</f>
        <v>0</v>
      </c>
      <c r="DH7" s="120">
        <f ca="1">IF(OR(Tbl_ResidentData[[#This Row],[S20]]=TRUE,Tbl_ResidentData[[#This Row],[P20]]=TRUE),1,0)</f>
        <v>0</v>
      </c>
      <c r="DI7" s="120">
        <f ca="1">IF(OR(Tbl_ResidentData[[#This Row],[S21]]=TRUE,Tbl_ResidentData[[#This Row],[P21]]=TRUE),1,0)</f>
        <v>0</v>
      </c>
      <c r="DJ7" s="120">
        <f ca="1">IF(OR(Tbl_ResidentData[[#This Row],[S22]]=TRUE,Tbl_ResidentData[[#This Row],[P22]]=TRUE),1,0)</f>
        <v>0</v>
      </c>
      <c r="DK7" s="120">
        <f ca="1">IF(OR(Tbl_ResidentData[[#This Row],[S23]]=TRUE,Tbl_ResidentData[[#This Row],[P23]]=TRUE),1,0)</f>
        <v>0</v>
      </c>
      <c r="DL7" s="120">
        <f ca="1">IF(OR(Tbl_ResidentData[[#This Row],[S24]]=TRUE,Tbl_ResidentData[[#This Row],[P24]]=TRUE),1,0)</f>
        <v>0</v>
      </c>
      <c r="DM7" s="123" t="str">
        <f ca="1">IFERROR(INDEX($CO$4:$DL$4,MATCH(TRUE,INDEX((Tbl_ResidentData[[#This Row],[Over1]:[Over24]]&lt;&gt;0),0),0)),"")</f>
        <v/>
      </c>
      <c r="DN7" s="133" t="str">
        <f>IFERROR(INDEX(Tbl_PDSAData[Last DRT],MATCH(Tbl_ResidentData[Resident Name '[last, first']],Tbl_PDSAData[Resident Name (last, first)],0)),"")</f>
        <v/>
      </c>
      <c r="DO7" s="222" t="str">
        <f>IFERROR(INDEX(Tbl_PDSAData[Last MR],MATCH(Tbl_ResidentData[Resident Name '[last, first']],Tbl_PDSAData[Resident Name (last, first)],0)),"")</f>
        <v/>
      </c>
    </row>
    <row r="8" spans="1:119" x14ac:dyDescent="0.25">
      <c r="A8" s="179"/>
      <c r="B8" s="180"/>
      <c r="C8" s="180"/>
      <c r="D8" s="218"/>
      <c r="E8" s="179"/>
      <c r="F8" s="181"/>
      <c r="G8" s="181"/>
      <c r="H8" s="182"/>
      <c r="I8" s="186"/>
      <c r="J8" s="387"/>
      <c r="K8" s="178"/>
      <c r="L8" s="388"/>
      <c r="M8" s="187"/>
      <c r="N8" s="387"/>
      <c r="O8" s="178"/>
      <c r="P8" s="388"/>
      <c r="Q8" s="394"/>
      <c r="R8" s="388"/>
      <c r="S8" s="132" t="str">
        <f>IF(ISBLANK(Tbl_ResidentData[[#This Row],[Discharge '[mmm-yyyy']]]),IF(ISBLANK(Tbl_ResidentData[[#This Row],[Enrollment '[mmm-yyyy']]]),"","In Care Home"),"Discharged")</f>
        <v/>
      </c>
      <c r="T8" s="128" t="str">
        <f>IF(ISBLANK(Tbl_ResidentData[[#This Row],[Diagnosis (RAI)]]),IF(ISBLANK(Tbl_ResidentData[[#This Row],[Resident Name '[last, first']]]),"",0),IF(Tbl_ResidentData[[#This Row],[Diagnosis (RAI)]]="Other (see clinical notes)",0,1))</f>
        <v/>
      </c>
      <c r="U8" s="129" t="str">
        <f ca="1">IF(U$4&gt;NOW(),"-",IF(ISBLANK(Tbl_ResidentData[[#This Row],[Enrollment '[mmm-yyyy']]]),"-",AND((Tbl_ResidentData[[#This Row],[Enrollment '[mmm-yyyy']]]&lt;=U$4),IF(ISBLANK(Tbl_ResidentData[[#This Row],[Discharge '[mmm-yyyy']]]),TRUE,(Tbl_ResidentData[[#This Row],[Discharge '[mmm-yyyy']]]&gt;=U$4)))))</f>
        <v>-</v>
      </c>
      <c r="V8" s="121" t="str">
        <f ca="1">IF(V$4&gt;NOW(),"-",IF(ISBLANK(Tbl_ResidentData[[#This Row],[Enrollment '[mmm-yyyy']]]),"-",AND((Tbl_ResidentData[[#This Row],[Enrollment '[mmm-yyyy']]]&lt;=V$4),IF(ISBLANK(Tbl_ResidentData[[#This Row],[Discharge '[mmm-yyyy']]]),TRUE,(Tbl_ResidentData[[#This Row],[Discharge '[mmm-yyyy']]]&gt;=V$4)))))</f>
        <v>-</v>
      </c>
      <c r="W8" s="121" t="str">
        <f ca="1">IF(W$4&gt;NOW(),"-",IF(ISBLANK(Tbl_ResidentData[[#This Row],[Enrollment '[mmm-yyyy']]]),"-",AND((Tbl_ResidentData[[#This Row],[Enrollment '[mmm-yyyy']]]&lt;=W$4),IF(ISBLANK(Tbl_ResidentData[[#This Row],[Discharge '[mmm-yyyy']]]),TRUE,(Tbl_ResidentData[[#This Row],[Discharge '[mmm-yyyy']]]&gt;=W$4)))))</f>
        <v>-</v>
      </c>
      <c r="X8" s="121" t="str">
        <f ca="1">IF(X$4&gt;NOW(),"-",IF(ISBLANK(Tbl_ResidentData[[#This Row],[Enrollment '[mmm-yyyy']]]),"-",AND((Tbl_ResidentData[[#This Row],[Enrollment '[mmm-yyyy']]]&lt;=X$4),IF(ISBLANK(Tbl_ResidentData[[#This Row],[Discharge '[mmm-yyyy']]]),TRUE,(Tbl_ResidentData[[#This Row],[Discharge '[mmm-yyyy']]]&gt;=X$4)))))</f>
        <v>-</v>
      </c>
      <c r="Y8" s="121" t="str">
        <f ca="1">IF(Y$4&gt;NOW(),"-",IF(ISBLANK(Tbl_ResidentData[[#This Row],[Enrollment '[mmm-yyyy']]]),"-",AND((Tbl_ResidentData[[#This Row],[Enrollment '[mmm-yyyy']]]&lt;=Y$4),IF(ISBLANK(Tbl_ResidentData[[#This Row],[Discharge '[mmm-yyyy']]]),TRUE,(Tbl_ResidentData[[#This Row],[Discharge '[mmm-yyyy']]]&gt;=Y$4)))))</f>
        <v>-</v>
      </c>
      <c r="Z8" s="121" t="str">
        <f ca="1">IF(Z$4&gt;NOW(),"-",IF(ISBLANK(Tbl_ResidentData[[#This Row],[Enrollment '[mmm-yyyy']]]),"-",AND((Tbl_ResidentData[[#This Row],[Enrollment '[mmm-yyyy']]]&lt;=Z$4),IF(ISBLANK(Tbl_ResidentData[[#This Row],[Discharge '[mmm-yyyy']]]),TRUE,(Tbl_ResidentData[[#This Row],[Discharge '[mmm-yyyy']]]&gt;=Z$4)))))</f>
        <v>-</v>
      </c>
      <c r="AA8" s="121" t="str">
        <f ca="1">IF(AA$4&gt;NOW(),"-",IF(ISBLANK(Tbl_ResidentData[[#This Row],[Enrollment '[mmm-yyyy']]]),"-",AND((Tbl_ResidentData[[#This Row],[Enrollment '[mmm-yyyy']]]&lt;=AA$4),IF(ISBLANK(Tbl_ResidentData[[#This Row],[Discharge '[mmm-yyyy']]]),TRUE,(Tbl_ResidentData[[#This Row],[Discharge '[mmm-yyyy']]]&gt;=AA$4)))))</f>
        <v>-</v>
      </c>
      <c r="AB8" s="121" t="str">
        <f ca="1">IF(AB$4&gt;NOW(),"-",IF(ISBLANK(Tbl_ResidentData[[#This Row],[Enrollment '[mmm-yyyy']]]),"-",AND((Tbl_ResidentData[[#This Row],[Enrollment '[mmm-yyyy']]]&lt;=AB$4),IF(ISBLANK(Tbl_ResidentData[[#This Row],[Discharge '[mmm-yyyy']]]),TRUE,(Tbl_ResidentData[[#This Row],[Discharge '[mmm-yyyy']]]&gt;=AB$4)))))</f>
        <v>-</v>
      </c>
      <c r="AC8" s="121" t="str">
        <f ca="1">IF(AC$4&gt;NOW(),"-",IF(ISBLANK(Tbl_ResidentData[[#This Row],[Enrollment '[mmm-yyyy']]]),"-",AND((Tbl_ResidentData[[#This Row],[Enrollment '[mmm-yyyy']]]&lt;=AC$4),IF(ISBLANK(Tbl_ResidentData[[#This Row],[Discharge '[mmm-yyyy']]]),TRUE,(Tbl_ResidentData[[#This Row],[Discharge '[mmm-yyyy']]]&gt;=AC$4)))))</f>
        <v>-</v>
      </c>
      <c r="AD8" s="121" t="str">
        <f ca="1">IF(AD$4&gt;NOW(),"-",IF(ISBLANK(Tbl_ResidentData[[#This Row],[Enrollment '[mmm-yyyy']]]),"-",AND((Tbl_ResidentData[[#This Row],[Enrollment '[mmm-yyyy']]]&lt;=AD$4),IF(ISBLANK(Tbl_ResidentData[[#This Row],[Discharge '[mmm-yyyy']]]),TRUE,(Tbl_ResidentData[[#This Row],[Discharge '[mmm-yyyy']]]&gt;=AD$4)))))</f>
        <v>-</v>
      </c>
      <c r="AE8" s="121" t="str">
        <f ca="1">IF(AE$4&gt;NOW(),"-",IF(ISBLANK(Tbl_ResidentData[[#This Row],[Enrollment '[mmm-yyyy']]]),"-",AND((Tbl_ResidentData[[#This Row],[Enrollment '[mmm-yyyy']]]&lt;=AE$4),IF(ISBLANK(Tbl_ResidentData[[#This Row],[Discharge '[mmm-yyyy']]]),TRUE,(Tbl_ResidentData[[#This Row],[Discharge '[mmm-yyyy']]]&gt;=AE$4)))))</f>
        <v>-</v>
      </c>
      <c r="AF8" s="121" t="str">
        <f ca="1">IF(AF$4&gt;NOW(),"-",IF(ISBLANK(Tbl_ResidentData[[#This Row],[Enrollment '[mmm-yyyy']]]),"-",AND((Tbl_ResidentData[[#This Row],[Enrollment '[mmm-yyyy']]]&lt;=AF$4),IF(ISBLANK(Tbl_ResidentData[[#This Row],[Discharge '[mmm-yyyy']]]),TRUE,(Tbl_ResidentData[[#This Row],[Discharge '[mmm-yyyy']]]&gt;=AF$4)))))</f>
        <v>-</v>
      </c>
      <c r="AG8" s="121" t="str">
        <f ca="1">IF(AG$4&gt;NOW(),"-",IF(ISBLANK(Tbl_ResidentData[[#This Row],[Enrollment '[mmm-yyyy']]]),"-",AND((Tbl_ResidentData[[#This Row],[Enrollment '[mmm-yyyy']]]&lt;=AG$4),IF(ISBLANK(Tbl_ResidentData[[#This Row],[Discharge '[mmm-yyyy']]]),TRUE,(Tbl_ResidentData[[#This Row],[Discharge '[mmm-yyyy']]]&gt;=AG$4)))))</f>
        <v>-</v>
      </c>
      <c r="AH8" s="121" t="str">
        <f ca="1">IF(AH$4&gt;NOW(),"-",IF(ISBLANK(Tbl_ResidentData[[#This Row],[Enrollment '[mmm-yyyy']]]),"-",AND((Tbl_ResidentData[[#This Row],[Enrollment '[mmm-yyyy']]]&lt;=AH$4),IF(ISBLANK(Tbl_ResidentData[[#This Row],[Discharge '[mmm-yyyy']]]),TRUE,(Tbl_ResidentData[[#This Row],[Discharge '[mmm-yyyy']]]&gt;=AH$4)))))</f>
        <v>-</v>
      </c>
      <c r="AI8" s="121" t="str">
        <f ca="1">IF(AI$4&gt;NOW(),"-",IF(ISBLANK(Tbl_ResidentData[[#This Row],[Enrollment '[mmm-yyyy']]]),"-",AND((Tbl_ResidentData[[#This Row],[Enrollment '[mmm-yyyy']]]&lt;=AI$4),IF(ISBLANK(Tbl_ResidentData[[#This Row],[Discharge '[mmm-yyyy']]]),TRUE,(Tbl_ResidentData[[#This Row],[Discharge '[mmm-yyyy']]]&gt;=AI$4)))))</f>
        <v>-</v>
      </c>
      <c r="AJ8" s="121" t="str">
        <f ca="1">IF(AJ$4&gt;NOW(),"-",IF(ISBLANK(Tbl_ResidentData[[#This Row],[Enrollment '[mmm-yyyy']]]),"-",AND((Tbl_ResidentData[[#This Row],[Enrollment '[mmm-yyyy']]]&lt;=AJ$4),IF(ISBLANK(Tbl_ResidentData[[#This Row],[Discharge '[mmm-yyyy']]]),TRUE,(Tbl_ResidentData[[#This Row],[Discharge '[mmm-yyyy']]]&gt;=AJ$4)))))</f>
        <v>-</v>
      </c>
      <c r="AK8" s="121" t="str">
        <f ca="1">IF(AK$4&gt;NOW(),"-",IF(ISBLANK(Tbl_ResidentData[[#This Row],[Enrollment '[mmm-yyyy']]]),"-",AND((Tbl_ResidentData[[#This Row],[Enrollment '[mmm-yyyy']]]&lt;=AK$4),IF(ISBLANK(Tbl_ResidentData[[#This Row],[Discharge '[mmm-yyyy']]]),TRUE,(Tbl_ResidentData[[#This Row],[Discharge '[mmm-yyyy']]]&gt;=AK$4)))))</f>
        <v>-</v>
      </c>
      <c r="AL8" s="121" t="str">
        <f ca="1">IF(AL$4&gt;NOW(),"-",IF(ISBLANK(Tbl_ResidentData[[#This Row],[Enrollment '[mmm-yyyy']]]),"-",AND((Tbl_ResidentData[[#This Row],[Enrollment '[mmm-yyyy']]]&lt;=AL$4),IF(ISBLANK(Tbl_ResidentData[[#This Row],[Discharge '[mmm-yyyy']]]),TRUE,(Tbl_ResidentData[[#This Row],[Discharge '[mmm-yyyy']]]&gt;=AL$4)))))</f>
        <v>-</v>
      </c>
      <c r="AM8" s="121" t="str">
        <f ca="1">IF(AM$4&gt;NOW(),"-",IF(ISBLANK(Tbl_ResidentData[[#This Row],[Enrollment '[mmm-yyyy']]]),"-",AND((Tbl_ResidentData[[#This Row],[Enrollment '[mmm-yyyy']]]&lt;=AM$4),IF(ISBLANK(Tbl_ResidentData[[#This Row],[Discharge '[mmm-yyyy']]]),TRUE,(Tbl_ResidentData[[#This Row],[Discharge '[mmm-yyyy']]]&gt;=AM$4)))))</f>
        <v>-</v>
      </c>
      <c r="AN8" s="121" t="str">
        <f ca="1">IF(AN$4&gt;NOW(),"-",IF(ISBLANK(Tbl_ResidentData[[#This Row],[Enrollment '[mmm-yyyy']]]),"-",AND((Tbl_ResidentData[[#This Row],[Enrollment '[mmm-yyyy']]]&lt;=AN$4),IF(ISBLANK(Tbl_ResidentData[[#This Row],[Discharge '[mmm-yyyy']]]),TRUE,(Tbl_ResidentData[[#This Row],[Discharge '[mmm-yyyy']]]&gt;=AN$4)))))</f>
        <v>-</v>
      </c>
      <c r="AO8" s="121" t="str">
        <f ca="1">IF(AO$4&gt;NOW(),"-",IF(ISBLANK(Tbl_ResidentData[[#This Row],[Enrollment '[mmm-yyyy']]]),"-",AND((Tbl_ResidentData[[#This Row],[Enrollment '[mmm-yyyy']]]&lt;=AO$4),IF(ISBLANK(Tbl_ResidentData[[#This Row],[Discharge '[mmm-yyyy']]]),TRUE,(Tbl_ResidentData[[#This Row],[Discharge '[mmm-yyyy']]]&gt;=AO$4)))))</f>
        <v>-</v>
      </c>
      <c r="AP8" s="121" t="str">
        <f ca="1">IF(AP$4&gt;NOW(),"-",IF(ISBLANK(Tbl_ResidentData[[#This Row],[Enrollment '[mmm-yyyy']]]),"-",AND((Tbl_ResidentData[[#This Row],[Enrollment '[mmm-yyyy']]]&lt;=AP$4),IF(ISBLANK(Tbl_ResidentData[[#This Row],[Discharge '[mmm-yyyy']]]),TRUE,(Tbl_ResidentData[[#This Row],[Discharge '[mmm-yyyy']]]&gt;=AP$4)))))</f>
        <v>-</v>
      </c>
      <c r="AQ8" s="121" t="str">
        <f ca="1">IF(AQ$4&gt;NOW(),"-",IF(ISBLANK(Tbl_ResidentData[[#This Row],[Enrollment '[mmm-yyyy']]]),"-",AND((Tbl_ResidentData[[#This Row],[Enrollment '[mmm-yyyy']]]&lt;=AQ$4),IF(ISBLANK(Tbl_ResidentData[[#This Row],[Discharge '[mmm-yyyy']]]),TRUE,(Tbl_ResidentData[[#This Row],[Discharge '[mmm-yyyy']]]&gt;=AQ$4)))))</f>
        <v>-</v>
      </c>
      <c r="AR8" s="122" t="str">
        <f ca="1">IF(AR$4&gt;NOW(),"-",IF(ISBLANK(Tbl_ResidentData[[#This Row],[Enrollment '[mmm-yyyy']]]),"-",AND((Tbl_ResidentData[[#This Row],[Enrollment '[mmm-yyyy']]]&lt;=AR$4),IF(ISBLANK(Tbl_ResidentData[[#This Row],[Discharge '[mmm-yyyy']]]),TRUE,(Tbl_ResidentData[[#This Row],[Discharge '[mmm-yyyy']]]&gt;=AR$4)))))</f>
        <v>-</v>
      </c>
      <c r="AS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 s="120" t="b">
        <f ca="1">AND(Tbl_ResidentData[[#This Row],[PRN Med Started]]&lt;&gt;"",Tbl_ResidentData[[#This Row],[PRN Med Started]]&lt;=NOW(),Tbl_ResidentData[[#This Row],[PRN Med Started]]&lt;=AS$4,OR(Tbl_ResidentData[[#This Row],[PRN Med Discontinued]]&gt;AS$4,ISBLANK(Tbl_ResidentData[[#This Row],[PRN Med Discontinued]])))</f>
        <v>0</v>
      </c>
      <c r="BR8" s="121" t="b">
        <f ca="1">AND(Tbl_ResidentData[[#This Row],[PRN Med Started]]&lt;&gt;"",Tbl_ResidentData[[#This Row],[PRN Med Started]]&lt;=NOW(),Tbl_ResidentData[[#This Row],[PRN Med Started]]&lt;=AT$4,OR(Tbl_ResidentData[[#This Row],[PRN Med Discontinued]]&gt;AT$4,ISBLANK(Tbl_ResidentData[[#This Row],[PRN Med Discontinued]])))</f>
        <v>0</v>
      </c>
      <c r="BS8" s="129" t="b">
        <f ca="1">AND(Tbl_ResidentData[[#This Row],[PRN Med Started]]&lt;&gt;"",Tbl_ResidentData[[#This Row],[PRN Med Started]]&lt;=NOW(),Tbl_ResidentData[[#This Row],[PRN Med Started]]&lt;=AU$4,OR(Tbl_ResidentData[[#This Row],[PRN Med Discontinued]]&gt;AU$4,ISBLANK(Tbl_ResidentData[[#This Row],[PRN Med Discontinued]])))</f>
        <v>0</v>
      </c>
      <c r="BT8" s="129" t="b">
        <f ca="1">AND(Tbl_ResidentData[[#This Row],[PRN Med Started]]&lt;&gt;"",Tbl_ResidentData[[#This Row],[PRN Med Started]]&lt;=NOW(),Tbl_ResidentData[[#This Row],[PRN Med Started]]&lt;=AV$4,OR(Tbl_ResidentData[[#This Row],[PRN Med Discontinued]]&gt;AV$4,ISBLANK(Tbl_ResidentData[[#This Row],[PRN Med Discontinued]])))</f>
        <v>0</v>
      </c>
      <c r="BU8" s="129" t="b">
        <f ca="1">AND(Tbl_ResidentData[[#This Row],[PRN Med Started]]&lt;&gt;"",Tbl_ResidentData[[#This Row],[PRN Med Started]]&lt;=NOW(),Tbl_ResidentData[[#This Row],[PRN Med Started]]&lt;=AW$4,OR(Tbl_ResidentData[[#This Row],[PRN Med Discontinued]]&gt;AW$4,ISBLANK(Tbl_ResidentData[[#This Row],[PRN Med Discontinued]])))</f>
        <v>0</v>
      </c>
      <c r="BV8" s="129" t="b">
        <f ca="1">AND(Tbl_ResidentData[[#This Row],[PRN Med Started]]&lt;&gt;"",Tbl_ResidentData[[#This Row],[PRN Med Started]]&lt;=NOW(),Tbl_ResidentData[[#This Row],[PRN Med Started]]&lt;=AX$4,OR(Tbl_ResidentData[[#This Row],[PRN Med Discontinued]]&gt;AX$4,ISBLANK(Tbl_ResidentData[[#This Row],[PRN Med Discontinued]])))</f>
        <v>0</v>
      </c>
      <c r="BW8" s="129" t="b">
        <f ca="1">AND(Tbl_ResidentData[[#This Row],[PRN Med Started]]&lt;&gt;"",Tbl_ResidentData[[#This Row],[PRN Med Started]]&lt;=NOW(),Tbl_ResidentData[[#This Row],[PRN Med Started]]&lt;=AY$4,OR(Tbl_ResidentData[[#This Row],[PRN Med Discontinued]]&gt;AY$4,ISBLANK(Tbl_ResidentData[[#This Row],[PRN Med Discontinued]])))</f>
        <v>0</v>
      </c>
      <c r="BX8" s="129" t="b">
        <f ca="1">AND(Tbl_ResidentData[[#This Row],[PRN Med Started]]&lt;&gt;"",Tbl_ResidentData[[#This Row],[PRN Med Started]]&lt;=NOW(),Tbl_ResidentData[[#This Row],[PRN Med Started]]&lt;=AZ$4,OR(Tbl_ResidentData[[#This Row],[PRN Med Discontinued]]&gt;AZ$4,ISBLANK(Tbl_ResidentData[[#This Row],[PRN Med Discontinued]])))</f>
        <v>0</v>
      </c>
      <c r="BY8" s="129" t="b">
        <f ca="1">AND(Tbl_ResidentData[[#This Row],[PRN Med Started]]&lt;&gt;"",Tbl_ResidentData[[#This Row],[PRN Med Started]]&lt;=NOW(),Tbl_ResidentData[[#This Row],[PRN Med Started]]&lt;=BA$4,OR(Tbl_ResidentData[[#This Row],[PRN Med Discontinued]]&gt;BA$4,ISBLANK(Tbl_ResidentData[[#This Row],[PRN Med Discontinued]])))</f>
        <v>0</v>
      </c>
      <c r="BZ8" s="129" t="b">
        <f ca="1">AND(Tbl_ResidentData[[#This Row],[PRN Med Started]]&lt;&gt;"",Tbl_ResidentData[[#This Row],[PRN Med Started]]&lt;=NOW(),Tbl_ResidentData[[#This Row],[PRN Med Started]]&lt;=BB$4,OR(Tbl_ResidentData[[#This Row],[PRN Med Discontinued]]&gt;BB$4,ISBLANK(Tbl_ResidentData[[#This Row],[PRN Med Discontinued]])))</f>
        <v>0</v>
      </c>
      <c r="CA8" s="129" t="b">
        <f ca="1">AND(Tbl_ResidentData[[#This Row],[PRN Med Started]]&lt;&gt;"",Tbl_ResidentData[[#This Row],[PRN Med Started]]&lt;=NOW(),Tbl_ResidentData[[#This Row],[PRN Med Started]]&lt;=BC$4,OR(Tbl_ResidentData[[#This Row],[PRN Med Discontinued]]&gt;BC$4,ISBLANK(Tbl_ResidentData[[#This Row],[PRN Med Discontinued]])))</f>
        <v>0</v>
      </c>
      <c r="CB8" s="129" t="b">
        <f ca="1">AND(Tbl_ResidentData[[#This Row],[PRN Med Started]]&lt;&gt;"",Tbl_ResidentData[[#This Row],[PRN Med Started]]&lt;=NOW(),Tbl_ResidentData[[#This Row],[PRN Med Started]]&lt;=BD$4,OR(Tbl_ResidentData[[#This Row],[PRN Med Discontinued]]&gt;BD$4,ISBLANK(Tbl_ResidentData[[#This Row],[PRN Med Discontinued]])))</f>
        <v>0</v>
      </c>
      <c r="CC8" s="129" t="b">
        <f ca="1">AND(Tbl_ResidentData[[#This Row],[PRN Med Started]]&lt;&gt;"",Tbl_ResidentData[[#This Row],[PRN Med Started]]&lt;=NOW(),Tbl_ResidentData[[#This Row],[PRN Med Started]]&lt;=BE$4,OR(Tbl_ResidentData[[#This Row],[PRN Med Discontinued]]&gt;BE$4,ISBLANK(Tbl_ResidentData[[#This Row],[PRN Med Discontinued]])))</f>
        <v>0</v>
      </c>
      <c r="CD8" s="129" t="b">
        <f ca="1">AND(Tbl_ResidentData[[#This Row],[PRN Med Started]]&lt;&gt;"",Tbl_ResidentData[[#This Row],[PRN Med Started]]&lt;=NOW(),Tbl_ResidentData[[#This Row],[PRN Med Started]]&lt;=BF$4,OR(Tbl_ResidentData[[#This Row],[PRN Med Discontinued]]&gt;BF$4,ISBLANK(Tbl_ResidentData[[#This Row],[PRN Med Discontinued]])))</f>
        <v>0</v>
      </c>
      <c r="CE8" s="129" t="b">
        <f ca="1">AND(Tbl_ResidentData[[#This Row],[PRN Med Started]]&lt;&gt;"",Tbl_ResidentData[[#This Row],[PRN Med Started]]&lt;=NOW(),Tbl_ResidentData[[#This Row],[PRN Med Started]]&lt;=BG$4,OR(Tbl_ResidentData[[#This Row],[PRN Med Discontinued]]&gt;BG$4,ISBLANK(Tbl_ResidentData[[#This Row],[PRN Med Discontinued]])))</f>
        <v>0</v>
      </c>
      <c r="CF8" s="129" t="b">
        <f ca="1">AND(Tbl_ResidentData[[#This Row],[PRN Med Started]]&lt;&gt;"",Tbl_ResidentData[[#This Row],[PRN Med Started]]&lt;=NOW(),Tbl_ResidentData[[#This Row],[PRN Med Started]]&lt;=BH$4,OR(Tbl_ResidentData[[#This Row],[PRN Med Discontinued]]&gt;BH$4,ISBLANK(Tbl_ResidentData[[#This Row],[PRN Med Discontinued]])))</f>
        <v>0</v>
      </c>
      <c r="CG8" s="129" t="b">
        <f ca="1">AND(Tbl_ResidentData[[#This Row],[PRN Med Started]]&lt;&gt;"",Tbl_ResidentData[[#This Row],[PRN Med Started]]&lt;=NOW(),Tbl_ResidentData[[#This Row],[PRN Med Started]]&lt;=BI$4,OR(Tbl_ResidentData[[#This Row],[PRN Med Discontinued]]&gt;BI$4,ISBLANK(Tbl_ResidentData[[#This Row],[PRN Med Discontinued]])))</f>
        <v>0</v>
      </c>
      <c r="CH8" s="129" t="b">
        <f ca="1">AND(Tbl_ResidentData[[#This Row],[PRN Med Started]]&lt;&gt;"",Tbl_ResidentData[[#This Row],[PRN Med Started]]&lt;=NOW(),Tbl_ResidentData[[#This Row],[PRN Med Started]]&lt;=BJ$4,OR(Tbl_ResidentData[[#This Row],[PRN Med Discontinued]]&gt;BJ$4,ISBLANK(Tbl_ResidentData[[#This Row],[PRN Med Discontinued]])))</f>
        <v>0</v>
      </c>
      <c r="CI8" s="129" t="b">
        <f ca="1">AND(Tbl_ResidentData[[#This Row],[PRN Med Started]]&lt;&gt;"",Tbl_ResidentData[[#This Row],[PRN Med Started]]&lt;=NOW(),Tbl_ResidentData[[#This Row],[PRN Med Started]]&lt;=BK$4,OR(Tbl_ResidentData[[#This Row],[PRN Med Discontinued]]&gt;BK$4,ISBLANK(Tbl_ResidentData[[#This Row],[PRN Med Discontinued]])))</f>
        <v>0</v>
      </c>
      <c r="CJ8" s="129" t="b">
        <f ca="1">AND(Tbl_ResidentData[[#This Row],[PRN Med Started]]&lt;&gt;"",Tbl_ResidentData[[#This Row],[PRN Med Started]]&lt;=NOW(),Tbl_ResidentData[[#This Row],[PRN Med Started]]&lt;=BL$4,OR(Tbl_ResidentData[[#This Row],[PRN Med Discontinued]]&gt;BL$4,ISBLANK(Tbl_ResidentData[[#This Row],[PRN Med Discontinued]])))</f>
        <v>0</v>
      </c>
      <c r="CK8" s="129" t="b">
        <f ca="1">AND(Tbl_ResidentData[[#This Row],[PRN Med Started]]&lt;&gt;"",Tbl_ResidentData[[#This Row],[PRN Med Started]]&lt;=NOW(),Tbl_ResidentData[[#This Row],[PRN Med Started]]&lt;=BM$4,OR(Tbl_ResidentData[[#This Row],[PRN Med Discontinued]]&gt;BM$4,ISBLANK(Tbl_ResidentData[[#This Row],[PRN Med Discontinued]])))</f>
        <v>0</v>
      </c>
      <c r="CL8" s="129" t="b">
        <f ca="1">AND(Tbl_ResidentData[[#This Row],[PRN Med Started]]&lt;&gt;"",Tbl_ResidentData[[#This Row],[PRN Med Started]]&lt;=NOW(),Tbl_ResidentData[[#This Row],[PRN Med Started]]&lt;=BN$4,OR(Tbl_ResidentData[[#This Row],[PRN Med Discontinued]]&gt;BN$4,ISBLANK(Tbl_ResidentData[[#This Row],[PRN Med Discontinued]])))</f>
        <v>0</v>
      </c>
      <c r="CM8" s="121" t="b">
        <f ca="1">AND(Tbl_ResidentData[[#This Row],[PRN Med Started]]&lt;&gt;"",Tbl_ResidentData[[#This Row],[PRN Med Started]]&lt;=NOW(),Tbl_ResidentData[[#This Row],[PRN Med Started]]&lt;=BO$4,OR(Tbl_ResidentData[[#This Row],[PRN Med Discontinued]]&gt;BO$4,ISBLANK(Tbl_ResidentData[[#This Row],[PRN Med Discontinued]])))</f>
        <v>0</v>
      </c>
      <c r="CN8" s="122" t="b">
        <f ca="1">AND(Tbl_ResidentData[[#This Row],[PRN Med Started]]&lt;&gt;"",Tbl_ResidentData[[#This Row],[PRN Med Started]]&lt;=NOW(),Tbl_ResidentData[[#This Row],[PRN Med Started]]&lt;=BP$4,OR(Tbl_ResidentData[[#This Row],[PRN Med Discontinued]]&gt;BP$4,ISBLANK(Tbl_ResidentData[[#This Row],[PRN Med Discontinued]])))</f>
        <v>0</v>
      </c>
      <c r="CO8" s="120">
        <f ca="1">IF(OR(Tbl_ResidentData[[#This Row],[S1]]=TRUE,Tbl_ResidentData[[#This Row],[P1]]=TRUE),1,0)</f>
        <v>0</v>
      </c>
      <c r="CP8" s="121">
        <f ca="1">IF(OR(Tbl_ResidentData[[#This Row],[S2]]=TRUE,Tbl_ResidentData[[#This Row],[P2]]=TRUE),1,0)</f>
        <v>0</v>
      </c>
      <c r="CQ8" s="121">
        <f ca="1">IF(OR(Tbl_ResidentData[[#This Row],[S3]]=TRUE,Tbl_ResidentData[[#This Row],[P3]]=TRUE),1,0)</f>
        <v>0</v>
      </c>
      <c r="CR8" s="130">
        <f ca="1">IF(OR(Tbl_ResidentData[[#This Row],[S4]]=TRUE,Tbl_ResidentData[[#This Row],[P4]]=TRUE),1,0)</f>
        <v>0</v>
      </c>
      <c r="CS8" s="130">
        <f ca="1">IF(OR(Tbl_ResidentData[[#This Row],[S5]]=TRUE,Tbl_ResidentData[[#This Row],[P5]]=TRUE),1,0)</f>
        <v>0</v>
      </c>
      <c r="CT8" s="130">
        <f ca="1">IF(OR(Tbl_ResidentData[[#This Row],[S6]]=TRUE,Tbl_ResidentData[[#This Row],[P6]]=TRUE),1,0)</f>
        <v>0</v>
      </c>
      <c r="CU8" s="130">
        <f ca="1">IF(OR(Tbl_ResidentData[[#This Row],[S7]]=TRUE,Tbl_ResidentData[[#This Row],[P7]]=TRUE),1,0)</f>
        <v>0</v>
      </c>
      <c r="CV8" s="130">
        <f ca="1">IF(OR(Tbl_ResidentData[[#This Row],[S8]]=TRUE,Tbl_ResidentData[[#This Row],[P8]]=TRUE),1,0)</f>
        <v>0</v>
      </c>
      <c r="CW8" s="130">
        <f ca="1">IF(OR(Tbl_ResidentData[[#This Row],[S9]]=TRUE,Tbl_ResidentData[[#This Row],[P9]]=TRUE),1,0)</f>
        <v>0</v>
      </c>
      <c r="CX8" s="130">
        <f ca="1">IF(OR(Tbl_ResidentData[[#This Row],[S10]]=TRUE,Tbl_ResidentData[[#This Row],[P10]]=TRUE),1,0)</f>
        <v>0</v>
      </c>
      <c r="CY8" s="130">
        <f ca="1">IF(OR(Tbl_ResidentData[[#This Row],[S11]]=TRUE,Tbl_ResidentData[[#This Row],[P11]]=TRUE),1,0)</f>
        <v>0</v>
      </c>
      <c r="CZ8" s="130">
        <f ca="1">IF(OR(Tbl_ResidentData[[#This Row],[S12]]=TRUE,Tbl_ResidentData[[#This Row],[P12]]=TRUE),1,0)</f>
        <v>0</v>
      </c>
      <c r="DA8" s="130">
        <f ca="1">IF(OR(Tbl_ResidentData[[#This Row],[S13]]=TRUE,Tbl_ResidentData[[#This Row],[P13]]=TRUE),1,0)</f>
        <v>0</v>
      </c>
      <c r="DB8" s="130">
        <f ca="1">IF(OR(Tbl_ResidentData[[#This Row],[S14]]=TRUE,Tbl_ResidentData[[#This Row],[P14]]=TRUE),1,0)</f>
        <v>0</v>
      </c>
      <c r="DC8" s="130">
        <f ca="1">IF(OR(Tbl_ResidentData[[#This Row],[S15]]=TRUE,Tbl_ResidentData[[#This Row],[P15]]=TRUE),1,0)</f>
        <v>0</v>
      </c>
      <c r="DD8" s="130">
        <f ca="1">IF(OR(Tbl_ResidentData[[#This Row],[S16]]=TRUE,Tbl_ResidentData[[#This Row],[P16]]=TRUE),1,0)</f>
        <v>0</v>
      </c>
      <c r="DE8" s="130">
        <f ca="1">IF(OR(Tbl_ResidentData[[#This Row],[S17]]=TRUE,Tbl_ResidentData[[#This Row],[P17]]=TRUE),1,0)</f>
        <v>0</v>
      </c>
      <c r="DF8" s="130">
        <f ca="1">IF(OR(Tbl_ResidentData[[#This Row],[S18]]=TRUE,Tbl_ResidentData[[#This Row],[P18]]=TRUE),1,0)</f>
        <v>0</v>
      </c>
      <c r="DG8" s="130">
        <f ca="1">IF(OR(Tbl_ResidentData[[#This Row],[S19]]=TRUE,Tbl_ResidentData[[#This Row],[P19]]=TRUE),1,0)</f>
        <v>0</v>
      </c>
      <c r="DH8" s="130">
        <f ca="1">IF(OR(Tbl_ResidentData[[#This Row],[S20]]=TRUE,Tbl_ResidentData[[#This Row],[P20]]=TRUE),1,0)</f>
        <v>0</v>
      </c>
      <c r="DI8" s="130">
        <f ca="1">IF(OR(Tbl_ResidentData[[#This Row],[S21]]=TRUE,Tbl_ResidentData[[#This Row],[P21]]=TRUE),1,0)</f>
        <v>0</v>
      </c>
      <c r="DJ8" s="130">
        <f ca="1">IF(OR(Tbl_ResidentData[[#This Row],[S22]]=TRUE,Tbl_ResidentData[[#This Row],[P22]]=TRUE),1,0)</f>
        <v>0</v>
      </c>
      <c r="DK8" s="130">
        <f ca="1">IF(OR(Tbl_ResidentData[[#This Row],[S23]]=TRUE,Tbl_ResidentData[[#This Row],[P23]]=TRUE),1,0)</f>
        <v>0</v>
      </c>
      <c r="DL8" s="130">
        <f ca="1">IF(OR(Tbl_ResidentData[[#This Row],[S24]]=TRUE,Tbl_ResidentData[[#This Row],[P24]]=TRUE),1,0)</f>
        <v>0</v>
      </c>
      <c r="DM8" s="123" t="str">
        <f ca="1">IFERROR(INDEX($CO$4:$DL$4,MATCH(TRUE,INDEX((Tbl_ResidentData[[#This Row],[Over1]:[Over24]]&lt;&gt;0),0),0)),"")</f>
        <v/>
      </c>
      <c r="DN8" s="133" t="str">
        <f>IFERROR(INDEX(Tbl_PDSAData[Last DRT],MATCH(Tbl_ResidentData[Resident Name '[last, first']],Tbl_PDSAData[Resident Name (last, first)],0)),"")</f>
        <v/>
      </c>
      <c r="DO8" s="222" t="str">
        <f>IFERROR(INDEX(Tbl_PDSAData[Last MR],MATCH(Tbl_ResidentData[Resident Name '[last, first']],Tbl_PDSAData[Resident Name (last, first)],0)),"")</f>
        <v/>
      </c>
    </row>
    <row r="9" spans="1:119" x14ac:dyDescent="0.25">
      <c r="A9" s="179"/>
      <c r="B9" s="180"/>
      <c r="C9" s="180"/>
      <c r="D9" s="218"/>
      <c r="E9" s="179"/>
      <c r="F9" s="181"/>
      <c r="G9" s="181"/>
      <c r="H9" s="375"/>
      <c r="I9" s="185"/>
      <c r="J9" s="387"/>
      <c r="K9" s="178"/>
      <c r="L9" s="388"/>
      <c r="M9" s="185"/>
      <c r="N9" s="386"/>
      <c r="O9" s="178"/>
      <c r="P9" s="388"/>
      <c r="Q9" s="395"/>
      <c r="R9" s="396"/>
      <c r="S9" s="131" t="str">
        <f>IF(ISBLANK(Tbl_ResidentData[[#This Row],[Discharge '[mmm-yyyy']]]),IF(ISBLANK(Tbl_ResidentData[[#This Row],[Enrollment '[mmm-yyyy']]]),"","In Care Home"),"Discharged")</f>
        <v/>
      </c>
      <c r="T9" s="119" t="str">
        <f>IF(ISBLANK(Tbl_ResidentData[[#This Row],[Diagnosis (RAI)]]),IF(ISBLANK(Tbl_ResidentData[[#This Row],[Resident Name '[last, first']]]),"",0),IF(Tbl_ResidentData[[#This Row],[Diagnosis (RAI)]]="Other (see clinical notes)",0,1))</f>
        <v/>
      </c>
      <c r="U9" s="120" t="str">
        <f ca="1">IF(U$4&gt;NOW(),"-",IF(ISBLANK(Tbl_ResidentData[[#This Row],[Enrollment '[mmm-yyyy']]]),"-",AND((Tbl_ResidentData[[#This Row],[Enrollment '[mmm-yyyy']]]&lt;=U$4),IF(ISBLANK(Tbl_ResidentData[[#This Row],[Discharge '[mmm-yyyy']]]),TRUE,(Tbl_ResidentData[[#This Row],[Discharge '[mmm-yyyy']]]&gt;=U$4)))))</f>
        <v>-</v>
      </c>
      <c r="V9" s="121" t="str">
        <f ca="1">IF(V$4&gt;NOW(),"-",IF(ISBLANK(Tbl_ResidentData[[#This Row],[Enrollment '[mmm-yyyy']]]),"-",AND((Tbl_ResidentData[[#This Row],[Enrollment '[mmm-yyyy']]]&lt;=V$4),IF(ISBLANK(Tbl_ResidentData[[#This Row],[Discharge '[mmm-yyyy']]]),TRUE,(Tbl_ResidentData[[#This Row],[Discharge '[mmm-yyyy']]]&gt;=V$4)))))</f>
        <v>-</v>
      </c>
      <c r="W9" s="121" t="str">
        <f ca="1">IF(W$4&gt;NOW(),"-",IF(ISBLANK(Tbl_ResidentData[[#This Row],[Enrollment '[mmm-yyyy']]]),"-",AND((Tbl_ResidentData[[#This Row],[Enrollment '[mmm-yyyy']]]&lt;=W$4),IF(ISBLANK(Tbl_ResidentData[[#This Row],[Discharge '[mmm-yyyy']]]),TRUE,(Tbl_ResidentData[[#This Row],[Discharge '[mmm-yyyy']]]&gt;=W$4)))))</f>
        <v>-</v>
      </c>
      <c r="X9" s="121" t="str">
        <f ca="1">IF(X$4&gt;NOW(),"-",IF(ISBLANK(Tbl_ResidentData[[#This Row],[Enrollment '[mmm-yyyy']]]),"-",AND((Tbl_ResidentData[[#This Row],[Enrollment '[mmm-yyyy']]]&lt;=X$4),IF(ISBLANK(Tbl_ResidentData[[#This Row],[Discharge '[mmm-yyyy']]]),TRUE,(Tbl_ResidentData[[#This Row],[Discharge '[mmm-yyyy']]]&gt;=X$4)))))</f>
        <v>-</v>
      </c>
      <c r="Y9" s="121" t="str">
        <f ca="1">IF(Y$4&gt;NOW(),"-",IF(ISBLANK(Tbl_ResidentData[[#This Row],[Enrollment '[mmm-yyyy']]]),"-",AND((Tbl_ResidentData[[#This Row],[Enrollment '[mmm-yyyy']]]&lt;=Y$4),IF(ISBLANK(Tbl_ResidentData[[#This Row],[Discharge '[mmm-yyyy']]]),TRUE,(Tbl_ResidentData[[#This Row],[Discharge '[mmm-yyyy']]]&gt;=Y$4)))))</f>
        <v>-</v>
      </c>
      <c r="Z9" s="121" t="str">
        <f ca="1">IF(Z$4&gt;NOW(),"-",IF(ISBLANK(Tbl_ResidentData[[#This Row],[Enrollment '[mmm-yyyy']]]),"-",AND((Tbl_ResidentData[[#This Row],[Enrollment '[mmm-yyyy']]]&lt;=Z$4),IF(ISBLANK(Tbl_ResidentData[[#This Row],[Discharge '[mmm-yyyy']]]),TRUE,(Tbl_ResidentData[[#This Row],[Discharge '[mmm-yyyy']]]&gt;=Z$4)))))</f>
        <v>-</v>
      </c>
      <c r="AA9" s="121" t="str">
        <f ca="1">IF(AA$4&gt;NOW(),"-",IF(ISBLANK(Tbl_ResidentData[[#This Row],[Enrollment '[mmm-yyyy']]]),"-",AND((Tbl_ResidentData[[#This Row],[Enrollment '[mmm-yyyy']]]&lt;=AA$4),IF(ISBLANK(Tbl_ResidentData[[#This Row],[Discharge '[mmm-yyyy']]]),TRUE,(Tbl_ResidentData[[#This Row],[Discharge '[mmm-yyyy']]]&gt;=AA$4)))))</f>
        <v>-</v>
      </c>
      <c r="AB9" s="121" t="str">
        <f ca="1">IF(AB$4&gt;NOW(),"-",IF(ISBLANK(Tbl_ResidentData[[#This Row],[Enrollment '[mmm-yyyy']]]),"-",AND((Tbl_ResidentData[[#This Row],[Enrollment '[mmm-yyyy']]]&lt;=AB$4),IF(ISBLANK(Tbl_ResidentData[[#This Row],[Discharge '[mmm-yyyy']]]),TRUE,(Tbl_ResidentData[[#This Row],[Discharge '[mmm-yyyy']]]&gt;=AB$4)))))</f>
        <v>-</v>
      </c>
      <c r="AC9" s="121" t="str">
        <f ca="1">IF(AC$4&gt;NOW(),"-",IF(ISBLANK(Tbl_ResidentData[[#This Row],[Enrollment '[mmm-yyyy']]]),"-",AND((Tbl_ResidentData[[#This Row],[Enrollment '[mmm-yyyy']]]&lt;=AC$4),IF(ISBLANK(Tbl_ResidentData[[#This Row],[Discharge '[mmm-yyyy']]]),TRUE,(Tbl_ResidentData[[#This Row],[Discharge '[mmm-yyyy']]]&gt;=AC$4)))))</f>
        <v>-</v>
      </c>
      <c r="AD9" s="121" t="str">
        <f ca="1">IF(AD$4&gt;NOW(),"-",IF(ISBLANK(Tbl_ResidentData[[#This Row],[Enrollment '[mmm-yyyy']]]),"-",AND((Tbl_ResidentData[[#This Row],[Enrollment '[mmm-yyyy']]]&lt;=AD$4),IF(ISBLANK(Tbl_ResidentData[[#This Row],[Discharge '[mmm-yyyy']]]),TRUE,(Tbl_ResidentData[[#This Row],[Discharge '[mmm-yyyy']]]&gt;=AD$4)))))</f>
        <v>-</v>
      </c>
      <c r="AE9" s="121" t="str">
        <f ca="1">IF(AE$4&gt;NOW(),"-",IF(ISBLANK(Tbl_ResidentData[[#This Row],[Enrollment '[mmm-yyyy']]]),"-",AND((Tbl_ResidentData[[#This Row],[Enrollment '[mmm-yyyy']]]&lt;=AE$4),IF(ISBLANK(Tbl_ResidentData[[#This Row],[Discharge '[mmm-yyyy']]]),TRUE,(Tbl_ResidentData[[#This Row],[Discharge '[mmm-yyyy']]]&gt;=AE$4)))))</f>
        <v>-</v>
      </c>
      <c r="AF9" s="121" t="str">
        <f ca="1">IF(AF$4&gt;NOW(),"-",IF(ISBLANK(Tbl_ResidentData[[#This Row],[Enrollment '[mmm-yyyy']]]),"-",AND((Tbl_ResidentData[[#This Row],[Enrollment '[mmm-yyyy']]]&lt;=AF$4),IF(ISBLANK(Tbl_ResidentData[[#This Row],[Discharge '[mmm-yyyy']]]),TRUE,(Tbl_ResidentData[[#This Row],[Discharge '[mmm-yyyy']]]&gt;=AF$4)))))</f>
        <v>-</v>
      </c>
      <c r="AG9" s="121" t="str">
        <f ca="1">IF(AG$4&gt;NOW(),"-",IF(ISBLANK(Tbl_ResidentData[[#This Row],[Enrollment '[mmm-yyyy']]]),"-",AND((Tbl_ResidentData[[#This Row],[Enrollment '[mmm-yyyy']]]&lt;=AG$4),IF(ISBLANK(Tbl_ResidentData[[#This Row],[Discharge '[mmm-yyyy']]]),TRUE,(Tbl_ResidentData[[#This Row],[Discharge '[mmm-yyyy']]]&gt;=AG$4)))))</f>
        <v>-</v>
      </c>
      <c r="AH9" s="121" t="str">
        <f ca="1">IF(AH$4&gt;NOW(),"-",IF(ISBLANK(Tbl_ResidentData[[#This Row],[Enrollment '[mmm-yyyy']]]),"-",AND((Tbl_ResidentData[[#This Row],[Enrollment '[mmm-yyyy']]]&lt;=AH$4),IF(ISBLANK(Tbl_ResidentData[[#This Row],[Discharge '[mmm-yyyy']]]),TRUE,(Tbl_ResidentData[[#This Row],[Discharge '[mmm-yyyy']]]&gt;=AH$4)))))</f>
        <v>-</v>
      </c>
      <c r="AI9" s="121" t="str">
        <f ca="1">IF(AI$4&gt;NOW(),"-",IF(ISBLANK(Tbl_ResidentData[[#This Row],[Enrollment '[mmm-yyyy']]]),"-",AND((Tbl_ResidentData[[#This Row],[Enrollment '[mmm-yyyy']]]&lt;=AI$4),IF(ISBLANK(Tbl_ResidentData[[#This Row],[Discharge '[mmm-yyyy']]]),TRUE,(Tbl_ResidentData[[#This Row],[Discharge '[mmm-yyyy']]]&gt;=AI$4)))))</f>
        <v>-</v>
      </c>
      <c r="AJ9" s="121" t="str">
        <f ca="1">IF(AJ$4&gt;NOW(),"-",IF(ISBLANK(Tbl_ResidentData[[#This Row],[Enrollment '[mmm-yyyy']]]),"-",AND((Tbl_ResidentData[[#This Row],[Enrollment '[mmm-yyyy']]]&lt;=AJ$4),IF(ISBLANK(Tbl_ResidentData[[#This Row],[Discharge '[mmm-yyyy']]]),TRUE,(Tbl_ResidentData[[#This Row],[Discharge '[mmm-yyyy']]]&gt;=AJ$4)))))</f>
        <v>-</v>
      </c>
      <c r="AK9" s="121" t="str">
        <f ca="1">IF(AK$4&gt;NOW(),"-",IF(ISBLANK(Tbl_ResidentData[[#This Row],[Enrollment '[mmm-yyyy']]]),"-",AND((Tbl_ResidentData[[#This Row],[Enrollment '[mmm-yyyy']]]&lt;=AK$4),IF(ISBLANK(Tbl_ResidentData[[#This Row],[Discharge '[mmm-yyyy']]]),TRUE,(Tbl_ResidentData[[#This Row],[Discharge '[mmm-yyyy']]]&gt;=AK$4)))))</f>
        <v>-</v>
      </c>
      <c r="AL9" s="121" t="str">
        <f ca="1">IF(AL$4&gt;NOW(),"-",IF(ISBLANK(Tbl_ResidentData[[#This Row],[Enrollment '[mmm-yyyy']]]),"-",AND((Tbl_ResidentData[[#This Row],[Enrollment '[mmm-yyyy']]]&lt;=AL$4),IF(ISBLANK(Tbl_ResidentData[[#This Row],[Discharge '[mmm-yyyy']]]),TRUE,(Tbl_ResidentData[[#This Row],[Discharge '[mmm-yyyy']]]&gt;=AL$4)))))</f>
        <v>-</v>
      </c>
      <c r="AM9" s="121" t="str">
        <f ca="1">IF(AM$4&gt;NOW(),"-",IF(ISBLANK(Tbl_ResidentData[[#This Row],[Enrollment '[mmm-yyyy']]]),"-",AND((Tbl_ResidentData[[#This Row],[Enrollment '[mmm-yyyy']]]&lt;=AM$4),IF(ISBLANK(Tbl_ResidentData[[#This Row],[Discharge '[mmm-yyyy']]]),TRUE,(Tbl_ResidentData[[#This Row],[Discharge '[mmm-yyyy']]]&gt;=AM$4)))))</f>
        <v>-</v>
      </c>
      <c r="AN9" s="121" t="str">
        <f ca="1">IF(AN$4&gt;NOW(),"-",IF(ISBLANK(Tbl_ResidentData[[#This Row],[Enrollment '[mmm-yyyy']]]),"-",AND((Tbl_ResidentData[[#This Row],[Enrollment '[mmm-yyyy']]]&lt;=AN$4),IF(ISBLANK(Tbl_ResidentData[[#This Row],[Discharge '[mmm-yyyy']]]),TRUE,(Tbl_ResidentData[[#This Row],[Discharge '[mmm-yyyy']]]&gt;=AN$4)))))</f>
        <v>-</v>
      </c>
      <c r="AO9" s="121" t="str">
        <f ca="1">IF(AO$4&gt;NOW(),"-",IF(ISBLANK(Tbl_ResidentData[[#This Row],[Enrollment '[mmm-yyyy']]]),"-",AND((Tbl_ResidentData[[#This Row],[Enrollment '[mmm-yyyy']]]&lt;=AO$4),IF(ISBLANK(Tbl_ResidentData[[#This Row],[Discharge '[mmm-yyyy']]]),TRUE,(Tbl_ResidentData[[#This Row],[Discharge '[mmm-yyyy']]]&gt;=AO$4)))))</f>
        <v>-</v>
      </c>
      <c r="AP9" s="121" t="str">
        <f ca="1">IF(AP$4&gt;NOW(),"-",IF(ISBLANK(Tbl_ResidentData[[#This Row],[Enrollment '[mmm-yyyy']]]),"-",AND((Tbl_ResidentData[[#This Row],[Enrollment '[mmm-yyyy']]]&lt;=AP$4),IF(ISBLANK(Tbl_ResidentData[[#This Row],[Discharge '[mmm-yyyy']]]),TRUE,(Tbl_ResidentData[[#This Row],[Discharge '[mmm-yyyy']]]&gt;=AP$4)))))</f>
        <v>-</v>
      </c>
      <c r="AQ9" s="121" t="str">
        <f ca="1">IF(AQ$4&gt;NOW(),"-",IF(ISBLANK(Tbl_ResidentData[[#This Row],[Enrollment '[mmm-yyyy']]]),"-",AND((Tbl_ResidentData[[#This Row],[Enrollment '[mmm-yyyy']]]&lt;=AQ$4),IF(ISBLANK(Tbl_ResidentData[[#This Row],[Discharge '[mmm-yyyy']]]),TRUE,(Tbl_ResidentData[[#This Row],[Discharge '[mmm-yyyy']]]&gt;=AQ$4)))))</f>
        <v>-</v>
      </c>
      <c r="AR9" s="122" t="str">
        <f ca="1">IF(AR$4&gt;NOW(),"-",IF(ISBLANK(Tbl_ResidentData[[#This Row],[Enrollment '[mmm-yyyy']]]),"-",AND((Tbl_ResidentData[[#This Row],[Enrollment '[mmm-yyyy']]]&lt;=AR$4),IF(ISBLANK(Tbl_ResidentData[[#This Row],[Discharge '[mmm-yyyy']]]),TRUE,(Tbl_ResidentData[[#This Row],[Discharge '[mmm-yyyy']]]&gt;=AR$4)))))</f>
        <v>-</v>
      </c>
      <c r="AS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 s="120" t="b">
        <f ca="1">AND(Tbl_ResidentData[[#This Row],[PRN Med Started]]&lt;&gt;"",Tbl_ResidentData[[#This Row],[PRN Med Started]]&lt;=NOW(),Tbl_ResidentData[[#This Row],[PRN Med Started]]&lt;=AS$4,OR(Tbl_ResidentData[[#This Row],[PRN Med Discontinued]]&gt;AS$4,ISBLANK(Tbl_ResidentData[[#This Row],[PRN Med Discontinued]])))</f>
        <v>0</v>
      </c>
      <c r="BR9" s="121" t="b">
        <f ca="1">AND(Tbl_ResidentData[[#This Row],[PRN Med Started]]&lt;&gt;"",Tbl_ResidentData[[#This Row],[PRN Med Started]]&lt;=NOW(),Tbl_ResidentData[[#This Row],[PRN Med Started]]&lt;=AT$4,OR(Tbl_ResidentData[[#This Row],[PRN Med Discontinued]]&gt;AT$4,ISBLANK(Tbl_ResidentData[[#This Row],[PRN Med Discontinued]])))</f>
        <v>0</v>
      </c>
      <c r="BS9" s="121" t="b">
        <f ca="1">AND(Tbl_ResidentData[[#This Row],[PRN Med Started]]&lt;&gt;"",Tbl_ResidentData[[#This Row],[PRN Med Started]]&lt;=NOW(),Tbl_ResidentData[[#This Row],[PRN Med Started]]&lt;=AU$4,OR(Tbl_ResidentData[[#This Row],[PRN Med Discontinued]]&gt;AU$4,ISBLANK(Tbl_ResidentData[[#This Row],[PRN Med Discontinued]])))</f>
        <v>0</v>
      </c>
      <c r="BT9" s="121" t="b">
        <f ca="1">AND(Tbl_ResidentData[[#This Row],[PRN Med Started]]&lt;&gt;"",Tbl_ResidentData[[#This Row],[PRN Med Started]]&lt;=NOW(),Tbl_ResidentData[[#This Row],[PRN Med Started]]&lt;=AV$4,OR(Tbl_ResidentData[[#This Row],[PRN Med Discontinued]]&gt;AV$4,ISBLANK(Tbl_ResidentData[[#This Row],[PRN Med Discontinued]])))</f>
        <v>0</v>
      </c>
      <c r="BU9" s="121" t="b">
        <f ca="1">AND(Tbl_ResidentData[[#This Row],[PRN Med Started]]&lt;&gt;"",Tbl_ResidentData[[#This Row],[PRN Med Started]]&lt;=NOW(),Tbl_ResidentData[[#This Row],[PRN Med Started]]&lt;=AW$4,OR(Tbl_ResidentData[[#This Row],[PRN Med Discontinued]]&gt;AW$4,ISBLANK(Tbl_ResidentData[[#This Row],[PRN Med Discontinued]])))</f>
        <v>0</v>
      </c>
      <c r="BV9" s="121" t="b">
        <f ca="1">AND(Tbl_ResidentData[[#This Row],[PRN Med Started]]&lt;&gt;"",Tbl_ResidentData[[#This Row],[PRN Med Started]]&lt;=NOW(),Tbl_ResidentData[[#This Row],[PRN Med Started]]&lt;=AX$4,OR(Tbl_ResidentData[[#This Row],[PRN Med Discontinued]]&gt;AX$4,ISBLANK(Tbl_ResidentData[[#This Row],[PRN Med Discontinued]])))</f>
        <v>0</v>
      </c>
      <c r="BW9" s="121" t="b">
        <f ca="1">AND(Tbl_ResidentData[[#This Row],[PRN Med Started]]&lt;&gt;"",Tbl_ResidentData[[#This Row],[PRN Med Started]]&lt;=NOW(),Tbl_ResidentData[[#This Row],[PRN Med Started]]&lt;=AY$4,OR(Tbl_ResidentData[[#This Row],[PRN Med Discontinued]]&gt;AY$4,ISBLANK(Tbl_ResidentData[[#This Row],[PRN Med Discontinued]])))</f>
        <v>0</v>
      </c>
      <c r="BX9" s="121" t="b">
        <f ca="1">AND(Tbl_ResidentData[[#This Row],[PRN Med Started]]&lt;&gt;"",Tbl_ResidentData[[#This Row],[PRN Med Started]]&lt;=NOW(),Tbl_ResidentData[[#This Row],[PRN Med Started]]&lt;=AZ$4,OR(Tbl_ResidentData[[#This Row],[PRN Med Discontinued]]&gt;AZ$4,ISBLANK(Tbl_ResidentData[[#This Row],[PRN Med Discontinued]])))</f>
        <v>0</v>
      </c>
      <c r="BY9" s="121" t="b">
        <f ca="1">AND(Tbl_ResidentData[[#This Row],[PRN Med Started]]&lt;&gt;"",Tbl_ResidentData[[#This Row],[PRN Med Started]]&lt;=NOW(),Tbl_ResidentData[[#This Row],[PRN Med Started]]&lt;=BA$4,OR(Tbl_ResidentData[[#This Row],[PRN Med Discontinued]]&gt;BA$4,ISBLANK(Tbl_ResidentData[[#This Row],[PRN Med Discontinued]])))</f>
        <v>0</v>
      </c>
      <c r="BZ9" s="121" t="b">
        <f ca="1">AND(Tbl_ResidentData[[#This Row],[PRN Med Started]]&lt;&gt;"",Tbl_ResidentData[[#This Row],[PRN Med Started]]&lt;=NOW(),Tbl_ResidentData[[#This Row],[PRN Med Started]]&lt;=BB$4,OR(Tbl_ResidentData[[#This Row],[PRN Med Discontinued]]&gt;BB$4,ISBLANK(Tbl_ResidentData[[#This Row],[PRN Med Discontinued]])))</f>
        <v>0</v>
      </c>
      <c r="CA9" s="121" t="b">
        <f ca="1">AND(Tbl_ResidentData[[#This Row],[PRN Med Started]]&lt;&gt;"",Tbl_ResidentData[[#This Row],[PRN Med Started]]&lt;=NOW(),Tbl_ResidentData[[#This Row],[PRN Med Started]]&lt;=BC$4,OR(Tbl_ResidentData[[#This Row],[PRN Med Discontinued]]&gt;BC$4,ISBLANK(Tbl_ResidentData[[#This Row],[PRN Med Discontinued]])))</f>
        <v>0</v>
      </c>
      <c r="CB9" s="121" t="b">
        <f ca="1">AND(Tbl_ResidentData[[#This Row],[PRN Med Started]]&lt;&gt;"",Tbl_ResidentData[[#This Row],[PRN Med Started]]&lt;=NOW(),Tbl_ResidentData[[#This Row],[PRN Med Started]]&lt;=BD$4,OR(Tbl_ResidentData[[#This Row],[PRN Med Discontinued]]&gt;BD$4,ISBLANK(Tbl_ResidentData[[#This Row],[PRN Med Discontinued]])))</f>
        <v>0</v>
      </c>
      <c r="CC9" s="121" t="b">
        <f ca="1">AND(Tbl_ResidentData[[#This Row],[PRN Med Started]]&lt;&gt;"",Tbl_ResidentData[[#This Row],[PRN Med Started]]&lt;=NOW(),Tbl_ResidentData[[#This Row],[PRN Med Started]]&lt;=BE$4,OR(Tbl_ResidentData[[#This Row],[PRN Med Discontinued]]&gt;BE$4,ISBLANK(Tbl_ResidentData[[#This Row],[PRN Med Discontinued]])))</f>
        <v>0</v>
      </c>
      <c r="CD9" s="121" t="b">
        <f ca="1">AND(Tbl_ResidentData[[#This Row],[PRN Med Started]]&lt;&gt;"",Tbl_ResidentData[[#This Row],[PRN Med Started]]&lt;=NOW(),Tbl_ResidentData[[#This Row],[PRN Med Started]]&lt;=BF$4,OR(Tbl_ResidentData[[#This Row],[PRN Med Discontinued]]&gt;BF$4,ISBLANK(Tbl_ResidentData[[#This Row],[PRN Med Discontinued]])))</f>
        <v>0</v>
      </c>
      <c r="CE9" s="121" t="b">
        <f ca="1">AND(Tbl_ResidentData[[#This Row],[PRN Med Started]]&lt;&gt;"",Tbl_ResidentData[[#This Row],[PRN Med Started]]&lt;=NOW(),Tbl_ResidentData[[#This Row],[PRN Med Started]]&lt;=BG$4,OR(Tbl_ResidentData[[#This Row],[PRN Med Discontinued]]&gt;BG$4,ISBLANK(Tbl_ResidentData[[#This Row],[PRN Med Discontinued]])))</f>
        <v>0</v>
      </c>
      <c r="CF9" s="121" t="b">
        <f ca="1">AND(Tbl_ResidentData[[#This Row],[PRN Med Started]]&lt;&gt;"",Tbl_ResidentData[[#This Row],[PRN Med Started]]&lt;=NOW(),Tbl_ResidentData[[#This Row],[PRN Med Started]]&lt;=BH$4,OR(Tbl_ResidentData[[#This Row],[PRN Med Discontinued]]&gt;BH$4,ISBLANK(Tbl_ResidentData[[#This Row],[PRN Med Discontinued]])))</f>
        <v>0</v>
      </c>
      <c r="CG9" s="121" t="b">
        <f ca="1">AND(Tbl_ResidentData[[#This Row],[PRN Med Started]]&lt;&gt;"",Tbl_ResidentData[[#This Row],[PRN Med Started]]&lt;=NOW(),Tbl_ResidentData[[#This Row],[PRN Med Started]]&lt;=BI$4,OR(Tbl_ResidentData[[#This Row],[PRN Med Discontinued]]&gt;BI$4,ISBLANK(Tbl_ResidentData[[#This Row],[PRN Med Discontinued]])))</f>
        <v>0</v>
      </c>
      <c r="CH9" s="121" t="b">
        <f ca="1">AND(Tbl_ResidentData[[#This Row],[PRN Med Started]]&lt;&gt;"",Tbl_ResidentData[[#This Row],[PRN Med Started]]&lt;=NOW(),Tbl_ResidentData[[#This Row],[PRN Med Started]]&lt;=BJ$4,OR(Tbl_ResidentData[[#This Row],[PRN Med Discontinued]]&gt;BJ$4,ISBLANK(Tbl_ResidentData[[#This Row],[PRN Med Discontinued]])))</f>
        <v>0</v>
      </c>
      <c r="CI9" s="121" t="b">
        <f ca="1">AND(Tbl_ResidentData[[#This Row],[PRN Med Started]]&lt;&gt;"",Tbl_ResidentData[[#This Row],[PRN Med Started]]&lt;=NOW(),Tbl_ResidentData[[#This Row],[PRN Med Started]]&lt;=BK$4,OR(Tbl_ResidentData[[#This Row],[PRN Med Discontinued]]&gt;BK$4,ISBLANK(Tbl_ResidentData[[#This Row],[PRN Med Discontinued]])))</f>
        <v>0</v>
      </c>
      <c r="CJ9" s="121" t="b">
        <f ca="1">AND(Tbl_ResidentData[[#This Row],[PRN Med Started]]&lt;&gt;"",Tbl_ResidentData[[#This Row],[PRN Med Started]]&lt;=NOW(),Tbl_ResidentData[[#This Row],[PRN Med Started]]&lt;=BL$4,OR(Tbl_ResidentData[[#This Row],[PRN Med Discontinued]]&gt;BL$4,ISBLANK(Tbl_ResidentData[[#This Row],[PRN Med Discontinued]])))</f>
        <v>0</v>
      </c>
      <c r="CK9" s="121" t="b">
        <f ca="1">AND(Tbl_ResidentData[[#This Row],[PRN Med Started]]&lt;&gt;"",Tbl_ResidentData[[#This Row],[PRN Med Started]]&lt;=NOW(),Tbl_ResidentData[[#This Row],[PRN Med Started]]&lt;=BM$4,OR(Tbl_ResidentData[[#This Row],[PRN Med Discontinued]]&gt;BM$4,ISBLANK(Tbl_ResidentData[[#This Row],[PRN Med Discontinued]])))</f>
        <v>0</v>
      </c>
      <c r="CL9" s="121" t="b">
        <f ca="1">AND(Tbl_ResidentData[[#This Row],[PRN Med Started]]&lt;&gt;"",Tbl_ResidentData[[#This Row],[PRN Med Started]]&lt;=NOW(),Tbl_ResidentData[[#This Row],[PRN Med Started]]&lt;=BN$4,OR(Tbl_ResidentData[[#This Row],[PRN Med Discontinued]]&gt;BN$4,ISBLANK(Tbl_ResidentData[[#This Row],[PRN Med Discontinued]])))</f>
        <v>0</v>
      </c>
      <c r="CM9" s="121" t="b">
        <f ca="1">AND(Tbl_ResidentData[[#This Row],[PRN Med Started]]&lt;&gt;"",Tbl_ResidentData[[#This Row],[PRN Med Started]]&lt;=NOW(),Tbl_ResidentData[[#This Row],[PRN Med Started]]&lt;=BO$4,OR(Tbl_ResidentData[[#This Row],[PRN Med Discontinued]]&gt;BO$4,ISBLANK(Tbl_ResidentData[[#This Row],[PRN Med Discontinued]])))</f>
        <v>0</v>
      </c>
      <c r="CN9" s="122" t="b">
        <f ca="1">AND(Tbl_ResidentData[[#This Row],[PRN Med Started]]&lt;&gt;"",Tbl_ResidentData[[#This Row],[PRN Med Started]]&lt;=NOW(),Tbl_ResidentData[[#This Row],[PRN Med Started]]&lt;=BP$4,OR(Tbl_ResidentData[[#This Row],[PRN Med Discontinued]]&gt;BP$4,ISBLANK(Tbl_ResidentData[[#This Row],[PRN Med Discontinued]])))</f>
        <v>0</v>
      </c>
      <c r="CO9" s="120">
        <f ca="1">IF(OR(Tbl_ResidentData[[#This Row],[S1]]=TRUE,Tbl_ResidentData[[#This Row],[P1]]=TRUE),1,0)</f>
        <v>0</v>
      </c>
      <c r="CP9" s="121">
        <f ca="1">IF(OR(Tbl_ResidentData[[#This Row],[S2]]=TRUE,Tbl_ResidentData[[#This Row],[P2]]=TRUE),1,0)</f>
        <v>0</v>
      </c>
      <c r="CQ9" s="121">
        <f ca="1">IF(OR(Tbl_ResidentData[[#This Row],[S3]]=TRUE,Tbl_ResidentData[[#This Row],[P3]]=TRUE),1,0)</f>
        <v>0</v>
      </c>
      <c r="CR9" s="120">
        <f ca="1">IF(OR(Tbl_ResidentData[[#This Row],[S4]]=TRUE,Tbl_ResidentData[[#This Row],[P4]]=TRUE),1,0)</f>
        <v>0</v>
      </c>
      <c r="CS9" s="120">
        <f ca="1">IF(OR(Tbl_ResidentData[[#This Row],[S5]]=TRUE,Tbl_ResidentData[[#This Row],[P5]]=TRUE),1,0)</f>
        <v>0</v>
      </c>
      <c r="CT9" s="120">
        <f ca="1">IF(OR(Tbl_ResidentData[[#This Row],[S6]]=TRUE,Tbl_ResidentData[[#This Row],[P6]]=TRUE),1,0)</f>
        <v>0</v>
      </c>
      <c r="CU9" s="120">
        <f ca="1">IF(OR(Tbl_ResidentData[[#This Row],[S7]]=TRUE,Tbl_ResidentData[[#This Row],[P7]]=TRUE),1,0)</f>
        <v>0</v>
      </c>
      <c r="CV9" s="120">
        <f ca="1">IF(OR(Tbl_ResidentData[[#This Row],[S8]]=TRUE,Tbl_ResidentData[[#This Row],[P8]]=TRUE),1,0)</f>
        <v>0</v>
      </c>
      <c r="CW9" s="120">
        <f ca="1">IF(OR(Tbl_ResidentData[[#This Row],[S9]]=TRUE,Tbl_ResidentData[[#This Row],[P9]]=TRUE),1,0)</f>
        <v>0</v>
      </c>
      <c r="CX9" s="120">
        <f ca="1">IF(OR(Tbl_ResidentData[[#This Row],[S10]]=TRUE,Tbl_ResidentData[[#This Row],[P10]]=TRUE),1,0)</f>
        <v>0</v>
      </c>
      <c r="CY9" s="120">
        <f ca="1">IF(OR(Tbl_ResidentData[[#This Row],[S11]]=TRUE,Tbl_ResidentData[[#This Row],[P11]]=TRUE),1,0)</f>
        <v>0</v>
      </c>
      <c r="CZ9" s="120">
        <f ca="1">IF(OR(Tbl_ResidentData[[#This Row],[S12]]=TRUE,Tbl_ResidentData[[#This Row],[P12]]=TRUE),1,0)</f>
        <v>0</v>
      </c>
      <c r="DA9" s="120">
        <f ca="1">IF(OR(Tbl_ResidentData[[#This Row],[S13]]=TRUE,Tbl_ResidentData[[#This Row],[P13]]=TRUE),1,0)</f>
        <v>0</v>
      </c>
      <c r="DB9" s="120">
        <f ca="1">IF(OR(Tbl_ResidentData[[#This Row],[S14]]=TRUE,Tbl_ResidentData[[#This Row],[P14]]=TRUE),1,0)</f>
        <v>0</v>
      </c>
      <c r="DC9" s="120">
        <f ca="1">IF(OR(Tbl_ResidentData[[#This Row],[S15]]=TRUE,Tbl_ResidentData[[#This Row],[P15]]=TRUE),1,0)</f>
        <v>0</v>
      </c>
      <c r="DD9" s="120">
        <f ca="1">IF(OR(Tbl_ResidentData[[#This Row],[S16]]=TRUE,Tbl_ResidentData[[#This Row],[P16]]=TRUE),1,0)</f>
        <v>0</v>
      </c>
      <c r="DE9" s="120">
        <f ca="1">IF(OR(Tbl_ResidentData[[#This Row],[S17]]=TRUE,Tbl_ResidentData[[#This Row],[P17]]=TRUE),1,0)</f>
        <v>0</v>
      </c>
      <c r="DF9" s="120">
        <f ca="1">IF(OR(Tbl_ResidentData[[#This Row],[S18]]=TRUE,Tbl_ResidentData[[#This Row],[P18]]=TRUE),1,0)</f>
        <v>0</v>
      </c>
      <c r="DG9" s="120">
        <f ca="1">IF(OR(Tbl_ResidentData[[#This Row],[S19]]=TRUE,Tbl_ResidentData[[#This Row],[P19]]=TRUE),1,0)</f>
        <v>0</v>
      </c>
      <c r="DH9" s="120">
        <f ca="1">IF(OR(Tbl_ResidentData[[#This Row],[S20]]=TRUE,Tbl_ResidentData[[#This Row],[P20]]=TRUE),1,0)</f>
        <v>0</v>
      </c>
      <c r="DI9" s="120">
        <f ca="1">IF(OR(Tbl_ResidentData[[#This Row],[S21]]=TRUE,Tbl_ResidentData[[#This Row],[P21]]=TRUE),1,0)</f>
        <v>0</v>
      </c>
      <c r="DJ9" s="120">
        <f ca="1">IF(OR(Tbl_ResidentData[[#This Row],[S22]]=TRUE,Tbl_ResidentData[[#This Row],[P22]]=TRUE),1,0)</f>
        <v>0</v>
      </c>
      <c r="DK9" s="120">
        <f ca="1">IF(OR(Tbl_ResidentData[[#This Row],[S23]]=TRUE,Tbl_ResidentData[[#This Row],[P23]]=TRUE),1,0)</f>
        <v>0</v>
      </c>
      <c r="DL9" s="120">
        <f ca="1">IF(OR(Tbl_ResidentData[[#This Row],[S24]]=TRUE,Tbl_ResidentData[[#This Row],[P24]]=TRUE),1,0)</f>
        <v>0</v>
      </c>
      <c r="DM9" s="123" t="str">
        <f ca="1">IFERROR(INDEX($CO$4:$DL$4,MATCH(TRUE,INDEX((Tbl_ResidentData[[#This Row],[Over1]:[Over24]]&lt;&gt;0),0),0)),"")</f>
        <v/>
      </c>
      <c r="DN9" s="133" t="str">
        <f>IFERROR(INDEX(Tbl_PDSAData[Last DRT],MATCH(Tbl_ResidentData[Resident Name '[last, first']],Tbl_PDSAData[Resident Name (last, first)],0)),"")</f>
        <v/>
      </c>
      <c r="DO9" s="222" t="str">
        <f>IFERROR(INDEX(Tbl_PDSAData[Last MR],MATCH(Tbl_ResidentData[Resident Name '[last, first']],Tbl_PDSAData[Resident Name (last, first)],0)),"")</f>
        <v/>
      </c>
    </row>
    <row r="10" spans="1:119" x14ac:dyDescent="0.25">
      <c r="A10" s="179"/>
      <c r="B10" s="180"/>
      <c r="C10" s="180"/>
      <c r="D10" s="218"/>
      <c r="E10" s="179"/>
      <c r="F10" s="181"/>
      <c r="G10" s="181"/>
      <c r="H10" s="375"/>
      <c r="I10" s="185"/>
      <c r="J10" s="387"/>
      <c r="K10" s="178"/>
      <c r="L10" s="388"/>
      <c r="M10" s="185"/>
      <c r="N10" s="386"/>
      <c r="O10" s="178"/>
      <c r="P10" s="388"/>
      <c r="Q10" s="394"/>
      <c r="R10" s="388"/>
      <c r="S10" s="131" t="str">
        <f>IF(ISBLANK(Tbl_ResidentData[[#This Row],[Discharge '[mmm-yyyy']]]),IF(ISBLANK(Tbl_ResidentData[[#This Row],[Enrollment '[mmm-yyyy']]]),"","In Care Home"),"Discharged")</f>
        <v/>
      </c>
      <c r="T10" s="119" t="str">
        <f>IF(ISBLANK(Tbl_ResidentData[[#This Row],[Diagnosis (RAI)]]),IF(ISBLANK(Tbl_ResidentData[[#This Row],[Resident Name '[last, first']]]),"",0),IF(Tbl_ResidentData[[#This Row],[Diagnosis (RAI)]]="Other (see clinical notes)",0,1))</f>
        <v/>
      </c>
      <c r="U10" s="120" t="str">
        <f ca="1">IF(U$4&gt;NOW(),"-",IF(ISBLANK(Tbl_ResidentData[[#This Row],[Enrollment '[mmm-yyyy']]]),"-",AND((Tbl_ResidentData[[#This Row],[Enrollment '[mmm-yyyy']]]&lt;=U$4),IF(ISBLANK(Tbl_ResidentData[[#This Row],[Discharge '[mmm-yyyy']]]),TRUE,(Tbl_ResidentData[[#This Row],[Discharge '[mmm-yyyy']]]&gt;=U$4)))))</f>
        <v>-</v>
      </c>
      <c r="V10" s="121" t="str">
        <f ca="1">IF(V$4&gt;NOW(),"-",IF(ISBLANK(Tbl_ResidentData[[#This Row],[Enrollment '[mmm-yyyy']]]),"-",AND((Tbl_ResidentData[[#This Row],[Enrollment '[mmm-yyyy']]]&lt;=V$4),IF(ISBLANK(Tbl_ResidentData[[#This Row],[Discharge '[mmm-yyyy']]]),TRUE,(Tbl_ResidentData[[#This Row],[Discharge '[mmm-yyyy']]]&gt;=V$4)))))</f>
        <v>-</v>
      </c>
      <c r="W10" s="121" t="str">
        <f ca="1">IF(W$4&gt;NOW(),"-",IF(ISBLANK(Tbl_ResidentData[[#This Row],[Enrollment '[mmm-yyyy']]]),"-",AND((Tbl_ResidentData[[#This Row],[Enrollment '[mmm-yyyy']]]&lt;=W$4),IF(ISBLANK(Tbl_ResidentData[[#This Row],[Discharge '[mmm-yyyy']]]),TRUE,(Tbl_ResidentData[[#This Row],[Discharge '[mmm-yyyy']]]&gt;=W$4)))))</f>
        <v>-</v>
      </c>
      <c r="X10" s="121" t="str">
        <f ca="1">IF(X$4&gt;NOW(),"-",IF(ISBLANK(Tbl_ResidentData[[#This Row],[Enrollment '[mmm-yyyy']]]),"-",AND((Tbl_ResidentData[[#This Row],[Enrollment '[mmm-yyyy']]]&lt;=X$4),IF(ISBLANK(Tbl_ResidentData[[#This Row],[Discharge '[mmm-yyyy']]]),TRUE,(Tbl_ResidentData[[#This Row],[Discharge '[mmm-yyyy']]]&gt;=X$4)))))</f>
        <v>-</v>
      </c>
      <c r="Y10" s="121" t="str">
        <f ca="1">IF(Y$4&gt;NOW(),"-",IF(ISBLANK(Tbl_ResidentData[[#This Row],[Enrollment '[mmm-yyyy']]]),"-",AND((Tbl_ResidentData[[#This Row],[Enrollment '[mmm-yyyy']]]&lt;=Y$4),IF(ISBLANK(Tbl_ResidentData[[#This Row],[Discharge '[mmm-yyyy']]]),TRUE,(Tbl_ResidentData[[#This Row],[Discharge '[mmm-yyyy']]]&gt;=Y$4)))))</f>
        <v>-</v>
      </c>
      <c r="Z10" s="121" t="str">
        <f ca="1">IF(Z$4&gt;NOW(),"-",IF(ISBLANK(Tbl_ResidentData[[#This Row],[Enrollment '[mmm-yyyy']]]),"-",AND((Tbl_ResidentData[[#This Row],[Enrollment '[mmm-yyyy']]]&lt;=Z$4),IF(ISBLANK(Tbl_ResidentData[[#This Row],[Discharge '[mmm-yyyy']]]),TRUE,(Tbl_ResidentData[[#This Row],[Discharge '[mmm-yyyy']]]&gt;=Z$4)))))</f>
        <v>-</v>
      </c>
      <c r="AA10" s="121" t="str">
        <f ca="1">IF(AA$4&gt;NOW(),"-",IF(ISBLANK(Tbl_ResidentData[[#This Row],[Enrollment '[mmm-yyyy']]]),"-",AND((Tbl_ResidentData[[#This Row],[Enrollment '[mmm-yyyy']]]&lt;=AA$4),IF(ISBLANK(Tbl_ResidentData[[#This Row],[Discharge '[mmm-yyyy']]]),TRUE,(Tbl_ResidentData[[#This Row],[Discharge '[mmm-yyyy']]]&gt;=AA$4)))))</f>
        <v>-</v>
      </c>
      <c r="AB10" s="121" t="str">
        <f ca="1">IF(AB$4&gt;NOW(),"-",IF(ISBLANK(Tbl_ResidentData[[#This Row],[Enrollment '[mmm-yyyy']]]),"-",AND((Tbl_ResidentData[[#This Row],[Enrollment '[mmm-yyyy']]]&lt;=AB$4),IF(ISBLANK(Tbl_ResidentData[[#This Row],[Discharge '[mmm-yyyy']]]),TRUE,(Tbl_ResidentData[[#This Row],[Discharge '[mmm-yyyy']]]&gt;=AB$4)))))</f>
        <v>-</v>
      </c>
      <c r="AC10" s="121" t="str">
        <f ca="1">IF(AC$4&gt;NOW(),"-",IF(ISBLANK(Tbl_ResidentData[[#This Row],[Enrollment '[mmm-yyyy']]]),"-",AND((Tbl_ResidentData[[#This Row],[Enrollment '[mmm-yyyy']]]&lt;=AC$4),IF(ISBLANK(Tbl_ResidentData[[#This Row],[Discharge '[mmm-yyyy']]]),TRUE,(Tbl_ResidentData[[#This Row],[Discharge '[mmm-yyyy']]]&gt;=AC$4)))))</f>
        <v>-</v>
      </c>
      <c r="AD10" s="121" t="str">
        <f ca="1">IF(AD$4&gt;NOW(),"-",IF(ISBLANK(Tbl_ResidentData[[#This Row],[Enrollment '[mmm-yyyy']]]),"-",AND((Tbl_ResidentData[[#This Row],[Enrollment '[mmm-yyyy']]]&lt;=AD$4),IF(ISBLANK(Tbl_ResidentData[[#This Row],[Discharge '[mmm-yyyy']]]),TRUE,(Tbl_ResidentData[[#This Row],[Discharge '[mmm-yyyy']]]&gt;=AD$4)))))</f>
        <v>-</v>
      </c>
      <c r="AE10" s="121" t="str">
        <f ca="1">IF(AE$4&gt;NOW(),"-",IF(ISBLANK(Tbl_ResidentData[[#This Row],[Enrollment '[mmm-yyyy']]]),"-",AND((Tbl_ResidentData[[#This Row],[Enrollment '[mmm-yyyy']]]&lt;=AE$4),IF(ISBLANK(Tbl_ResidentData[[#This Row],[Discharge '[mmm-yyyy']]]),TRUE,(Tbl_ResidentData[[#This Row],[Discharge '[mmm-yyyy']]]&gt;=AE$4)))))</f>
        <v>-</v>
      </c>
      <c r="AF10" s="121" t="str">
        <f ca="1">IF(AF$4&gt;NOW(),"-",IF(ISBLANK(Tbl_ResidentData[[#This Row],[Enrollment '[mmm-yyyy']]]),"-",AND((Tbl_ResidentData[[#This Row],[Enrollment '[mmm-yyyy']]]&lt;=AF$4),IF(ISBLANK(Tbl_ResidentData[[#This Row],[Discharge '[mmm-yyyy']]]),TRUE,(Tbl_ResidentData[[#This Row],[Discharge '[mmm-yyyy']]]&gt;=AF$4)))))</f>
        <v>-</v>
      </c>
      <c r="AG10" s="121" t="str">
        <f ca="1">IF(AG$4&gt;NOW(),"-",IF(ISBLANK(Tbl_ResidentData[[#This Row],[Enrollment '[mmm-yyyy']]]),"-",AND((Tbl_ResidentData[[#This Row],[Enrollment '[mmm-yyyy']]]&lt;=AG$4),IF(ISBLANK(Tbl_ResidentData[[#This Row],[Discharge '[mmm-yyyy']]]),TRUE,(Tbl_ResidentData[[#This Row],[Discharge '[mmm-yyyy']]]&gt;=AG$4)))))</f>
        <v>-</v>
      </c>
      <c r="AH10" s="121" t="str">
        <f ca="1">IF(AH$4&gt;NOW(),"-",IF(ISBLANK(Tbl_ResidentData[[#This Row],[Enrollment '[mmm-yyyy']]]),"-",AND((Tbl_ResidentData[[#This Row],[Enrollment '[mmm-yyyy']]]&lt;=AH$4),IF(ISBLANK(Tbl_ResidentData[[#This Row],[Discharge '[mmm-yyyy']]]),TRUE,(Tbl_ResidentData[[#This Row],[Discharge '[mmm-yyyy']]]&gt;=AH$4)))))</f>
        <v>-</v>
      </c>
      <c r="AI10" s="121" t="str">
        <f ca="1">IF(AI$4&gt;NOW(),"-",IF(ISBLANK(Tbl_ResidentData[[#This Row],[Enrollment '[mmm-yyyy']]]),"-",AND((Tbl_ResidentData[[#This Row],[Enrollment '[mmm-yyyy']]]&lt;=AI$4),IF(ISBLANK(Tbl_ResidentData[[#This Row],[Discharge '[mmm-yyyy']]]),TRUE,(Tbl_ResidentData[[#This Row],[Discharge '[mmm-yyyy']]]&gt;=AI$4)))))</f>
        <v>-</v>
      </c>
      <c r="AJ10" s="121" t="str">
        <f ca="1">IF(AJ$4&gt;NOW(),"-",IF(ISBLANK(Tbl_ResidentData[[#This Row],[Enrollment '[mmm-yyyy']]]),"-",AND((Tbl_ResidentData[[#This Row],[Enrollment '[mmm-yyyy']]]&lt;=AJ$4),IF(ISBLANK(Tbl_ResidentData[[#This Row],[Discharge '[mmm-yyyy']]]),TRUE,(Tbl_ResidentData[[#This Row],[Discharge '[mmm-yyyy']]]&gt;=AJ$4)))))</f>
        <v>-</v>
      </c>
      <c r="AK10" s="121" t="str">
        <f ca="1">IF(AK$4&gt;NOW(),"-",IF(ISBLANK(Tbl_ResidentData[[#This Row],[Enrollment '[mmm-yyyy']]]),"-",AND((Tbl_ResidentData[[#This Row],[Enrollment '[mmm-yyyy']]]&lt;=AK$4),IF(ISBLANK(Tbl_ResidentData[[#This Row],[Discharge '[mmm-yyyy']]]),TRUE,(Tbl_ResidentData[[#This Row],[Discharge '[mmm-yyyy']]]&gt;=AK$4)))))</f>
        <v>-</v>
      </c>
      <c r="AL10" s="121" t="str">
        <f ca="1">IF(AL$4&gt;NOW(),"-",IF(ISBLANK(Tbl_ResidentData[[#This Row],[Enrollment '[mmm-yyyy']]]),"-",AND((Tbl_ResidentData[[#This Row],[Enrollment '[mmm-yyyy']]]&lt;=AL$4),IF(ISBLANK(Tbl_ResidentData[[#This Row],[Discharge '[mmm-yyyy']]]),TRUE,(Tbl_ResidentData[[#This Row],[Discharge '[mmm-yyyy']]]&gt;=AL$4)))))</f>
        <v>-</v>
      </c>
      <c r="AM10" s="121" t="str">
        <f ca="1">IF(AM$4&gt;NOW(),"-",IF(ISBLANK(Tbl_ResidentData[[#This Row],[Enrollment '[mmm-yyyy']]]),"-",AND((Tbl_ResidentData[[#This Row],[Enrollment '[mmm-yyyy']]]&lt;=AM$4),IF(ISBLANK(Tbl_ResidentData[[#This Row],[Discharge '[mmm-yyyy']]]),TRUE,(Tbl_ResidentData[[#This Row],[Discharge '[mmm-yyyy']]]&gt;=AM$4)))))</f>
        <v>-</v>
      </c>
      <c r="AN10" s="121" t="str">
        <f ca="1">IF(AN$4&gt;NOW(),"-",IF(ISBLANK(Tbl_ResidentData[[#This Row],[Enrollment '[mmm-yyyy']]]),"-",AND((Tbl_ResidentData[[#This Row],[Enrollment '[mmm-yyyy']]]&lt;=AN$4),IF(ISBLANK(Tbl_ResidentData[[#This Row],[Discharge '[mmm-yyyy']]]),TRUE,(Tbl_ResidentData[[#This Row],[Discharge '[mmm-yyyy']]]&gt;=AN$4)))))</f>
        <v>-</v>
      </c>
      <c r="AO10" s="121" t="str">
        <f ca="1">IF(AO$4&gt;NOW(),"-",IF(ISBLANK(Tbl_ResidentData[[#This Row],[Enrollment '[mmm-yyyy']]]),"-",AND((Tbl_ResidentData[[#This Row],[Enrollment '[mmm-yyyy']]]&lt;=AO$4),IF(ISBLANK(Tbl_ResidentData[[#This Row],[Discharge '[mmm-yyyy']]]),TRUE,(Tbl_ResidentData[[#This Row],[Discharge '[mmm-yyyy']]]&gt;=AO$4)))))</f>
        <v>-</v>
      </c>
      <c r="AP10" s="121" t="str">
        <f ca="1">IF(AP$4&gt;NOW(),"-",IF(ISBLANK(Tbl_ResidentData[[#This Row],[Enrollment '[mmm-yyyy']]]),"-",AND((Tbl_ResidentData[[#This Row],[Enrollment '[mmm-yyyy']]]&lt;=AP$4),IF(ISBLANK(Tbl_ResidentData[[#This Row],[Discharge '[mmm-yyyy']]]),TRUE,(Tbl_ResidentData[[#This Row],[Discharge '[mmm-yyyy']]]&gt;=AP$4)))))</f>
        <v>-</v>
      </c>
      <c r="AQ10" s="121" t="str">
        <f ca="1">IF(AQ$4&gt;NOW(),"-",IF(ISBLANK(Tbl_ResidentData[[#This Row],[Enrollment '[mmm-yyyy']]]),"-",AND((Tbl_ResidentData[[#This Row],[Enrollment '[mmm-yyyy']]]&lt;=AQ$4),IF(ISBLANK(Tbl_ResidentData[[#This Row],[Discharge '[mmm-yyyy']]]),TRUE,(Tbl_ResidentData[[#This Row],[Discharge '[mmm-yyyy']]]&gt;=AQ$4)))))</f>
        <v>-</v>
      </c>
      <c r="AR10" s="122" t="str">
        <f ca="1">IF(AR$4&gt;NOW(),"-",IF(ISBLANK(Tbl_ResidentData[[#This Row],[Enrollment '[mmm-yyyy']]]),"-",AND((Tbl_ResidentData[[#This Row],[Enrollment '[mmm-yyyy']]]&lt;=AR$4),IF(ISBLANK(Tbl_ResidentData[[#This Row],[Discharge '[mmm-yyyy']]]),TRUE,(Tbl_ResidentData[[#This Row],[Discharge '[mmm-yyyy']]]&gt;=AR$4)))))</f>
        <v>-</v>
      </c>
      <c r="AS1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 s="120" t="b">
        <f ca="1">AND(Tbl_ResidentData[[#This Row],[PRN Med Started]]&lt;&gt;"",Tbl_ResidentData[[#This Row],[PRN Med Started]]&lt;=NOW(),Tbl_ResidentData[[#This Row],[PRN Med Started]]&lt;=AS$4,OR(Tbl_ResidentData[[#This Row],[PRN Med Discontinued]]&gt;AS$4,ISBLANK(Tbl_ResidentData[[#This Row],[PRN Med Discontinued]])))</f>
        <v>0</v>
      </c>
      <c r="BR10" s="121" t="b">
        <f ca="1">AND(Tbl_ResidentData[[#This Row],[PRN Med Started]]&lt;&gt;"",Tbl_ResidentData[[#This Row],[PRN Med Started]]&lt;=NOW(),Tbl_ResidentData[[#This Row],[PRN Med Started]]&lt;=AT$4,OR(Tbl_ResidentData[[#This Row],[PRN Med Discontinued]]&gt;AT$4,ISBLANK(Tbl_ResidentData[[#This Row],[PRN Med Discontinued]])))</f>
        <v>0</v>
      </c>
      <c r="BS10" s="121" t="b">
        <f ca="1">AND(Tbl_ResidentData[[#This Row],[PRN Med Started]]&lt;&gt;"",Tbl_ResidentData[[#This Row],[PRN Med Started]]&lt;=NOW(),Tbl_ResidentData[[#This Row],[PRN Med Started]]&lt;=AU$4,OR(Tbl_ResidentData[[#This Row],[PRN Med Discontinued]]&gt;AU$4,ISBLANK(Tbl_ResidentData[[#This Row],[PRN Med Discontinued]])))</f>
        <v>0</v>
      </c>
      <c r="BT10" s="121" t="b">
        <f ca="1">AND(Tbl_ResidentData[[#This Row],[PRN Med Started]]&lt;&gt;"",Tbl_ResidentData[[#This Row],[PRN Med Started]]&lt;=NOW(),Tbl_ResidentData[[#This Row],[PRN Med Started]]&lt;=AV$4,OR(Tbl_ResidentData[[#This Row],[PRN Med Discontinued]]&gt;AV$4,ISBLANK(Tbl_ResidentData[[#This Row],[PRN Med Discontinued]])))</f>
        <v>0</v>
      </c>
      <c r="BU10" s="121" t="b">
        <f ca="1">AND(Tbl_ResidentData[[#This Row],[PRN Med Started]]&lt;&gt;"",Tbl_ResidentData[[#This Row],[PRN Med Started]]&lt;=NOW(),Tbl_ResidentData[[#This Row],[PRN Med Started]]&lt;=AW$4,OR(Tbl_ResidentData[[#This Row],[PRN Med Discontinued]]&gt;AW$4,ISBLANK(Tbl_ResidentData[[#This Row],[PRN Med Discontinued]])))</f>
        <v>0</v>
      </c>
      <c r="BV10" s="121" t="b">
        <f ca="1">AND(Tbl_ResidentData[[#This Row],[PRN Med Started]]&lt;&gt;"",Tbl_ResidentData[[#This Row],[PRN Med Started]]&lt;=NOW(),Tbl_ResidentData[[#This Row],[PRN Med Started]]&lt;=AX$4,OR(Tbl_ResidentData[[#This Row],[PRN Med Discontinued]]&gt;AX$4,ISBLANK(Tbl_ResidentData[[#This Row],[PRN Med Discontinued]])))</f>
        <v>0</v>
      </c>
      <c r="BW10" s="121" t="b">
        <f ca="1">AND(Tbl_ResidentData[[#This Row],[PRN Med Started]]&lt;&gt;"",Tbl_ResidentData[[#This Row],[PRN Med Started]]&lt;=NOW(),Tbl_ResidentData[[#This Row],[PRN Med Started]]&lt;=AY$4,OR(Tbl_ResidentData[[#This Row],[PRN Med Discontinued]]&gt;AY$4,ISBLANK(Tbl_ResidentData[[#This Row],[PRN Med Discontinued]])))</f>
        <v>0</v>
      </c>
      <c r="BX10" s="121" t="b">
        <f ca="1">AND(Tbl_ResidentData[[#This Row],[PRN Med Started]]&lt;&gt;"",Tbl_ResidentData[[#This Row],[PRN Med Started]]&lt;=NOW(),Tbl_ResidentData[[#This Row],[PRN Med Started]]&lt;=AZ$4,OR(Tbl_ResidentData[[#This Row],[PRN Med Discontinued]]&gt;AZ$4,ISBLANK(Tbl_ResidentData[[#This Row],[PRN Med Discontinued]])))</f>
        <v>0</v>
      </c>
      <c r="BY10" s="121" t="b">
        <f ca="1">AND(Tbl_ResidentData[[#This Row],[PRN Med Started]]&lt;&gt;"",Tbl_ResidentData[[#This Row],[PRN Med Started]]&lt;=NOW(),Tbl_ResidentData[[#This Row],[PRN Med Started]]&lt;=BA$4,OR(Tbl_ResidentData[[#This Row],[PRN Med Discontinued]]&gt;BA$4,ISBLANK(Tbl_ResidentData[[#This Row],[PRN Med Discontinued]])))</f>
        <v>0</v>
      </c>
      <c r="BZ10" s="121" t="b">
        <f ca="1">AND(Tbl_ResidentData[[#This Row],[PRN Med Started]]&lt;&gt;"",Tbl_ResidentData[[#This Row],[PRN Med Started]]&lt;=NOW(),Tbl_ResidentData[[#This Row],[PRN Med Started]]&lt;=BB$4,OR(Tbl_ResidentData[[#This Row],[PRN Med Discontinued]]&gt;BB$4,ISBLANK(Tbl_ResidentData[[#This Row],[PRN Med Discontinued]])))</f>
        <v>0</v>
      </c>
      <c r="CA10" s="121" t="b">
        <f ca="1">AND(Tbl_ResidentData[[#This Row],[PRN Med Started]]&lt;&gt;"",Tbl_ResidentData[[#This Row],[PRN Med Started]]&lt;=NOW(),Tbl_ResidentData[[#This Row],[PRN Med Started]]&lt;=BC$4,OR(Tbl_ResidentData[[#This Row],[PRN Med Discontinued]]&gt;BC$4,ISBLANK(Tbl_ResidentData[[#This Row],[PRN Med Discontinued]])))</f>
        <v>0</v>
      </c>
      <c r="CB10" s="121" t="b">
        <f ca="1">AND(Tbl_ResidentData[[#This Row],[PRN Med Started]]&lt;&gt;"",Tbl_ResidentData[[#This Row],[PRN Med Started]]&lt;=NOW(),Tbl_ResidentData[[#This Row],[PRN Med Started]]&lt;=BD$4,OR(Tbl_ResidentData[[#This Row],[PRN Med Discontinued]]&gt;BD$4,ISBLANK(Tbl_ResidentData[[#This Row],[PRN Med Discontinued]])))</f>
        <v>0</v>
      </c>
      <c r="CC10" s="121" t="b">
        <f ca="1">AND(Tbl_ResidentData[[#This Row],[PRN Med Started]]&lt;&gt;"",Tbl_ResidentData[[#This Row],[PRN Med Started]]&lt;=NOW(),Tbl_ResidentData[[#This Row],[PRN Med Started]]&lt;=BE$4,OR(Tbl_ResidentData[[#This Row],[PRN Med Discontinued]]&gt;BE$4,ISBLANK(Tbl_ResidentData[[#This Row],[PRN Med Discontinued]])))</f>
        <v>0</v>
      </c>
      <c r="CD10" s="121" t="b">
        <f ca="1">AND(Tbl_ResidentData[[#This Row],[PRN Med Started]]&lt;&gt;"",Tbl_ResidentData[[#This Row],[PRN Med Started]]&lt;=NOW(),Tbl_ResidentData[[#This Row],[PRN Med Started]]&lt;=BF$4,OR(Tbl_ResidentData[[#This Row],[PRN Med Discontinued]]&gt;BF$4,ISBLANK(Tbl_ResidentData[[#This Row],[PRN Med Discontinued]])))</f>
        <v>0</v>
      </c>
      <c r="CE10" s="121" t="b">
        <f ca="1">AND(Tbl_ResidentData[[#This Row],[PRN Med Started]]&lt;&gt;"",Tbl_ResidentData[[#This Row],[PRN Med Started]]&lt;=NOW(),Tbl_ResidentData[[#This Row],[PRN Med Started]]&lt;=BG$4,OR(Tbl_ResidentData[[#This Row],[PRN Med Discontinued]]&gt;BG$4,ISBLANK(Tbl_ResidentData[[#This Row],[PRN Med Discontinued]])))</f>
        <v>0</v>
      </c>
      <c r="CF10" s="121" t="b">
        <f ca="1">AND(Tbl_ResidentData[[#This Row],[PRN Med Started]]&lt;&gt;"",Tbl_ResidentData[[#This Row],[PRN Med Started]]&lt;=NOW(),Tbl_ResidentData[[#This Row],[PRN Med Started]]&lt;=BH$4,OR(Tbl_ResidentData[[#This Row],[PRN Med Discontinued]]&gt;BH$4,ISBLANK(Tbl_ResidentData[[#This Row],[PRN Med Discontinued]])))</f>
        <v>0</v>
      </c>
      <c r="CG10" s="121" t="b">
        <f ca="1">AND(Tbl_ResidentData[[#This Row],[PRN Med Started]]&lt;&gt;"",Tbl_ResidentData[[#This Row],[PRN Med Started]]&lt;=NOW(),Tbl_ResidentData[[#This Row],[PRN Med Started]]&lt;=BI$4,OR(Tbl_ResidentData[[#This Row],[PRN Med Discontinued]]&gt;BI$4,ISBLANK(Tbl_ResidentData[[#This Row],[PRN Med Discontinued]])))</f>
        <v>0</v>
      </c>
      <c r="CH10" s="121" t="b">
        <f ca="1">AND(Tbl_ResidentData[[#This Row],[PRN Med Started]]&lt;&gt;"",Tbl_ResidentData[[#This Row],[PRN Med Started]]&lt;=NOW(),Tbl_ResidentData[[#This Row],[PRN Med Started]]&lt;=BJ$4,OR(Tbl_ResidentData[[#This Row],[PRN Med Discontinued]]&gt;BJ$4,ISBLANK(Tbl_ResidentData[[#This Row],[PRN Med Discontinued]])))</f>
        <v>0</v>
      </c>
      <c r="CI10" s="121" t="b">
        <f ca="1">AND(Tbl_ResidentData[[#This Row],[PRN Med Started]]&lt;&gt;"",Tbl_ResidentData[[#This Row],[PRN Med Started]]&lt;=NOW(),Tbl_ResidentData[[#This Row],[PRN Med Started]]&lt;=BK$4,OR(Tbl_ResidentData[[#This Row],[PRN Med Discontinued]]&gt;BK$4,ISBLANK(Tbl_ResidentData[[#This Row],[PRN Med Discontinued]])))</f>
        <v>0</v>
      </c>
      <c r="CJ10" s="121" t="b">
        <f ca="1">AND(Tbl_ResidentData[[#This Row],[PRN Med Started]]&lt;&gt;"",Tbl_ResidentData[[#This Row],[PRN Med Started]]&lt;=NOW(),Tbl_ResidentData[[#This Row],[PRN Med Started]]&lt;=BL$4,OR(Tbl_ResidentData[[#This Row],[PRN Med Discontinued]]&gt;BL$4,ISBLANK(Tbl_ResidentData[[#This Row],[PRN Med Discontinued]])))</f>
        <v>0</v>
      </c>
      <c r="CK10" s="121" t="b">
        <f ca="1">AND(Tbl_ResidentData[[#This Row],[PRN Med Started]]&lt;&gt;"",Tbl_ResidentData[[#This Row],[PRN Med Started]]&lt;=NOW(),Tbl_ResidentData[[#This Row],[PRN Med Started]]&lt;=BM$4,OR(Tbl_ResidentData[[#This Row],[PRN Med Discontinued]]&gt;BM$4,ISBLANK(Tbl_ResidentData[[#This Row],[PRN Med Discontinued]])))</f>
        <v>0</v>
      </c>
      <c r="CL10" s="121" t="b">
        <f ca="1">AND(Tbl_ResidentData[[#This Row],[PRN Med Started]]&lt;&gt;"",Tbl_ResidentData[[#This Row],[PRN Med Started]]&lt;=NOW(),Tbl_ResidentData[[#This Row],[PRN Med Started]]&lt;=BN$4,OR(Tbl_ResidentData[[#This Row],[PRN Med Discontinued]]&gt;BN$4,ISBLANK(Tbl_ResidentData[[#This Row],[PRN Med Discontinued]])))</f>
        <v>0</v>
      </c>
      <c r="CM10" s="121" t="b">
        <f ca="1">AND(Tbl_ResidentData[[#This Row],[PRN Med Started]]&lt;&gt;"",Tbl_ResidentData[[#This Row],[PRN Med Started]]&lt;=NOW(),Tbl_ResidentData[[#This Row],[PRN Med Started]]&lt;=BO$4,OR(Tbl_ResidentData[[#This Row],[PRN Med Discontinued]]&gt;BO$4,ISBLANK(Tbl_ResidentData[[#This Row],[PRN Med Discontinued]])))</f>
        <v>0</v>
      </c>
      <c r="CN10" s="122" t="b">
        <f ca="1">AND(Tbl_ResidentData[[#This Row],[PRN Med Started]]&lt;&gt;"",Tbl_ResidentData[[#This Row],[PRN Med Started]]&lt;=NOW(),Tbl_ResidentData[[#This Row],[PRN Med Started]]&lt;=BP$4,OR(Tbl_ResidentData[[#This Row],[PRN Med Discontinued]]&gt;BP$4,ISBLANK(Tbl_ResidentData[[#This Row],[PRN Med Discontinued]])))</f>
        <v>0</v>
      </c>
      <c r="CO10" s="120">
        <f ca="1">IF(OR(Tbl_ResidentData[[#This Row],[S1]]=TRUE,Tbl_ResidentData[[#This Row],[P1]]=TRUE),1,0)</f>
        <v>0</v>
      </c>
      <c r="CP10" s="121">
        <f ca="1">IF(OR(Tbl_ResidentData[[#This Row],[S2]]=TRUE,Tbl_ResidentData[[#This Row],[P2]]=TRUE),1,0)</f>
        <v>0</v>
      </c>
      <c r="CQ10" s="121">
        <f ca="1">IF(OR(Tbl_ResidentData[[#This Row],[S3]]=TRUE,Tbl_ResidentData[[#This Row],[P3]]=TRUE),1,0)</f>
        <v>0</v>
      </c>
      <c r="CR10" s="120">
        <f ca="1">IF(OR(Tbl_ResidentData[[#This Row],[S4]]=TRUE,Tbl_ResidentData[[#This Row],[P4]]=TRUE),1,0)</f>
        <v>0</v>
      </c>
      <c r="CS10" s="120">
        <f ca="1">IF(OR(Tbl_ResidentData[[#This Row],[S5]]=TRUE,Tbl_ResidentData[[#This Row],[P5]]=TRUE),1,0)</f>
        <v>0</v>
      </c>
      <c r="CT10" s="120">
        <f ca="1">IF(OR(Tbl_ResidentData[[#This Row],[S6]]=TRUE,Tbl_ResidentData[[#This Row],[P6]]=TRUE),1,0)</f>
        <v>0</v>
      </c>
      <c r="CU10" s="120">
        <f ca="1">IF(OR(Tbl_ResidentData[[#This Row],[S7]]=TRUE,Tbl_ResidentData[[#This Row],[P7]]=TRUE),1,0)</f>
        <v>0</v>
      </c>
      <c r="CV10" s="120">
        <f ca="1">IF(OR(Tbl_ResidentData[[#This Row],[S8]]=TRUE,Tbl_ResidentData[[#This Row],[P8]]=TRUE),1,0)</f>
        <v>0</v>
      </c>
      <c r="CW10" s="120">
        <f ca="1">IF(OR(Tbl_ResidentData[[#This Row],[S9]]=TRUE,Tbl_ResidentData[[#This Row],[P9]]=TRUE),1,0)</f>
        <v>0</v>
      </c>
      <c r="CX10" s="120">
        <f ca="1">IF(OR(Tbl_ResidentData[[#This Row],[S10]]=TRUE,Tbl_ResidentData[[#This Row],[P10]]=TRUE),1,0)</f>
        <v>0</v>
      </c>
      <c r="CY10" s="120">
        <f ca="1">IF(OR(Tbl_ResidentData[[#This Row],[S11]]=TRUE,Tbl_ResidentData[[#This Row],[P11]]=TRUE),1,0)</f>
        <v>0</v>
      </c>
      <c r="CZ10" s="120">
        <f ca="1">IF(OR(Tbl_ResidentData[[#This Row],[S12]]=TRUE,Tbl_ResidentData[[#This Row],[P12]]=TRUE),1,0)</f>
        <v>0</v>
      </c>
      <c r="DA10" s="120">
        <f ca="1">IF(OR(Tbl_ResidentData[[#This Row],[S13]]=TRUE,Tbl_ResidentData[[#This Row],[P13]]=TRUE),1,0)</f>
        <v>0</v>
      </c>
      <c r="DB10" s="120">
        <f ca="1">IF(OR(Tbl_ResidentData[[#This Row],[S14]]=TRUE,Tbl_ResidentData[[#This Row],[P14]]=TRUE),1,0)</f>
        <v>0</v>
      </c>
      <c r="DC10" s="120">
        <f ca="1">IF(OR(Tbl_ResidentData[[#This Row],[S15]]=TRUE,Tbl_ResidentData[[#This Row],[P15]]=TRUE),1,0)</f>
        <v>0</v>
      </c>
      <c r="DD10" s="120">
        <f ca="1">IF(OR(Tbl_ResidentData[[#This Row],[S16]]=TRUE,Tbl_ResidentData[[#This Row],[P16]]=TRUE),1,0)</f>
        <v>0</v>
      </c>
      <c r="DE10" s="120">
        <f ca="1">IF(OR(Tbl_ResidentData[[#This Row],[S17]]=TRUE,Tbl_ResidentData[[#This Row],[P17]]=TRUE),1,0)</f>
        <v>0</v>
      </c>
      <c r="DF10" s="120">
        <f ca="1">IF(OR(Tbl_ResidentData[[#This Row],[S18]]=TRUE,Tbl_ResidentData[[#This Row],[P18]]=TRUE),1,0)</f>
        <v>0</v>
      </c>
      <c r="DG10" s="120">
        <f ca="1">IF(OR(Tbl_ResidentData[[#This Row],[S19]]=TRUE,Tbl_ResidentData[[#This Row],[P19]]=TRUE),1,0)</f>
        <v>0</v>
      </c>
      <c r="DH10" s="120">
        <f ca="1">IF(OR(Tbl_ResidentData[[#This Row],[S20]]=TRUE,Tbl_ResidentData[[#This Row],[P20]]=TRUE),1,0)</f>
        <v>0</v>
      </c>
      <c r="DI10" s="120">
        <f ca="1">IF(OR(Tbl_ResidentData[[#This Row],[S21]]=TRUE,Tbl_ResidentData[[#This Row],[P21]]=TRUE),1,0)</f>
        <v>0</v>
      </c>
      <c r="DJ10" s="120">
        <f ca="1">IF(OR(Tbl_ResidentData[[#This Row],[S22]]=TRUE,Tbl_ResidentData[[#This Row],[P22]]=TRUE),1,0)</f>
        <v>0</v>
      </c>
      <c r="DK10" s="120">
        <f ca="1">IF(OR(Tbl_ResidentData[[#This Row],[S23]]=TRUE,Tbl_ResidentData[[#This Row],[P23]]=TRUE),1,0)</f>
        <v>0</v>
      </c>
      <c r="DL10" s="120">
        <f ca="1">IF(OR(Tbl_ResidentData[[#This Row],[S24]]=TRUE,Tbl_ResidentData[[#This Row],[P24]]=TRUE),1,0)</f>
        <v>0</v>
      </c>
      <c r="DM10" s="123" t="str">
        <f ca="1">IFERROR(INDEX($CO$4:$DL$4,MATCH(TRUE,INDEX((Tbl_ResidentData[[#This Row],[Over1]:[Over24]]&lt;&gt;0),0),0)),"")</f>
        <v/>
      </c>
      <c r="DN10" s="133" t="str">
        <f>IFERROR(INDEX(Tbl_PDSAData[Last DRT],MATCH(Tbl_ResidentData[Resident Name '[last, first']],Tbl_PDSAData[Resident Name (last, first)],0)),"")</f>
        <v/>
      </c>
      <c r="DO10" s="222" t="str">
        <f>IFERROR(INDEX(Tbl_PDSAData[Last MR],MATCH(Tbl_ResidentData[Resident Name '[last, first']],Tbl_PDSAData[Resident Name (last, first)],0)),"")</f>
        <v/>
      </c>
    </row>
    <row r="11" spans="1:119" x14ac:dyDescent="0.25">
      <c r="A11" s="179"/>
      <c r="B11" s="180"/>
      <c r="C11" s="180"/>
      <c r="D11" s="218"/>
      <c r="E11" s="179"/>
      <c r="F11" s="181"/>
      <c r="G11" s="181"/>
      <c r="H11" s="375"/>
      <c r="I11" s="185"/>
      <c r="J11" s="387"/>
      <c r="K11" s="178"/>
      <c r="L11" s="388"/>
      <c r="M11" s="185"/>
      <c r="N11" s="386"/>
      <c r="O11" s="178"/>
      <c r="P11" s="388"/>
      <c r="Q11" s="395"/>
      <c r="R11" s="396"/>
      <c r="S11" s="131" t="str">
        <f>IF(ISBLANK(Tbl_ResidentData[[#This Row],[Discharge '[mmm-yyyy']]]),IF(ISBLANK(Tbl_ResidentData[[#This Row],[Enrollment '[mmm-yyyy']]]),"","In Care Home"),"Discharged")</f>
        <v/>
      </c>
      <c r="T11" s="119" t="str">
        <f>IF(ISBLANK(Tbl_ResidentData[[#This Row],[Diagnosis (RAI)]]),IF(ISBLANK(Tbl_ResidentData[[#This Row],[Resident Name '[last, first']]]),"",0),IF(Tbl_ResidentData[[#This Row],[Diagnosis (RAI)]]="Other (see clinical notes)",0,1))</f>
        <v/>
      </c>
      <c r="U11" s="120" t="str">
        <f ca="1">IF(U$4&gt;NOW(),"-",IF(ISBLANK(Tbl_ResidentData[[#This Row],[Enrollment '[mmm-yyyy']]]),"-",AND((Tbl_ResidentData[[#This Row],[Enrollment '[mmm-yyyy']]]&lt;=U$4),IF(ISBLANK(Tbl_ResidentData[[#This Row],[Discharge '[mmm-yyyy']]]),TRUE,(Tbl_ResidentData[[#This Row],[Discharge '[mmm-yyyy']]]&gt;=U$4)))))</f>
        <v>-</v>
      </c>
      <c r="V11" s="121" t="str">
        <f ca="1">IF(V$4&gt;NOW(),"-",IF(ISBLANK(Tbl_ResidentData[[#This Row],[Enrollment '[mmm-yyyy']]]),"-",AND((Tbl_ResidentData[[#This Row],[Enrollment '[mmm-yyyy']]]&lt;=V$4),IF(ISBLANK(Tbl_ResidentData[[#This Row],[Discharge '[mmm-yyyy']]]),TRUE,(Tbl_ResidentData[[#This Row],[Discharge '[mmm-yyyy']]]&gt;=V$4)))))</f>
        <v>-</v>
      </c>
      <c r="W11" s="121" t="str">
        <f ca="1">IF(W$4&gt;NOW(),"-",IF(ISBLANK(Tbl_ResidentData[[#This Row],[Enrollment '[mmm-yyyy']]]),"-",AND((Tbl_ResidentData[[#This Row],[Enrollment '[mmm-yyyy']]]&lt;=W$4),IF(ISBLANK(Tbl_ResidentData[[#This Row],[Discharge '[mmm-yyyy']]]),TRUE,(Tbl_ResidentData[[#This Row],[Discharge '[mmm-yyyy']]]&gt;=W$4)))))</f>
        <v>-</v>
      </c>
      <c r="X11" s="121" t="str">
        <f ca="1">IF(X$4&gt;NOW(),"-",IF(ISBLANK(Tbl_ResidentData[[#This Row],[Enrollment '[mmm-yyyy']]]),"-",AND((Tbl_ResidentData[[#This Row],[Enrollment '[mmm-yyyy']]]&lt;=X$4),IF(ISBLANK(Tbl_ResidentData[[#This Row],[Discharge '[mmm-yyyy']]]),TRUE,(Tbl_ResidentData[[#This Row],[Discharge '[mmm-yyyy']]]&gt;=X$4)))))</f>
        <v>-</v>
      </c>
      <c r="Y11" s="121" t="str">
        <f ca="1">IF(Y$4&gt;NOW(),"-",IF(ISBLANK(Tbl_ResidentData[[#This Row],[Enrollment '[mmm-yyyy']]]),"-",AND((Tbl_ResidentData[[#This Row],[Enrollment '[mmm-yyyy']]]&lt;=Y$4),IF(ISBLANK(Tbl_ResidentData[[#This Row],[Discharge '[mmm-yyyy']]]),TRUE,(Tbl_ResidentData[[#This Row],[Discharge '[mmm-yyyy']]]&gt;=Y$4)))))</f>
        <v>-</v>
      </c>
      <c r="Z11" s="121" t="str">
        <f ca="1">IF(Z$4&gt;NOW(),"-",IF(ISBLANK(Tbl_ResidentData[[#This Row],[Enrollment '[mmm-yyyy']]]),"-",AND((Tbl_ResidentData[[#This Row],[Enrollment '[mmm-yyyy']]]&lt;=Z$4),IF(ISBLANK(Tbl_ResidentData[[#This Row],[Discharge '[mmm-yyyy']]]),TRUE,(Tbl_ResidentData[[#This Row],[Discharge '[mmm-yyyy']]]&gt;=Z$4)))))</f>
        <v>-</v>
      </c>
      <c r="AA11" s="121" t="str">
        <f ca="1">IF(AA$4&gt;NOW(),"-",IF(ISBLANK(Tbl_ResidentData[[#This Row],[Enrollment '[mmm-yyyy']]]),"-",AND((Tbl_ResidentData[[#This Row],[Enrollment '[mmm-yyyy']]]&lt;=AA$4),IF(ISBLANK(Tbl_ResidentData[[#This Row],[Discharge '[mmm-yyyy']]]),TRUE,(Tbl_ResidentData[[#This Row],[Discharge '[mmm-yyyy']]]&gt;=AA$4)))))</f>
        <v>-</v>
      </c>
      <c r="AB11" s="121" t="str">
        <f ca="1">IF(AB$4&gt;NOW(),"-",IF(ISBLANK(Tbl_ResidentData[[#This Row],[Enrollment '[mmm-yyyy']]]),"-",AND((Tbl_ResidentData[[#This Row],[Enrollment '[mmm-yyyy']]]&lt;=AB$4),IF(ISBLANK(Tbl_ResidentData[[#This Row],[Discharge '[mmm-yyyy']]]),TRUE,(Tbl_ResidentData[[#This Row],[Discharge '[mmm-yyyy']]]&gt;=AB$4)))))</f>
        <v>-</v>
      </c>
      <c r="AC11" s="121" t="str">
        <f ca="1">IF(AC$4&gt;NOW(),"-",IF(ISBLANK(Tbl_ResidentData[[#This Row],[Enrollment '[mmm-yyyy']]]),"-",AND((Tbl_ResidentData[[#This Row],[Enrollment '[mmm-yyyy']]]&lt;=AC$4),IF(ISBLANK(Tbl_ResidentData[[#This Row],[Discharge '[mmm-yyyy']]]),TRUE,(Tbl_ResidentData[[#This Row],[Discharge '[mmm-yyyy']]]&gt;=AC$4)))))</f>
        <v>-</v>
      </c>
      <c r="AD11" s="121" t="str">
        <f ca="1">IF(AD$4&gt;NOW(),"-",IF(ISBLANK(Tbl_ResidentData[[#This Row],[Enrollment '[mmm-yyyy']]]),"-",AND((Tbl_ResidentData[[#This Row],[Enrollment '[mmm-yyyy']]]&lt;=AD$4),IF(ISBLANK(Tbl_ResidentData[[#This Row],[Discharge '[mmm-yyyy']]]),TRUE,(Tbl_ResidentData[[#This Row],[Discharge '[mmm-yyyy']]]&gt;=AD$4)))))</f>
        <v>-</v>
      </c>
      <c r="AE11" s="121" t="str">
        <f ca="1">IF(AE$4&gt;NOW(),"-",IF(ISBLANK(Tbl_ResidentData[[#This Row],[Enrollment '[mmm-yyyy']]]),"-",AND((Tbl_ResidentData[[#This Row],[Enrollment '[mmm-yyyy']]]&lt;=AE$4),IF(ISBLANK(Tbl_ResidentData[[#This Row],[Discharge '[mmm-yyyy']]]),TRUE,(Tbl_ResidentData[[#This Row],[Discharge '[mmm-yyyy']]]&gt;=AE$4)))))</f>
        <v>-</v>
      </c>
      <c r="AF11" s="121" t="str">
        <f ca="1">IF(AF$4&gt;NOW(),"-",IF(ISBLANK(Tbl_ResidentData[[#This Row],[Enrollment '[mmm-yyyy']]]),"-",AND((Tbl_ResidentData[[#This Row],[Enrollment '[mmm-yyyy']]]&lt;=AF$4),IF(ISBLANK(Tbl_ResidentData[[#This Row],[Discharge '[mmm-yyyy']]]),TRUE,(Tbl_ResidentData[[#This Row],[Discharge '[mmm-yyyy']]]&gt;=AF$4)))))</f>
        <v>-</v>
      </c>
      <c r="AG11" s="121" t="str">
        <f ca="1">IF(AG$4&gt;NOW(),"-",IF(ISBLANK(Tbl_ResidentData[[#This Row],[Enrollment '[mmm-yyyy']]]),"-",AND((Tbl_ResidentData[[#This Row],[Enrollment '[mmm-yyyy']]]&lt;=AG$4),IF(ISBLANK(Tbl_ResidentData[[#This Row],[Discharge '[mmm-yyyy']]]),TRUE,(Tbl_ResidentData[[#This Row],[Discharge '[mmm-yyyy']]]&gt;=AG$4)))))</f>
        <v>-</v>
      </c>
      <c r="AH11" s="121" t="str">
        <f ca="1">IF(AH$4&gt;NOW(),"-",IF(ISBLANK(Tbl_ResidentData[[#This Row],[Enrollment '[mmm-yyyy']]]),"-",AND((Tbl_ResidentData[[#This Row],[Enrollment '[mmm-yyyy']]]&lt;=AH$4),IF(ISBLANK(Tbl_ResidentData[[#This Row],[Discharge '[mmm-yyyy']]]),TRUE,(Tbl_ResidentData[[#This Row],[Discharge '[mmm-yyyy']]]&gt;=AH$4)))))</f>
        <v>-</v>
      </c>
      <c r="AI11" s="121" t="str">
        <f ca="1">IF(AI$4&gt;NOW(),"-",IF(ISBLANK(Tbl_ResidentData[[#This Row],[Enrollment '[mmm-yyyy']]]),"-",AND((Tbl_ResidentData[[#This Row],[Enrollment '[mmm-yyyy']]]&lt;=AI$4),IF(ISBLANK(Tbl_ResidentData[[#This Row],[Discharge '[mmm-yyyy']]]),TRUE,(Tbl_ResidentData[[#This Row],[Discharge '[mmm-yyyy']]]&gt;=AI$4)))))</f>
        <v>-</v>
      </c>
      <c r="AJ11" s="121" t="str">
        <f ca="1">IF(AJ$4&gt;NOW(),"-",IF(ISBLANK(Tbl_ResidentData[[#This Row],[Enrollment '[mmm-yyyy']]]),"-",AND((Tbl_ResidentData[[#This Row],[Enrollment '[mmm-yyyy']]]&lt;=AJ$4),IF(ISBLANK(Tbl_ResidentData[[#This Row],[Discharge '[mmm-yyyy']]]),TRUE,(Tbl_ResidentData[[#This Row],[Discharge '[mmm-yyyy']]]&gt;=AJ$4)))))</f>
        <v>-</v>
      </c>
      <c r="AK11" s="121" t="str">
        <f ca="1">IF(AK$4&gt;NOW(),"-",IF(ISBLANK(Tbl_ResidentData[[#This Row],[Enrollment '[mmm-yyyy']]]),"-",AND((Tbl_ResidentData[[#This Row],[Enrollment '[mmm-yyyy']]]&lt;=AK$4),IF(ISBLANK(Tbl_ResidentData[[#This Row],[Discharge '[mmm-yyyy']]]),TRUE,(Tbl_ResidentData[[#This Row],[Discharge '[mmm-yyyy']]]&gt;=AK$4)))))</f>
        <v>-</v>
      </c>
      <c r="AL11" s="121" t="str">
        <f ca="1">IF(AL$4&gt;NOW(),"-",IF(ISBLANK(Tbl_ResidentData[[#This Row],[Enrollment '[mmm-yyyy']]]),"-",AND((Tbl_ResidentData[[#This Row],[Enrollment '[mmm-yyyy']]]&lt;=AL$4),IF(ISBLANK(Tbl_ResidentData[[#This Row],[Discharge '[mmm-yyyy']]]),TRUE,(Tbl_ResidentData[[#This Row],[Discharge '[mmm-yyyy']]]&gt;=AL$4)))))</f>
        <v>-</v>
      </c>
      <c r="AM11" s="121" t="str">
        <f ca="1">IF(AM$4&gt;NOW(),"-",IF(ISBLANK(Tbl_ResidentData[[#This Row],[Enrollment '[mmm-yyyy']]]),"-",AND((Tbl_ResidentData[[#This Row],[Enrollment '[mmm-yyyy']]]&lt;=AM$4),IF(ISBLANK(Tbl_ResidentData[[#This Row],[Discharge '[mmm-yyyy']]]),TRUE,(Tbl_ResidentData[[#This Row],[Discharge '[mmm-yyyy']]]&gt;=AM$4)))))</f>
        <v>-</v>
      </c>
      <c r="AN11" s="121" t="str">
        <f ca="1">IF(AN$4&gt;NOW(),"-",IF(ISBLANK(Tbl_ResidentData[[#This Row],[Enrollment '[mmm-yyyy']]]),"-",AND((Tbl_ResidentData[[#This Row],[Enrollment '[mmm-yyyy']]]&lt;=AN$4),IF(ISBLANK(Tbl_ResidentData[[#This Row],[Discharge '[mmm-yyyy']]]),TRUE,(Tbl_ResidentData[[#This Row],[Discharge '[mmm-yyyy']]]&gt;=AN$4)))))</f>
        <v>-</v>
      </c>
      <c r="AO11" s="121" t="str">
        <f ca="1">IF(AO$4&gt;NOW(),"-",IF(ISBLANK(Tbl_ResidentData[[#This Row],[Enrollment '[mmm-yyyy']]]),"-",AND((Tbl_ResidentData[[#This Row],[Enrollment '[mmm-yyyy']]]&lt;=AO$4),IF(ISBLANK(Tbl_ResidentData[[#This Row],[Discharge '[mmm-yyyy']]]),TRUE,(Tbl_ResidentData[[#This Row],[Discharge '[mmm-yyyy']]]&gt;=AO$4)))))</f>
        <v>-</v>
      </c>
      <c r="AP11" s="121" t="str">
        <f ca="1">IF(AP$4&gt;NOW(),"-",IF(ISBLANK(Tbl_ResidentData[[#This Row],[Enrollment '[mmm-yyyy']]]),"-",AND((Tbl_ResidentData[[#This Row],[Enrollment '[mmm-yyyy']]]&lt;=AP$4),IF(ISBLANK(Tbl_ResidentData[[#This Row],[Discharge '[mmm-yyyy']]]),TRUE,(Tbl_ResidentData[[#This Row],[Discharge '[mmm-yyyy']]]&gt;=AP$4)))))</f>
        <v>-</v>
      </c>
      <c r="AQ11" s="121" t="str">
        <f ca="1">IF(AQ$4&gt;NOW(),"-",IF(ISBLANK(Tbl_ResidentData[[#This Row],[Enrollment '[mmm-yyyy']]]),"-",AND((Tbl_ResidentData[[#This Row],[Enrollment '[mmm-yyyy']]]&lt;=AQ$4),IF(ISBLANK(Tbl_ResidentData[[#This Row],[Discharge '[mmm-yyyy']]]),TRUE,(Tbl_ResidentData[[#This Row],[Discharge '[mmm-yyyy']]]&gt;=AQ$4)))))</f>
        <v>-</v>
      </c>
      <c r="AR11" s="122" t="str">
        <f ca="1">IF(AR$4&gt;NOW(),"-",IF(ISBLANK(Tbl_ResidentData[[#This Row],[Enrollment '[mmm-yyyy']]]),"-",AND((Tbl_ResidentData[[#This Row],[Enrollment '[mmm-yyyy']]]&lt;=AR$4),IF(ISBLANK(Tbl_ResidentData[[#This Row],[Discharge '[mmm-yyyy']]]),TRUE,(Tbl_ResidentData[[#This Row],[Discharge '[mmm-yyyy']]]&gt;=AR$4)))))</f>
        <v>-</v>
      </c>
      <c r="AS1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 s="120" t="b">
        <f ca="1">AND(Tbl_ResidentData[[#This Row],[PRN Med Started]]&lt;&gt;"",Tbl_ResidentData[[#This Row],[PRN Med Started]]&lt;=NOW(),Tbl_ResidentData[[#This Row],[PRN Med Started]]&lt;=AS$4,OR(Tbl_ResidentData[[#This Row],[PRN Med Discontinued]]&gt;AS$4,ISBLANK(Tbl_ResidentData[[#This Row],[PRN Med Discontinued]])))</f>
        <v>0</v>
      </c>
      <c r="BR11" s="121" t="b">
        <f ca="1">AND(Tbl_ResidentData[[#This Row],[PRN Med Started]]&lt;&gt;"",Tbl_ResidentData[[#This Row],[PRN Med Started]]&lt;=NOW(),Tbl_ResidentData[[#This Row],[PRN Med Started]]&lt;=AT$4,OR(Tbl_ResidentData[[#This Row],[PRN Med Discontinued]]&gt;AT$4,ISBLANK(Tbl_ResidentData[[#This Row],[PRN Med Discontinued]])))</f>
        <v>0</v>
      </c>
      <c r="BS11" s="121" t="b">
        <f ca="1">AND(Tbl_ResidentData[[#This Row],[PRN Med Started]]&lt;&gt;"",Tbl_ResidentData[[#This Row],[PRN Med Started]]&lt;=NOW(),Tbl_ResidentData[[#This Row],[PRN Med Started]]&lt;=AU$4,OR(Tbl_ResidentData[[#This Row],[PRN Med Discontinued]]&gt;AU$4,ISBLANK(Tbl_ResidentData[[#This Row],[PRN Med Discontinued]])))</f>
        <v>0</v>
      </c>
      <c r="BT11" s="121" t="b">
        <f ca="1">AND(Tbl_ResidentData[[#This Row],[PRN Med Started]]&lt;&gt;"",Tbl_ResidentData[[#This Row],[PRN Med Started]]&lt;=NOW(),Tbl_ResidentData[[#This Row],[PRN Med Started]]&lt;=AV$4,OR(Tbl_ResidentData[[#This Row],[PRN Med Discontinued]]&gt;AV$4,ISBLANK(Tbl_ResidentData[[#This Row],[PRN Med Discontinued]])))</f>
        <v>0</v>
      </c>
      <c r="BU11" s="121" t="b">
        <f ca="1">AND(Tbl_ResidentData[[#This Row],[PRN Med Started]]&lt;&gt;"",Tbl_ResidentData[[#This Row],[PRN Med Started]]&lt;=NOW(),Tbl_ResidentData[[#This Row],[PRN Med Started]]&lt;=AW$4,OR(Tbl_ResidentData[[#This Row],[PRN Med Discontinued]]&gt;AW$4,ISBLANK(Tbl_ResidentData[[#This Row],[PRN Med Discontinued]])))</f>
        <v>0</v>
      </c>
      <c r="BV11" s="121" t="b">
        <f ca="1">AND(Tbl_ResidentData[[#This Row],[PRN Med Started]]&lt;&gt;"",Tbl_ResidentData[[#This Row],[PRN Med Started]]&lt;=NOW(),Tbl_ResidentData[[#This Row],[PRN Med Started]]&lt;=AX$4,OR(Tbl_ResidentData[[#This Row],[PRN Med Discontinued]]&gt;AX$4,ISBLANK(Tbl_ResidentData[[#This Row],[PRN Med Discontinued]])))</f>
        <v>0</v>
      </c>
      <c r="BW11" s="121" t="b">
        <f ca="1">AND(Tbl_ResidentData[[#This Row],[PRN Med Started]]&lt;&gt;"",Tbl_ResidentData[[#This Row],[PRN Med Started]]&lt;=NOW(),Tbl_ResidentData[[#This Row],[PRN Med Started]]&lt;=AY$4,OR(Tbl_ResidentData[[#This Row],[PRN Med Discontinued]]&gt;AY$4,ISBLANK(Tbl_ResidentData[[#This Row],[PRN Med Discontinued]])))</f>
        <v>0</v>
      </c>
      <c r="BX11" s="121" t="b">
        <f ca="1">AND(Tbl_ResidentData[[#This Row],[PRN Med Started]]&lt;&gt;"",Tbl_ResidentData[[#This Row],[PRN Med Started]]&lt;=NOW(),Tbl_ResidentData[[#This Row],[PRN Med Started]]&lt;=AZ$4,OR(Tbl_ResidentData[[#This Row],[PRN Med Discontinued]]&gt;AZ$4,ISBLANK(Tbl_ResidentData[[#This Row],[PRN Med Discontinued]])))</f>
        <v>0</v>
      </c>
      <c r="BY11" s="121" t="b">
        <f ca="1">AND(Tbl_ResidentData[[#This Row],[PRN Med Started]]&lt;&gt;"",Tbl_ResidentData[[#This Row],[PRN Med Started]]&lt;=NOW(),Tbl_ResidentData[[#This Row],[PRN Med Started]]&lt;=BA$4,OR(Tbl_ResidentData[[#This Row],[PRN Med Discontinued]]&gt;BA$4,ISBLANK(Tbl_ResidentData[[#This Row],[PRN Med Discontinued]])))</f>
        <v>0</v>
      </c>
      <c r="BZ11" s="121" t="b">
        <f ca="1">AND(Tbl_ResidentData[[#This Row],[PRN Med Started]]&lt;&gt;"",Tbl_ResidentData[[#This Row],[PRN Med Started]]&lt;=NOW(),Tbl_ResidentData[[#This Row],[PRN Med Started]]&lt;=BB$4,OR(Tbl_ResidentData[[#This Row],[PRN Med Discontinued]]&gt;BB$4,ISBLANK(Tbl_ResidentData[[#This Row],[PRN Med Discontinued]])))</f>
        <v>0</v>
      </c>
      <c r="CA11" s="121" t="b">
        <f ca="1">AND(Tbl_ResidentData[[#This Row],[PRN Med Started]]&lt;&gt;"",Tbl_ResidentData[[#This Row],[PRN Med Started]]&lt;=NOW(),Tbl_ResidentData[[#This Row],[PRN Med Started]]&lt;=BC$4,OR(Tbl_ResidentData[[#This Row],[PRN Med Discontinued]]&gt;BC$4,ISBLANK(Tbl_ResidentData[[#This Row],[PRN Med Discontinued]])))</f>
        <v>0</v>
      </c>
      <c r="CB11" s="121" t="b">
        <f ca="1">AND(Tbl_ResidentData[[#This Row],[PRN Med Started]]&lt;&gt;"",Tbl_ResidentData[[#This Row],[PRN Med Started]]&lt;=NOW(),Tbl_ResidentData[[#This Row],[PRN Med Started]]&lt;=BD$4,OR(Tbl_ResidentData[[#This Row],[PRN Med Discontinued]]&gt;BD$4,ISBLANK(Tbl_ResidentData[[#This Row],[PRN Med Discontinued]])))</f>
        <v>0</v>
      </c>
      <c r="CC11" s="121" t="b">
        <f ca="1">AND(Tbl_ResidentData[[#This Row],[PRN Med Started]]&lt;&gt;"",Tbl_ResidentData[[#This Row],[PRN Med Started]]&lt;=NOW(),Tbl_ResidentData[[#This Row],[PRN Med Started]]&lt;=BE$4,OR(Tbl_ResidentData[[#This Row],[PRN Med Discontinued]]&gt;BE$4,ISBLANK(Tbl_ResidentData[[#This Row],[PRN Med Discontinued]])))</f>
        <v>0</v>
      </c>
      <c r="CD11" s="121" t="b">
        <f ca="1">AND(Tbl_ResidentData[[#This Row],[PRN Med Started]]&lt;&gt;"",Tbl_ResidentData[[#This Row],[PRN Med Started]]&lt;=NOW(),Tbl_ResidentData[[#This Row],[PRN Med Started]]&lt;=BF$4,OR(Tbl_ResidentData[[#This Row],[PRN Med Discontinued]]&gt;BF$4,ISBLANK(Tbl_ResidentData[[#This Row],[PRN Med Discontinued]])))</f>
        <v>0</v>
      </c>
      <c r="CE11" s="121" t="b">
        <f ca="1">AND(Tbl_ResidentData[[#This Row],[PRN Med Started]]&lt;&gt;"",Tbl_ResidentData[[#This Row],[PRN Med Started]]&lt;=NOW(),Tbl_ResidentData[[#This Row],[PRN Med Started]]&lt;=BG$4,OR(Tbl_ResidentData[[#This Row],[PRN Med Discontinued]]&gt;BG$4,ISBLANK(Tbl_ResidentData[[#This Row],[PRN Med Discontinued]])))</f>
        <v>0</v>
      </c>
      <c r="CF11" s="121" t="b">
        <f ca="1">AND(Tbl_ResidentData[[#This Row],[PRN Med Started]]&lt;&gt;"",Tbl_ResidentData[[#This Row],[PRN Med Started]]&lt;=NOW(),Tbl_ResidentData[[#This Row],[PRN Med Started]]&lt;=BH$4,OR(Tbl_ResidentData[[#This Row],[PRN Med Discontinued]]&gt;BH$4,ISBLANK(Tbl_ResidentData[[#This Row],[PRN Med Discontinued]])))</f>
        <v>0</v>
      </c>
      <c r="CG11" s="121" t="b">
        <f ca="1">AND(Tbl_ResidentData[[#This Row],[PRN Med Started]]&lt;&gt;"",Tbl_ResidentData[[#This Row],[PRN Med Started]]&lt;=NOW(),Tbl_ResidentData[[#This Row],[PRN Med Started]]&lt;=BI$4,OR(Tbl_ResidentData[[#This Row],[PRN Med Discontinued]]&gt;BI$4,ISBLANK(Tbl_ResidentData[[#This Row],[PRN Med Discontinued]])))</f>
        <v>0</v>
      </c>
      <c r="CH11" s="121" t="b">
        <f ca="1">AND(Tbl_ResidentData[[#This Row],[PRN Med Started]]&lt;&gt;"",Tbl_ResidentData[[#This Row],[PRN Med Started]]&lt;=NOW(),Tbl_ResidentData[[#This Row],[PRN Med Started]]&lt;=BJ$4,OR(Tbl_ResidentData[[#This Row],[PRN Med Discontinued]]&gt;BJ$4,ISBLANK(Tbl_ResidentData[[#This Row],[PRN Med Discontinued]])))</f>
        <v>0</v>
      </c>
      <c r="CI11" s="121" t="b">
        <f ca="1">AND(Tbl_ResidentData[[#This Row],[PRN Med Started]]&lt;&gt;"",Tbl_ResidentData[[#This Row],[PRN Med Started]]&lt;=NOW(),Tbl_ResidentData[[#This Row],[PRN Med Started]]&lt;=BK$4,OR(Tbl_ResidentData[[#This Row],[PRN Med Discontinued]]&gt;BK$4,ISBLANK(Tbl_ResidentData[[#This Row],[PRN Med Discontinued]])))</f>
        <v>0</v>
      </c>
      <c r="CJ11" s="121" t="b">
        <f ca="1">AND(Tbl_ResidentData[[#This Row],[PRN Med Started]]&lt;&gt;"",Tbl_ResidentData[[#This Row],[PRN Med Started]]&lt;=NOW(),Tbl_ResidentData[[#This Row],[PRN Med Started]]&lt;=BL$4,OR(Tbl_ResidentData[[#This Row],[PRN Med Discontinued]]&gt;BL$4,ISBLANK(Tbl_ResidentData[[#This Row],[PRN Med Discontinued]])))</f>
        <v>0</v>
      </c>
      <c r="CK11" s="121" t="b">
        <f ca="1">AND(Tbl_ResidentData[[#This Row],[PRN Med Started]]&lt;&gt;"",Tbl_ResidentData[[#This Row],[PRN Med Started]]&lt;=NOW(),Tbl_ResidentData[[#This Row],[PRN Med Started]]&lt;=BM$4,OR(Tbl_ResidentData[[#This Row],[PRN Med Discontinued]]&gt;BM$4,ISBLANK(Tbl_ResidentData[[#This Row],[PRN Med Discontinued]])))</f>
        <v>0</v>
      </c>
      <c r="CL11" s="121" t="b">
        <f ca="1">AND(Tbl_ResidentData[[#This Row],[PRN Med Started]]&lt;&gt;"",Tbl_ResidentData[[#This Row],[PRN Med Started]]&lt;=NOW(),Tbl_ResidentData[[#This Row],[PRN Med Started]]&lt;=BN$4,OR(Tbl_ResidentData[[#This Row],[PRN Med Discontinued]]&gt;BN$4,ISBLANK(Tbl_ResidentData[[#This Row],[PRN Med Discontinued]])))</f>
        <v>0</v>
      </c>
      <c r="CM11" s="121" t="b">
        <f ca="1">AND(Tbl_ResidentData[[#This Row],[PRN Med Started]]&lt;&gt;"",Tbl_ResidentData[[#This Row],[PRN Med Started]]&lt;=NOW(),Tbl_ResidentData[[#This Row],[PRN Med Started]]&lt;=BO$4,OR(Tbl_ResidentData[[#This Row],[PRN Med Discontinued]]&gt;BO$4,ISBLANK(Tbl_ResidentData[[#This Row],[PRN Med Discontinued]])))</f>
        <v>0</v>
      </c>
      <c r="CN11" s="122" t="b">
        <f ca="1">AND(Tbl_ResidentData[[#This Row],[PRN Med Started]]&lt;&gt;"",Tbl_ResidentData[[#This Row],[PRN Med Started]]&lt;=NOW(),Tbl_ResidentData[[#This Row],[PRN Med Started]]&lt;=BP$4,OR(Tbl_ResidentData[[#This Row],[PRN Med Discontinued]]&gt;BP$4,ISBLANK(Tbl_ResidentData[[#This Row],[PRN Med Discontinued]])))</f>
        <v>0</v>
      </c>
      <c r="CO11" s="120">
        <f ca="1">IF(OR(Tbl_ResidentData[[#This Row],[S1]]=TRUE,Tbl_ResidentData[[#This Row],[P1]]=TRUE),1,0)</f>
        <v>0</v>
      </c>
      <c r="CP11" s="121">
        <f ca="1">IF(OR(Tbl_ResidentData[[#This Row],[S2]]=TRUE,Tbl_ResidentData[[#This Row],[P2]]=TRUE),1,0)</f>
        <v>0</v>
      </c>
      <c r="CQ11" s="121">
        <f ca="1">IF(OR(Tbl_ResidentData[[#This Row],[S3]]=TRUE,Tbl_ResidentData[[#This Row],[P3]]=TRUE),1,0)</f>
        <v>0</v>
      </c>
      <c r="CR11" s="120">
        <f ca="1">IF(OR(Tbl_ResidentData[[#This Row],[S4]]=TRUE,Tbl_ResidentData[[#This Row],[P4]]=TRUE),1,0)</f>
        <v>0</v>
      </c>
      <c r="CS11" s="120">
        <f ca="1">IF(OR(Tbl_ResidentData[[#This Row],[S5]]=TRUE,Tbl_ResidentData[[#This Row],[P5]]=TRUE),1,0)</f>
        <v>0</v>
      </c>
      <c r="CT11" s="120">
        <f ca="1">IF(OR(Tbl_ResidentData[[#This Row],[S6]]=TRUE,Tbl_ResidentData[[#This Row],[P6]]=TRUE),1,0)</f>
        <v>0</v>
      </c>
      <c r="CU11" s="120">
        <f ca="1">IF(OR(Tbl_ResidentData[[#This Row],[S7]]=TRUE,Tbl_ResidentData[[#This Row],[P7]]=TRUE),1,0)</f>
        <v>0</v>
      </c>
      <c r="CV11" s="120">
        <f ca="1">IF(OR(Tbl_ResidentData[[#This Row],[S8]]=TRUE,Tbl_ResidentData[[#This Row],[P8]]=TRUE),1,0)</f>
        <v>0</v>
      </c>
      <c r="CW11" s="120">
        <f ca="1">IF(OR(Tbl_ResidentData[[#This Row],[S9]]=TRUE,Tbl_ResidentData[[#This Row],[P9]]=TRUE),1,0)</f>
        <v>0</v>
      </c>
      <c r="CX11" s="120">
        <f ca="1">IF(OR(Tbl_ResidentData[[#This Row],[S10]]=TRUE,Tbl_ResidentData[[#This Row],[P10]]=TRUE),1,0)</f>
        <v>0</v>
      </c>
      <c r="CY11" s="120">
        <f ca="1">IF(OR(Tbl_ResidentData[[#This Row],[S11]]=TRUE,Tbl_ResidentData[[#This Row],[P11]]=TRUE),1,0)</f>
        <v>0</v>
      </c>
      <c r="CZ11" s="120">
        <f ca="1">IF(OR(Tbl_ResidentData[[#This Row],[S12]]=TRUE,Tbl_ResidentData[[#This Row],[P12]]=TRUE),1,0)</f>
        <v>0</v>
      </c>
      <c r="DA11" s="120">
        <f ca="1">IF(OR(Tbl_ResidentData[[#This Row],[S13]]=TRUE,Tbl_ResidentData[[#This Row],[P13]]=TRUE),1,0)</f>
        <v>0</v>
      </c>
      <c r="DB11" s="120">
        <f ca="1">IF(OR(Tbl_ResidentData[[#This Row],[S14]]=TRUE,Tbl_ResidentData[[#This Row],[P14]]=TRUE),1,0)</f>
        <v>0</v>
      </c>
      <c r="DC11" s="120">
        <f ca="1">IF(OR(Tbl_ResidentData[[#This Row],[S15]]=TRUE,Tbl_ResidentData[[#This Row],[P15]]=TRUE),1,0)</f>
        <v>0</v>
      </c>
      <c r="DD11" s="120">
        <f ca="1">IF(OR(Tbl_ResidentData[[#This Row],[S16]]=TRUE,Tbl_ResidentData[[#This Row],[P16]]=TRUE),1,0)</f>
        <v>0</v>
      </c>
      <c r="DE11" s="120">
        <f ca="1">IF(OR(Tbl_ResidentData[[#This Row],[S17]]=TRUE,Tbl_ResidentData[[#This Row],[P17]]=TRUE),1,0)</f>
        <v>0</v>
      </c>
      <c r="DF11" s="120">
        <f ca="1">IF(OR(Tbl_ResidentData[[#This Row],[S18]]=TRUE,Tbl_ResidentData[[#This Row],[P18]]=TRUE),1,0)</f>
        <v>0</v>
      </c>
      <c r="DG11" s="120">
        <f ca="1">IF(OR(Tbl_ResidentData[[#This Row],[S19]]=TRUE,Tbl_ResidentData[[#This Row],[P19]]=TRUE),1,0)</f>
        <v>0</v>
      </c>
      <c r="DH11" s="120">
        <f ca="1">IF(OR(Tbl_ResidentData[[#This Row],[S20]]=TRUE,Tbl_ResidentData[[#This Row],[P20]]=TRUE),1,0)</f>
        <v>0</v>
      </c>
      <c r="DI11" s="120">
        <f ca="1">IF(OR(Tbl_ResidentData[[#This Row],[S21]]=TRUE,Tbl_ResidentData[[#This Row],[P21]]=TRUE),1,0)</f>
        <v>0</v>
      </c>
      <c r="DJ11" s="120">
        <f ca="1">IF(OR(Tbl_ResidentData[[#This Row],[S22]]=TRUE,Tbl_ResidentData[[#This Row],[P22]]=TRUE),1,0)</f>
        <v>0</v>
      </c>
      <c r="DK11" s="120">
        <f ca="1">IF(OR(Tbl_ResidentData[[#This Row],[S23]]=TRUE,Tbl_ResidentData[[#This Row],[P23]]=TRUE),1,0)</f>
        <v>0</v>
      </c>
      <c r="DL11" s="120">
        <f ca="1">IF(OR(Tbl_ResidentData[[#This Row],[S24]]=TRUE,Tbl_ResidentData[[#This Row],[P24]]=TRUE),1,0)</f>
        <v>0</v>
      </c>
      <c r="DM11" s="123" t="str">
        <f ca="1">IFERROR(INDEX($CO$4:$DL$4,MATCH(TRUE,INDEX((Tbl_ResidentData[[#This Row],[Over1]:[Over24]]&lt;&gt;0),0),0)),"")</f>
        <v/>
      </c>
      <c r="DN11" s="133" t="str">
        <f>IFERROR(INDEX(Tbl_PDSAData[Last DRT],MATCH(Tbl_ResidentData[Resident Name '[last, first']],Tbl_PDSAData[Resident Name (last, first)],0)),"")</f>
        <v/>
      </c>
      <c r="DO11" s="222" t="str">
        <f>IFERROR(INDEX(Tbl_PDSAData[Last MR],MATCH(Tbl_ResidentData[Resident Name '[last, first']],Tbl_PDSAData[Resident Name (last, first)],0)),"")</f>
        <v/>
      </c>
    </row>
    <row r="12" spans="1:119" x14ac:dyDescent="0.25">
      <c r="A12" s="179"/>
      <c r="B12" s="180"/>
      <c r="C12" s="180"/>
      <c r="D12" s="218"/>
      <c r="E12" s="179"/>
      <c r="F12" s="179"/>
      <c r="G12" s="181"/>
      <c r="H12" s="182"/>
      <c r="I12" s="186"/>
      <c r="J12" s="387"/>
      <c r="K12" s="178"/>
      <c r="L12" s="388"/>
      <c r="M12" s="187"/>
      <c r="N12" s="387"/>
      <c r="O12" s="178"/>
      <c r="P12" s="388"/>
      <c r="Q12" s="394"/>
      <c r="R12" s="388"/>
      <c r="S12" s="132" t="str">
        <f>IF(ISBLANK(Tbl_ResidentData[[#This Row],[Discharge '[mmm-yyyy']]]),IF(ISBLANK(Tbl_ResidentData[[#This Row],[Enrollment '[mmm-yyyy']]]),"","In Care Home"),"Discharged")</f>
        <v/>
      </c>
      <c r="T12" s="128" t="str">
        <f>IF(ISBLANK(Tbl_ResidentData[[#This Row],[Diagnosis (RAI)]]),IF(ISBLANK(Tbl_ResidentData[[#This Row],[Resident Name '[last, first']]]),"",0),IF(Tbl_ResidentData[[#This Row],[Diagnosis (RAI)]]="Other (see clinical notes)",0,1))</f>
        <v/>
      </c>
      <c r="U12" s="129" t="str">
        <f ca="1">IF(U$4&gt;NOW(),"-",IF(ISBLANK(Tbl_ResidentData[[#This Row],[Enrollment '[mmm-yyyy']]]),"-",AND((Tbl_ResidentData[[#This Row],[Enrollment '[mmm-yyyy']]]&lt;=U$4),IF(ISBLANK(Tbl_ResidentData[[#This Row],[Discharge '[mmm-yyyy']]]),TRUE,(Tbl_ResidentData[[#This Row],[Discharge '[mmm-yyyy']]]&gt;=U$4)))))</f>
        <v>-</v>
      </c>
      <c r="V12" s="121" t="str">
        <f ca="1">IF(V$4&gt;NOW(),"-",IF(ISBLANK(Tbl_ResidentData[[#This Row],[Enrollment '[mmm-yyyy']]]),"-",AND((Tbl_ResidentData[[#This Row],[Enrollment '[mmm-yyyy']]]&lt;=V$4),IF(ISBLANK(Tbl_ResidentData[[#This Row],[Discharge '[mmm-yyyy']]]),TRUE,(Tbl_ResidentData[[#This Row],[Discharge '[mmm-yyyy']]]&gt;=V$4)))))</f>
        <v>-</v>
      </c>
      <c r="W12" s="121" t="str">
        <f ca="1">IF(W$4&gt;NOW(),"-",IF(ISBLANK(Tbl_ResidentData[[#This Row],[Enrollment '[mmm-yyyy']]]),"-",AND((Tbl_ResidentData[[#This Row],[Enrollment '[mmm-yyyy']]]&lt;=W$4),IF(ISBLANK(Tbl_ResidentData[[#This Row],[Discharge '[mmm-yyyy']]]),TRUE,(Tbl_ResidentData[[#This Row],[Discharge '[mmm-yyyy']]]&gt;=W$4)))))</f>
        <v>-</v>
      </c>
      <c r="X12" s="121" t="str">
        <f ca="1">IF(X$4&gt;NOW(),"-",IF(ISBLANK(Tbl_ResidentData[[#This Row],[Enrollment '[mmm-yyyy']]]),"-",AND((Tbl_ResidentData[[#This Row],[Enrollment '[mmm-yyyy']]]&lt;=X$4),IF(ISBLANK(Tbl_ResidentData[[#This Row],[Discharge '[mmm-yyyy']]]),TRUE,(Tbl_ResidentData[[#This Row],[Discharge '[mmm-yyyy']]]&gt;=X$4)))))</f>
        <v>-</v>
      </c>
      <c r="Y12" s="121" t="str">
        <f ca="1">IF(Y$4&gt;NOW(),"-",IF(ISBLANK(Tbl_ResidentData[[#This Row],[Enrollment '[mmm-yyyy']]]),"-",AND((Tbl_ResidentData[[#This Row],[Enrollment '[mmm-yyyy']]]&lt;=Y$4),IF(ISBLANK(Tbl_ResidentData[[#This Row],[Discharge '[mmm-yyyy']]]),TRUE,(Tbl_ResidentData[[#This Row],[Discharge '[mmm-yyyy']]]&gt;=Y$4)))))</f>
        <v>-</v>
      </c>
      <c r="Z12" s="121" t="str">
        <f ca="1">IF(Z$4&gt;NOW(),"-",IF(ISBLANK(Tbl_ResidentData[[#This Row],[Enrollment '[mmm-yyyy']]]),"-",AND((Tbl_ResidentData[[#This Row],[Enrollment '[mmm-yyyy']]]&lt;=Z$4),IF(ISBLANK(Tbl_ResidentData[[#This Row],[Discharge '[mmm-yyyy']]]),TRUE,(Tbl_ResidentData[[#This Row],[Discharge '[mmm-yyyy']]]&gt;=Z$4)))))</f>
        <v>-</v>
      </c>
      <c r="AA12" s="121" t="str">
        <f ca="1">IF(AA$4&gt;NOW(),"-",IF(ISBLANK(Tbl_ResidentData[[#This Row],[Enrollment '[mmm-yyyy']]]),"-",AND((Tbl_ResidentData[[#This Row],[Enrollment '[mmm-yyyy']]]&lt;=AA$4),IF(ISBLANK(Tbl_ResidentData[[#This Row],[Discharge '[mmm-yyyy']]]),TRUE,(Tbl_ResidentData[[#This Row],[Discharge '[mmm-yyyy']]]&gt;=AA$4)))))</f>
        <v>-</v>
      </c>
      <c r="AB12" s="121" t="str">
        <f ca="1">IF(AB$4&gt;NOW(),"-",IF(ISBLANK(Tbl_ResidentData[[#This Row],[Enrollment '[mmm-yyyy']]]),"-",AND((Tbl_ResidentData[[#This Row],[Enrollment '[mmm-yyyy']]]&lt;=AB$4),IF(ISBLANK(Tbl_ResidentData[[#This Row],[Discharge '[mmm-yyyy']]]),TRUE,(Tbl_ResidentData[[#This Row],[Discharge '[mmm-yyyy']]]&gt;=AB$4)))))</f>
        <v>-</v>
      </c>
      <c r="AC12" s="121" t="str">
        <f ca="1">IF(AC$4&gt;NOW(),"-",IF(ISBLANK(Tbl_ResidentData[[#This Row],[Enrollment '[mmm-yyyy']]]),"-",AND((Tbl_ResidentData[[#This Row],[Enrollment '[mmm-yyyy']]]&lt;=AC$4),IF(ISBLANK(Tbl_ResidentData[[#This Row],[Discharge '[mmm-yyyy']]]),TRUE,(Tbl_ResidentData[[#This Row],[Discharge '[mmm-yyyy']]]&gt;=AC$4)))))</f>
        <v>-</v>
      </c>
      <c r="AD12" s="121" t="str">
        <f ca="1">IF(AD$4&gt;NOW(),"-",IF(ISBLANK(Tbl_ResidentData[[#This Row],[Enrollment '[mmm-yyyy']]]),"-",AND((Tbl_ResidentData[[#This Row],[Enrollment '[mmm-yyyy']]]&lt;=AD$4),IF(ISBLANK(Tbl_ResidentData[[#This Row],[Discharge '[mmm-yyyy']]]),TRUE,(Tbl_ResidentData[[#This Row],[Discharge '[mmm-yyyy']]]&gt;=AD$4)))))</f>
        <v>-</v>
      </c>
      <c r="AE12" s="121" t="str">
        <f ca="1">IF(AE$4&gt;NOW(),"-",IF(ISBLANK(Tbl_ResidentData[[#This Row],[Enrollment '[mmm-yyyy']]]),"-",AND((Tbl_ResidentData[[#This Row],[Enrollment '[mmm-yyyy']]]&lt;=AE$4),IF(ISBLANK(Tbl_ResidentData[[#This Row],[Discharge '[mmm-yyyy']]]),TRUE,(Tbl_ResidentData[[#This Row],[Discharge '[mmm-yyyy']]]&gt;=AE$4)))))</f>
        <v>-</v>
      </c>
      <c r="AF12" s="121" t="str">
        <f ca="1">IF(AF$4&gt;NOW(),"-",IF(ISBLANK(Tbl_ResidentData[[#This Row],[Enrollment '[mmm-yyyy']]]),"-",AND((Tbl_ResidentData[[#This Row],[Enrollment '[mmm-yyyy']]]&lt;=AF$4),IF(ISBLANK(Tbl_ResidentData[[#This Row],[Discharge '[mmm-yyyy']]]),TRUE,(Tbl_ResidentData[[#This Row],[Discharge '[mmm-yyyy']]]&gt;=AF$4)))))</f>
        <v>-</v>
      </c>
      <c r="AG12" s="121" t="str">
        <f ca="1">IF(AG$4&gt;NOW(),"-",IF(ISBLANK(Tbl_ResidentData[[#This Row],[Enrollment '[mmm-yyyy']]]),"-",AND((Tbl_ResidentData[[#This Row],[Enrollment '[mmm-yyyy']]]&lt;=AG$4),IF(ISBLANK(Tbl_ResidentData[[#This Row],[Discharge '[mmm-yyyy']]]),TRUE,(Tbl_ResidentData[[#This Row],[Discharge '[mmm-yyyy']]]&gt;=AG$4)))))</f>
        <v>-</v>
      </c>
      <c r="AH12" s="121" t="str">
        <f ca="1">IF(AH$4&gt;NOW(),"-",IF(ISBLANK(Tbl_ResidentData[[#This Row],[Enrollment '[mmm-yyyy']]]),"-",AND((Tbl_ResidentData[[#This Row],[Enrollment '[mmm-yyyy']]]&lt;=AH$4),IF(ISBLANK(Tbl_ResidentData[[#This Row],[Discharge '[mmm-yyyy']]]),TRUE,(Tbl_ResidentData[[#This Row],[Discharge '[mmm-yyyy']]]&gt;=AH$4)))))</f>
        <v>-</v>
      </c>
      <c r="AI12" s="121" t="str">
        <f ca="1">IF(AI$4&gt;NOW(),"-",IF(ISBLANK(Tbl_ResidentData[[#This Row],[Enrollment '[mmm-yyyy']]]),"-",AND((Tbl_ResidentData[[#This Row],[Enrollment '[mmm-yyyy']]]&lt;=AI$4),IF(ISBLANK(Tbl_ResidentData[[#This Row],[Discharge '[mmm-yyyy']]]),TRUE,(Tbl_ResidentData[[#This Row],[Discharge '[mmm-yyyy']]]&gt;=AI$4)))))</f>
        <v>-</v>
      </c>
      <c r="AJ12" s="121" t="str">
        <f ca="1">IF(AJ$4&gt;NOW(),"-",IF(ISBLANK(Tbl_ResidentData[[#This Row],[Enrollment '[mmm-yyyy']]]),"-",AND((Tbl_ResidentData[[#This Row],[Enrollment '[mmm-yyyy']]]&lt;=AJ$4),IF(ISBLANK(Tbl_ResidentData[[#This Row],[Discharge '[mmm-yyyy']]]),TRUE,(Tbl_ResidentData[[#This Row],[Discharge '[mmm-yyyy']]]&gt;=AJ$4)))))</f>
        <v>-</v>
      </c>
      <c r="AK12" s="121" t="str">
        <f ca="1">IF(AK$4&gt;NOW(),"-",IF(ISBLANK(Tbl_ResidentData[[#This Row],[Enrollment '[mmm-yyyy']]]),"-",AND((Tbl_ResidentData[[#This Row],[Enrollment '[mmm-yyyy']]]&lt;=AK$4),IF(ISBLANK(Tbl_ResidentData[[#This Row],[Discharge '[mmm-yyyy']]]),TRUE,(Tbl_ResidentData[[#This Row],[Discharge '[mmm-yyyy']]]&gt;=AK$4)))))</f>
        <v>-</v>
      </c>
      <c r="AL12" s="121" t="str">
        <f ca="1">IF(AL$4&gt;NOW(),"-",IF(ISBLANK(Tbl_ResidentData[[#This Row],[Enrollment '[mmm-yyyy']]]),"-",AND((Tbl_ResidentData[[#This Row],[Enrollment '[mmm-yyyy']]]&lt;=AL$4),IF(ISBLANK(Tbl_ResidentData[[#This Row],[Discharge '[mmm-yyyy']]]),TRUE,(Tbl_ResidentData[[#This Row],[Discharge '[mmm-yyyy']]]&gt;=AL$4)))))</f>
        <v>-</v>
      </c>
      <c r="AM12" s="121" t="str">
        <f ca="1">IF(AM$4&gt;NOW(),"-",IF(ISBLANK(Tbl_ResidentData[[#This Row],[Enrollment '[mmm-yyyy']]]),"-",AND((Tbl_ResidentData[[#This Row],[Enrollment '[mmm-yyyy']]]&lt;=AM$4),IF(ISBLANK(Tbl_ResidentData[[#This Row],[Discharge '[mmm-yyyy']]]),TRUE,(Tbl_ResidentData[[#This Row],[Discharge '[mmm-yyyy']]]&gt;=AM$4)))))</f>
        <v>-</v>
      </c>
      <c r="AN12" s="121" t="str">
        <f ca="1">IF(AN$4&gt;NOW(),"-",IF(ISBLANK(Tbl_ResidentData[[#This Row],[Enrollment '[mmm-yyyy']]]),"-",AND((Tbl_ResidentData[[#This Row],[Enrollment '[mmm-yyyy']]]&lt;=AN$4),IF(ISBLANK(Tbl_ResidentData[[#This Row],[Discharge '[mmm-yyyy']]]),TRUE,(Tbl_ResidentData[[#This Row],[Discharge '[mmm-yyyy']]]&gt;=AN$4)))))</f>
        <v>-</v>
      </c>
      <c r="AO12" s="121" t="str">
        <f ca="1">IF(AO$4&gt;NOW(),"-",IF(ISBLANK(Tbl_ResidentData[[#This Row],[Enrollment '[mmm-yyyy']]]),"-",AND((Tbl_ResidentData[[#This Row],[Enrollment '[mmm-yyyy']]]&lt;=AO$4),IF(ISBLANK(Tbl_ResidentData[[#This Row],[Discharge '[mmm-yyyy']]]),TRUE,(Tbl_ResidentData[[#This Row],[Discharge '[mmm-yyyy']]]&gt;=AO$4)))))</f>
        <v>-</v>
      </c>
      <c r="AP12" s="121" t="str">
        <f ca="1">IF(AP$4&gt;NOW(),"-",IF(ISBLANK(Tbl_ResidentData[[#This Row],[Enrollment '[mmm-yyyy']]]),"-",AND((Tbl_ResidentData[[#This Row],[Enrollment '[mmm-yyyy']]]&lt;=AP$4),IF(ISBLANK(Tbl_ResidentData[[#This Row],[Discharge '[mmm-yyyy']]]),TRUE,(Tbl_ResidentData[[#This Row],[Discharge '[mmm-yyyy']]]&gt;=AP$4)))))</f>
        <v>-</v>
      </c>
      <c r="AQ12" s="121" t="str">
        <f ca="1">IF(AQ$4&gt;NOW(),"-",IF(ISBLANK(Tbl_ResidentData[[#This Row],[Enrollment '[mmm-yyyy']]]),"-",AND((Tbl_ResidentData[[#This Row],[Enrollment '[mmm-yyyy']]]&lt;=AQ$4),IF(ISBLANK(Tbl_ResidentData[[#This Row],[Discharge '[mmm-yyyy']]]),TRUE,(Tbl_ResidentData[[#This Row],[Discharge '[mmm-yyyy']]]&gt;=AQ$4)))))</f>
        <v>-</v>
      </c>
      <c r="AR12" s="122" t="str">
        <f ca="1">IF(AR$4&gt;NOW(),"-",IF(ISBLANK(Tbl_ResidentData[[#This Row],[Enrollment '[mmm-yyyy']]]),"-",AND((Tbl_ResidentData[[#This Row],[Enrollment '[mmm-yyyy']]]&lt;=AR$4),IF(ISBLANK(Tbl_ResidentData[[#This Row],[Discharge '[mmm-yyyy']]]),TRUE,(Tbl_ResidentData[[#This Row],[Discharge '[mmm-yyyy']]]&gt;=AR$4)))))</f>
        <v>-</v>
      </c>
      <c r="AS1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 s="120" t="b">
        <f ca="1">AND(Tbl_ResidentData[[#This Row],[PRN Med Started]]&lt;&gt;"",Tbl_ResidentData[[#This Row],[PRN Med Started]]&lt;=NOW(),Tbl_ResidentData[[#This Row],[PRN Med Started]]&lt;=AS$4,OR(Tbl_ResidentData[[#This Row],[PRN Med Discontinued]]&gt;AS$4,ISBLANK(Tbl_ResidentData[[#This Row],[PRN Med Discontinued]])))</f>
        <v>0</v>
      </c>
      <c r="BR12" s="121" t="b">
        <f ca="1">AND(Tbl_ResidentData[[#This Row],[PRN Med Started]]&lt;&gt;"",Tbl_ResidentData[[#This Row],[PRN Med Started]]&lt;=NOW(),Tbl_ResidentData[[#This Row],[PRN Med Started]]&lt;=AT$4,OR(Tbl_ResidentData[[#This Row],[PRN Med Discontinued]]&gt;AT$4,ISBLANK(Tbl_ResidentData[[#This Row],[PRN Med Discontinued]])))</f>
        <v>0</v>
      </c>
      <c r="BS12" s="129" t="b">
        <f ca="1">AND(Tbl_ResidentData[[#This Row],[PRN Med Started]]&lt;&gt;"",Tbl_ResidentData[[#This Row],[PRN Med Started]]&lt;=NOW(),Tbl_ResidentData[[#This Row],[PRN Med Started]]&lt;=AU$4,OR(Tbl_ResidentData[[#This Row],[PRN Med Discontinued]]&gt;AU$4,ISBLANK(Tbl_ResidentData[[#This Row],[PRN Med Discontinued]])))</f>
        <v>0</v>
      </c>
      <c r="BT12" s="129" t="b">
        <f ca="1">AND(Tbl_ResidentData[[#This Row],[PRN Med Started]]&lt;&gt;"",Tbl_ResidentData[[#This Row],[PRN Med Started]]&lt;=NOW(),Tbl_ResidentData[[#This Row],[PRN Med Started]]&lt;=AV$4,OR(Tbl_ResidentData[[#This Row],[PRN Med Discontinued]]&gt;AV$4,ISBLANK(Tbl_ResidentData[[#This Row],[PRN Med Discontinued]])))</f>
        <v>0</v>
      </c>
      <c r="BU12" s="129" t="b">
        <f ca="1">AND(Tbl_ResidentData[[#This Row],[PRN Med Started]]&lt;&gt;"",Tbl_ResidentData[[#This Row],[PRN Med Started]]&lt;=NOW(),Tbl_ResidentData[[#This Row],[PRN Med Started]]&lt;=AW$4,OR(Tbl_ResidentData[[#This Row],[PRN Med Discontinued]]&gt;AW$4,ISBLANK(Tbl_ResidentData[[#This Row],[PRN Med Discontinued]])))</f>
        <v>0</v>
      </c>
      <c r="BV12" s="129" t="b">
        <f ca="1">AND(Tbl_ResidentData[[#This Row],[PRN Med Started]]&lt;&gt;"",Tbl_ResidentData[[#This Row],[PRN Med Started]]&lt;=NOW(),Tbl_ResidentData[[#This Row],[PRN Med Started]]&lt;=AX$4,OR(Tbl_ResidentData[[#This Row],[PRN Med Discontinued]]&gt;AX$4,ISBLANK(Tbl_ResidentData[[#This Row],[PRN Med Discontinued]])))</f>
        <v>0</v>
      </c>
      <c r="BW12" s="129" t="b">
        <f ca="1">AND(Tbl_ResidentData[[#This Row],[PRN Med Started]]&lt;&gt;"",Tbl_ResidentData[[#This Row],[PRN Med Started]]&lt;=NOW(),Tbl_ResidentData[[#This Row],[PRN Med Started]]&lt;=AY$4,OR(Tbl_ResidentData[[#This Row],[PRN Med Discontinued]]&gt;AY$4,ISBLANK(Tbl_ResidentData[[#This Row],[PRN Med Discontinued]])))</f>
        <v>0</v>
      </c>
      <c r="BX12" s="129" t="b">
        <f ca="1">AND(Tbl_ResidentData[[#This Row],[PRN Med Started]]&lt;&gt;"",Tbl_ResidentData[[#This Row],[PRN Med Started]]&lt;=NOW(),Tbl_ResidentData[[#This Row],[PRN Med Started]]&lt;=AZ$4,OR(Tbl_ResidentData[[#This Row],[PRN Med Discontinued]]&gt;AZ$4,ISBLANK(Tbl_ResidentData[[#This Row],[PRN Med Discontinued]])))</f>
        <v>0</v>
      </c>
      <c r="BY12" s="129" t="b">
        <f ca="1">AND(Tbl_ResidentData[[#This Row],[PRN Med Started]]&lt;&gt;"",Tbl_ResidentData[[#This Row],[PRN Med Started]]&lt;=NOW(),Tbl_ResidentData[[#This Row],[PRN Med Started]]&lt;=BA$4,OR(Tbl_ResidentData[[#This Row],[PRN Med Discontinued]]&gt;BA$4,ISBLANK(Tbl_ResidentData[[#This Row],[PRN Med Discontinued]])))</f>
        <v>0</v>
      </c>
      <c r="BZ12" s="129" t="b">
        <f ca="1">AND(Tbl_ResidentData[[#This Row],[PRN Med Started]]&lt;&gt;"",Tbl_ResidentData[[#This Row],[PRN Med Started]]&lt;=NOW(),Tbl_ResidentData[[#This Row],[PRN Med Started]]&lt;=BB$4,OR(Tbl_ResidentData[[#This Row],[PRN Med Discontinued]]&gt;BB$4,ISBLANK(Tbl_ResidentData[[#This Row],[PRN Med Discontinued]])))</f>
        <v>0</v>
      </c>
      <c r="CA12" s="129" t="b">
        <f ca="1">AND(Tbl_ResidentData[[#This Row],[PRN Med Started]]&lt;&gt;"",Tbl_ResidentData[[#This Row],[PRN Med Started]]&lt;=NOW(),Tbl_ResidentData[[#This Row],[PRN Med Started]]&lt;=BC$4,OR(Tbl_ResidentData[[#This Row],[PRN Med Discontinued]]&gt;BC$4,ISBLANK(Tbl_ResidentData[[#This Row],[PRN Med Discontinued]])))</f>
        <v>0</v>
      </c>
      <c r="CB12" s="129" t="b">
        <f ca="1">AND(Tbl_ResidentData[[#This Row],[PRN Med Started]]&lt;&gt;"",Tbl_ResidentData[[#This Row],[PRN Med Started]]&lt;=NOW(),Tbl_ResidentData[[#This Row],[PRN Med Started]]&lt;=BD$4,OR(Tbl_ResidentData[[#This Row],[PRN Med Discontinued]]&gt;BD$4,ISBLANK(Tbl_ResidentData[[#This Row],[PRN Med Discontinued]])))</f>
        <v>0</v>
      </c>
      <c r="CC12" s="129" t="b">
        <f ca="1">AND(Tbl_ResidentData[[#This Row],[PRN Med Started]]&lt;&gt;"",Tbl_ResidentData[[#This Row],[PRN Med Started]]&lt;=NOW(),Tbl_ResidentData[[#This Row],[PRN Med Started]]&lt;=BE$4,OR(Tbl_ResidentData[[#This Row],[PRN Med Discontinued]]&gt;BE$4,ISBLANK(Tbl_ResidentData[[#This Row],[PRN Med Discontinued]])))</f>
        <v>0</v>
      </c>
      <c r="CD12" s="129" t="b">
        <f ca="1">AND(Tbl_ResidentData[[#This Row],[PRN Med Started]]&lt;&gt;"",Tbl_ResidentData[[#This Row],[PRN Med Started]]&lt;=NOW(),Tbl_ResidentData[[#This Row],[PRN Med Started]]&lt;=BF$4,OR(Tbl_ResidentData[[#This Row],[PRN Med Discontinued]]&gt;BF$4,ISBLANK(Tbl_ResidentData[[#This Row],[PRN Med Discontinued]])))</f>
        <v>0</v>
      </c>
      <c r="CE12" s="129" t="b">
        <f ca="1">AND(Tbl_ResidentData[[#This Row],[PRN Med Started]]&lt;&gt;"",Tbl_ResidentData[[#This Row],[PRN Med Started]]&lt;=NOW(),Tbl_ResidentData[[#This Row],[PRN Med Started]]&lt;=BG$4,OR(Tbl_ResidentData[[#This Row],[PRN Med Discontinued]]&gt;BG$4,ISBLANK(Tbl_ResidentData[[#This Row],[PRN Med Discontinued]])))</f>
        <v>0</v>
      </c>
      <c r="CF12" s="129" t="b">
        <f ca="1">AND(Tbl_ResidentData[[#This Row],[PRN Med Started]]&lt;&gt;"",Tbl_ResidentData[[#This Row],[PRN Med Started]]&lt;=NOW(),Tbl_ResidentData[[#This Row],[PRN Med Started]]&lt;=BH$4,OR(Tbl_ResidentData[[#This Row],[PRN Med Discontinued]]&gt;BH$4,ISBLANK(Tbl_ResidentData[[#This Row],[PRN Med Discontinued]])))</f>
        <v>0</v>
      </c>
      <c r="CG12" s="129" t="b">
        <f ca="1">AND(Tbl_ResidentData[[#This Row],[PRN Med Started]]&lt;&gt;"",Tbl_ResidentData[[#This Row],[PRN Med Started]]&lt;=NOW(),Tbl_ResidentData[[#This Row],[PRN Med Started]]&lt;=BI$4,OR(Tbl_ResidentData[[#This Row],[PRN Med Discontinued]]&gt;BI$4,ISBLANK(Tbl_ResidentData[[#This Row],[PRN Med Discontinued]])))</f>
        <v>0</v>
      </c>
      <c r="CH12" s="129" t="b">
        <f ca="1">AND(Tbl_ResidentData[[#This Row],[PRN Med Started]]&lt;&gt;"",Tbl_ResidentData[[#This Row],[PRN Med Started]]&lt;=NOW(),Tbl_ResidentData[[#This Row],[PRN Med Started]]&lt;=BJ$4,OR(Tbl_ResidentData[[#This Row],[PRN Med Discontinued]]&gt;BJ$4,ISBLANK(Tbl_ResidentData[[#This Row],[PRN Med Discontinued]])))</f>
        <v>0</v>
      </c>
      <c r="CI12" s="129" t="b">
        <f ca="1">AND(Tbl_ResidentData[[#This Row],[PRN Med Started]]&lt;&gt;"",Tbl_ResidentData[[#This Row],[PRN Med Started]]&lt;=NOW(),Tbl_ResidentData[[#This Row],[PRN Med Started]]&lt;=BK$4,OR(Tbl_ResidentData[[#This Row],[PRN Med Discontinued]]&gt;BK$4,ISBLANK(Tbl_ResidentData[[#This Row],[PRN Med Discontinued]])))</f>
        <v>0</v>
      </c>
      <c r="CJ12" s="129" t="b">
        <f ca="1">AND(Tbl_ResidentData[[#This Row],[PRN Med Started]]&lt;&gt;"",Tbl_ResidentData[[#This Row],[PRN Med Started]]&lt;=NOW(),Tbl_ResidentData[[#This Row],[PRN Med Started]]&lt;=BL$4,OR(Tbl_ResidentData[[#This Row],[PRN Med Discontinued]]&gt;BL$4,ISBLANK(Tbl_ResidentData[[#This Row],[PRN Med Discontinued]])))</f>
        <v>0</v>
      </c>
      <c r="CK12" s="129" t="b">
        <f ca="1">AND(Tbl_ResidentData[[#This Row],[PRN Med Started]]&lt;&gt;"",Tbl_ResidentData[[#This Row],[PRN Med Started]]&lt;=NOW(),Tbl_ResidentData[[#This Row],[PRN Med Started]]&lt;=BM$4,OR(Tbl_ResidentData[[#This Row],[PRN Med Discontinued]]&gt;BM$4,ISBLANK(Tbl_ResidentData[[#This Row],[PRN Med Discontinued]])))</f>
        <v>0</v>
      </c>
      <c r="CL12" s="129" t="b">
        <f ca="1">AND(Tbl_ResidentData[[#This Row],[PRN Med Started]]&lt;&gt;"",Tbl_ResidentData[[#This Row],[PRN Med Started]]&lt;=NOW(),Tbl_ResidentData[[#This Row],[PRN Med Started]]&lt;=BN$4,OR(Tbl_ResidentData[[#This Row],[PRN Med Discontinued]]&gt;BN$4,ISBLANK(Tbl_ResidentData[[#This Row],[PRN Med Discontinued]])))</f>
        <v>0</v>
      </c>
      <c r="CM12" s="121" t="b">
        <f ca="1">AND(Tbl_ResidentData[[#This Row],[PRN Med Started]]&lt;&gt;"",Tbl_ResidentData[[#This Row],[PRN Med Started]]&lt;=NOW(),Tbl_ResidentData[[#This Row],[PRN Med Started]]&lt;=BO$4,OR(Tbl_ResidentData[[#This Row],[PRN Med Discontinued]]&gt;BO$4,ISBLANK(Tbl_ResidentData[[#This Row],[PRN Med Discontinued]])))</f>
        <v>0</v>
      </c>
      <c r="CN12" s="122" t="b">
        <f ca="1">AND(Tbl_ResidentData[[#This Row],[PRN Med Started]]&lt;&gt;"",Tbl_ResidentData[[#This Row],[PRN Med Started]]&lt;=NOW(),Tbl_ResidentData[[#This Row],[PRN Med Started]]&lt;=BP$4,OR(Tbl_ResidentData[[#This Row],[PRN Med Discontinued]]&gt;BP$4,ISBLANK(Tbl_ResidentData[[#This Row],[PRN Med Discontinued]])))</f>
        <v>0</v>
      </c>
      <c r="CO12" s="120">
        <f ca="1">IF(OR(Tbl_ResidentData[[#This Row],[S1]]=TRUE,Tbl_ResidentData[[#This Row],[P1]]=TRUE),1,0)</f>
        <v>0</v>
      </c>
      <c r="CP12" s="121">
        <f ca="1">IF(OR(Tbl_ResidentData[[#This Row],[S2]]=TRUE,Tbl_ResidentData[[#This Row],[P2]]=TRUE),1,0)</f>
        <v>0</v>
      </c>
      <c r="CQ12" s="121">
        <f ca="1">IF(OR(Tbl_ResidentData[[#This Row],[S3]]=TRUE,Tbl_ResidentData[[#This Row],[P3]]=TRUE),1,0)</f>
        <v>0</v>
      </c>
      <c r="CR12" s="130">
        <f ca="1">IF(OR(Tbl_ResidentData[[#This Row],[S4]]=TRUE,Tbl_ResidentData[[#This Row],[P4]]=TRUE),1,0)</f>
        <v>0</v>
      </c>
      <c r="CS12" s="130">
        <f ca="1">IF(OR(Tbl_ResidentData[[#This Row],[S5]]=TRUE,Tbl_ResidentData[[#This Row],[P5]]=TRUE),1,0)</f>
        <v>0</v>
      </c>
      <c r="CT12" s="130">
        <f ca="1">IF(OR(Tbl_ResidentData[[#This Row],[S6]]=TRUE,Tbl_ResidentData[[#This Row],[P6]]=TRUE),1,0)</f>
        <v>0</v>
      </c>
      <c r="CU12" s="130">
        <f ca="1">IF(OR(Tbl_ResidentData[[#This Row],[S7]]=TRUE,Tbl_ResidentData[[#This Row],[P7]]=TRUE),1,0)</f>
        <v>0</v>
      </c>
      <c r="CV12" s="130">
        <f ca="1">IF(OR(Tbl_ResidentData[[#This Row],[S8]]=TRUE,Tbl_ResidentData[[#This Row],[P8]]=TRUE),1,0)</f>
        <v>0</v>
      </c>
      <c r="CW12" s="130">
        <f ca="1">IF(OR(Tbl_ResidentData[[#This Row],[S9]]=TRUE,Tbl_ResidentData[[#This Row],[P9]]=TRUE),1,0)</f>
        <v>0</v>
      </c>
      <c r="CX12" s="130">
        <f ca="1">IF(OR(Tbl_ResidentData[[#This Row],[S10]]=TRUE,Tbl_ResidentData[[#This Row],[P10]]=TRUE),1,0)</f>
        <v>0</v>
      </c>
      <c r="CY12" s="130">
        <f ca="1">IF(OR(Tbl_ResidentData[[#This Row],[S11]]=TRUE,Tbl_ResidentData[[#This Row],[P11]]=TRUE),1,0)</f>
        <v>0</v>
      </c>
      <c r="CZ12" s="130">
        <f ca="1">IF(OR(Tbl_ResidentData[[#This Row],[S12]]=TRUE,Tbl_ResidentData[[#This Row],[P12]]=TRUE),1,0)</f>
        <v>0</v>
      </c>
      <c r="DA12" s="130">
        <f ca="1">IF(OR(Tbl_ResidentData[[#This Row],[S13]]=TRUE,Tbl_ResidentData[[#This Row],[P13]]=TRUE),1,0)</f>
        <v>0</v>
      </c>
      <c r="DB12" s="130">
        <f ca="1">IF(OR(Tbl_ResidentData[[#This Row],[S14]]=TRUE,Tbl_ResidentData[[#This Row],[P14]]=TRUE),1,0)</f>
        <v>0</v>
      </c>
      <c r="DC12" s="130">
        <f ca="1">IF(OR(Tbl_ResidentData[[#This Row],[S15]]=TRUE,Tbl_ResidentData[[#This Row],[P15]]=TRUE),1,0)</f>
        <v>0</v>
      </c>
      <c r="DD12" s="130">
        <f ca="1">IF(OR(Tbl_ResidentData[[#This Row],[S16]]=TRUE,Tbl_ResidentData[[#This Row],[P16]]=TRUE),1,0)</f>
        <v>0</v>
      </c>
      <c r="DE12" s="130">
        <f ca="1">IF(OR(Tbl_ResidentData[[#This Row],[S17]]=TRUE,Tbl_ResidentData[[#This Row],[P17]]=TRUE),1,0)</f>
        <v>0</v>
      </c>
      <c r="DF12" s="130">
        <f ca="1">IF(OR(Tbl_ResidentData[[#This Row],[S18]]=TRUE,Tbl_ResidentData[[#This Row],[P18]]=TRUE),1,0)</f>
        <v>0</v>
      </c>
      <c r="DG12" s="130">
        <f ca="1">IF(OR(Tbl_ResidentData[[#This Row],[S19]]=TRUE,Tbl_ResidentData[[#This Row],[P19]]=TRUE),1,0)</f>
        <v>0</v>
      </c>
      <c r="DH12" s="130">
        <f ca="1">IF(OR(Tbl_ResidentData[[#This Row],[S20]]=TRUE,Tbl_ResidentData[[#This Row],[P20]]=TRUE),1,0)</f>
        <v>0</v>
      </c>
      <c r="DI12" s="130">
        <f ca="1">IF(OR(Tbl_ResidentData[[#This Row],[S21]]=TRUE,Tbl_ResidentData[[#This Row],[P21]]=TRUE),1,0)</f>
        <v>0</v>
      </c>
      <c r="DJ12" s="130">
        <f ca="1">IF(OR(Tbl_ResidentData[[#This Row],[S22]]=TRUE,Tbl_ResidentData[[#This Row],[P22]]=TRUE),1,0)</f>
        <v>0</v>
      </c>
      <c r="DK12" s="130">
        <f ca="1">IF(OR(Tbl_ResidentData[[#This Row],[S23]]=TRUE,Tbl_ResidentData[[#This Row],[P23]]=TRUE),1,0)</f>
        <v>0</v>
      </c>
      <c r="DL12" s="130">
        <f ca="1">IF(OR(Tbl_ResidentData[[#This Row],[S24]]=TRUE,Tbl_ResidentData[[#This Row],[P24]]=TRUE),1,0)</f>
        <v>0</v>
      </c>
      <c r="DM12" s="123" t="str">
        <f ca="1">IFERROR(INDEX($CO$4:$DL$4,MATCH(TRUE,INDEX((Tbl_ResidentData[[#This Row],[Over1]:[Over24]]&lt;&gt;0),0),0)),"")</f>
        <v/>
      </c>
      <c r="DN12" s="133" t="str">
        <f>IFERROR(INDEX(Tbl_PDSAData[Last DRT],MATCH(Tbl_ResidentData[Resident Name '[last, first']],Tbl_PDSAData[Resident Name (last, first)],0)),"")</f>
        <v/>
      </c>
      <c r="DO12" s="222" t="str">
        <f>IFERROR(INDEX(Tbl_PDSAData[Last MR],MATCH(Tbl_ResidentData[Resident Name '[last, first']],Tbl_PDSAData[Resident Name (last, first)],0)),"")</f>
        <v/>
      </c>
    </row>
    <row r="13" spans="1:119" x14ac:dyDescent="0.25">
      <c r="A13" s="179"/>
      <c r="B13" s="180"/>
      <c r="C13" s="180"/>
      <c r="D13" s="218"/>
      <c r="E13" s="179"/>
      <c r="F13" s="181"/>
      <c r="G13" s="181"/>
      <c r="H13" s="375"/>
      <c r="I13" s="185"/>
      <c r="J13" s="387"/>
      <c r="K13" s="178"/>
      <c r="L13" s="388"/>
      <c r="M13" s="185"/>
      <c r="N13" s="386"/>
      <c r="O13" s="178"/>
      <c r="P13" s="388"/>
      <c r="Q13" s="395"/>
      <c r="R13" s="396"/>
      <c r="S13" s="131" t="str">
        <f>IF(ISBLANK(Tbl_ResidentData[[#This Row],[Discharge '[mmm-yyyy']]]),IF(ISBLANK(Tbl_ResidentData[[#This Row],[Enrollment '[mmm-yyyy']]]),"","In Care Home"),"Discharged")</f>
        <v/>
      </c>
      <c r="T13" s="119" t="str">
        <f>IF(ISBLANK(Tbl_ResidentData[[#This Row],[Diagnosis (RAI)]]),IF(ISBLANK(Tbl_ResidentData[[#This Row],[Resident Name '[last, first']]]),"",0),IF(Tbl_ResidentData[[#This Row],[Diagnosis (RAI)]]="Other (see clinical notes)",0,1))</f>
        <v/>
      </c>
      <c r="U13" s="120" t="str">
        <f ca="1">IF(U$4&gt;NOW(),"-",IF(ISBLANK(Tbl_ResidentData[[#This Row],[Enrollment '[mmm-yyyy']]]),"-",AND((Tbl_ResidentData[[#This Row],[Enrollment '[mmm-yyyy']]]&lt;=U$4),IF(ISBLANK(Tbl_ResidentData[[#This Row],[Discharge '[mmm-yyyy']]]),TRUE,(Tbl_ResidentData[[#This Row],[Discharge '[mmm-yyyy']]]&gt;=U$4)))))</f>
        <v>-</v>
      </c>
      <c r="V13" s="121" t="str">
        <f ca="1">IF(V$4&gt;NOW(),"-",IF(ISBLANK(Tbl_ResidentData[[#This Row],[Enrollment '[mmm-yyyy']]]),"-",AND((Tbl_ResidentData[[#This Row],[Enrollment '[mmm-yyyy']]]&lt;=V$4),IF(ISBLANK(Tbl_ResidentData[[#This Row],[Discharge '[mmm-yyyy']]]),TRUE,(Tbl_ResidentData[[#This Row],[Discharge '[mmm-yyyy']]]&gt;=V$4)))))</f>
        <v>-</v>
      </c>
      <c r="W13" s="121" t="str">
        <f ca="1">IF(W$4&gt;NOW(),"-",IF(ISBLANK(Tbl_ResidentData[[#This Row],[Enrollment '[mmm-yyyy']]]),"-",AND((Tbl_ResidentData[[#This Row],[Enrollment '[mmm-yyyy']]]&lt;=W$4),IF(ISBLANK(Tbl_ResidentData[[#This Row],[Discharge '[mmm-yyyy']]]),TRUE,(Tbl_ResidentData[[#This Row],[Discharge '[mmm-yyyy']]]&gt;=W$4)))))</f>
        <v>-</v>
      </c>
      <c r="X13" s="121" t="str">
        <f ca="1">IF(X$4&gt;NOW(),"-",IF(ISBLANK(Tbl_ResidentData[[#This Row],[Enrollment '[mmm-yyyy']]]),"-",AND((Tbl_ResidentData[[#This Row],[Enrollment '[mmm-yyyy']]]&lt;=X$4),IF(ISBLANK(Tbl_ResidentData[[#This Row],[Discharge '[mmm-yyyy']]]),TRUE,(Tbl_ResidentData[[#This Row],[Discharge '[mmm-yyyy']]]&gt;=X$4)))))</f>
        <v>-</v>
      </c>
      <c r="Y13" s="121" t="str">
        <f ca="1">IF(Y$4&gt;NOW(),"-",IF(ISBLANK(Tbl_ResidentData[[#This Row],[Enrollment '[mmm-yyyy']]]),"-",AND((Tbl_ResidentData[[#This Row],[Enrollment '[mmm-yyyy']]]&lt;=Y$4),IF(ISBLANK(Tbl_ResidentData[[#This Row],[Discharge '[mmm-yyyy']]]),TRUE,(Tbl_ResidentData[[#This Row],[Discharge '[mmm-yyyy']]]&gt;=Y$4)))))</f>
        <v>-</v>
      </c>
      <c r="Z13" s="121" t="str">
        <f ca="1">IF(Z$4&gt;NOW(),"-",IF(ISBLANK(Tbl_ResidentData[[#This Row],[Enrollment '[mmm-yyyy']]]),"-",AND((Tbl_ResidentData[[#This Row],[Enrollment '[mmm-yyyy']]]&lt;=Z$4),IF(ISBLANK(Tbl_ResidentData[[#This Row],[Discharge '[mmm-yyyy']]]),TRUE,(Tbl_ResidentData[[#This Row],[Discharge '[mmm-yyyy']]]&gt;=Z$4)))))</f>
        <v>-</v>
      </c>
      <c r="AA13" s="121" t="str">
        <f ca="1">IF(AA$4&gt;NOW(),"-",IF(ISBLANK(Tbl_ResidentData[[#This Row],[Enrollment '[mmm-yyyy']]]),"-",AND((Tbl_ResidentData[[#This Row],[Enrollment '[mmm-yyyy']]]&lt;=AA$4),IF(ISBLANK(Tbl_ResidentData[[#This Row],[Discharge '[mmm-yyyy']]]),TRUE,(Tbl_ResidentData[[#This Row],[Discharge '[mmm-yyyy']]]&gt;=AA$4)))))</f>
        <v>-</v>
      </c>
      <c r="AB13" s="121" t="str">
        <f ca="1">IF(AB$4&gt;NOW(),"-",IF(ISBLANK(Tbl_ResidentData[[#This Row],[Enrollment '[mmm-yyyy']]]),"-",AND((Tbl_ResidentData[[#This Row],[Enrollment '[mmm-yyyy']]]&lt;=AB$4),IF(ISBLANK(Tbl_ResidentData[[#This Row],[Discharge '[mmm-yyyy']]]),TRUE,(Tbl_ResidentData[[#This Row],[Discharge '[mmm-yyyy']]]&gt;=AB$4)))))</f>
        <v>-</v>
      </c>
      <c r="AC13" s="121" t="str">
        <f ca="1">IF(AC$4&gt;NOW(),"-",IF(ISBLANK(Tbl_ResidentData[[#This Row],[Enrollment '[mmm-yyyy']]]),"-",AND((Tbl_ResidentData[[#This Row],[Enrollment '[mmm-yyyy']]]&lt;=AC$4),IF(ISBLANK(Tbl_ResidentData[[#This Row],[Discharge '[mmm-yyyy']]]),TRUE,(Tbl_ResidentData[[#This Row],[Discharge '[mmm-yyyy']]]&gt;=AC$4)))))</f>
        <v>-</v>
      </c>
      <c r="AD13" s="121" t="str">
        <f ca="1">IF(AD$4&gt;NOW(),"-",IF(ISBLANK(Tbl_ResidentData[[#This Row],[Enrollment '[mmm-yyyy']]]),"-",AND((Tbl_ResidentData[[#This Row],[Enrollment '[mmm-yyyy']]]&lt;=AD$4),IF(ISBLANK(Tbl_ResidentData[[#This Row],[Discharge '[mmm-yyyy']]]),TRUE,(Tbl_ResidentData[[#This Row],[Discharge '[mmm-yyyy']]]&gt;=AD$4)))))</f>
        <v>-</v>
      </c>
      <c r="AE13" s="121" t="str">
        <f ca="1">IF(AE$4&gt;NOW(),"-",IF(ISBLANK(Tbl_ResidentData[[#This Row],[Enrollment '[mmm-yyyy']]]),"-",AND((Tbl_ResidentData[[#This Row],[Enrollment '[mmm-yyyy']]]&lt;=AE$4),IF(ISBLANK(Tbl_ResidentData[[#This Row],[Discharge '[mmm-yyyy']]]),TRUE,(Tbl_ResidentData[[#This Row],[Discharge '[mmm-yyyy']]]&gt;=AE$4)))))</f>
        <v>-</v>
      </c>
      <c r="AF13" s="121" t="str">
        <f ca="1">IF(AF$4&gt;NOW(),"-",IF(ISBLANK(Tbl_ResidentData[[#This Row],[Enrollment '[mmm-yyyy']]]),"-",AND((Tbl_ResidentData[[#This Row],[Enrollment '[mmm-yyyy']]]&lt;=AF$4),IF(ISBLANK(Tbl_ResidentData[[#This Row],[Discharge '[mmm-yyyy']]]),TRUE,(Tbl_ResidentData[[#This Row],[Discharge '[mmm-yyyy']]]&gt;=AF$4)))))</f>
        <v>-</v>
      </c>
      <c r="AG13" s="121" t="str">
        <f ca="1">IF(AG$4&gt;NOW(),"-",IF(ISBLANK(Tbl_ResidentData[[#This Row],[Enrollment '[mmm-yyyy']]]),"-",AND((Tbl_ResidentData[[#This Row],[Enrollment '[mmm-yyyy']]]&lt;=AG$4),IF(ISBLANK(Tbl_ResidentData[[#This Row],[Discharge '[mmm-yyyy']]]),TRUE,(Tbl_ResidentData[[#This Row],[Discharge '[mmm-yyyy']]]&gt;=AG$4)))))</f>
        <v>-</v>
      </c>
      <c r="AH13" s="121" t="str">
        <f ca="1">IF(AH$4&gt;NOW(),"-",IF(ISBLANK(Tbl_ResidentData[[#This Row],[Enrollment '[mmm-yyyy']]]),"-",AND((Tbl_ResidentData[[#This Row],[Enrollment '[mmm-yyyy']]]&lt;=AH$4),IF(ISBLANK(Tbl_ResidentData[[#This Row],[Discharge '[mmm-yyyy']]]),TRUE,(Tbl_ResidentData[[#This Row],[Discharge '[mmm-yyyy']]]&gt;=AH$4)))))</f>
        <v>-</v>
      </c>
      <c r="AI13" s="121" t="str">
        <f ca="1">IF(AI$4&gt;NOW(),"-",IF(ISBLANK(Tbl_ResidentData[[#This Row],[Enrollment '[mmm-yyyy']]]),"-",AND((Tbl_ResidentData[[#This Row],[Enrollment '[mmm-yyyy']]]&lt;=AI$4),IF(ISBLANK(Tbl_ResidentData[[#This Row],[Discharge '[mmm-yyyy']]]),TRUE,(Tbl_ResidentData[[#This Row],[Discharge '[mmm-yyyy']]]&gt;=AI$4)))))</f>
        <v>-</v>
      </c>
      <c r="AJ13" s="121" t="str">
        <f ca="1">IF(AJ$4&gt;NOW(),"-",IF(ISBLANK(Tbl_ResidentData[[#This Row],[Enrollment '[mmm-yyyy']]]),"-",AND((Tbl_ResidentData[[#This Row],[Enrollment '[mmm-yyyy']]]&lt;=AJ$4),IF(ISBLANK(Tbl_ResidentData[[#This Row],[Discharge '[mmm-yyyy']]]),TRUE,(Tbl_ResidentData[[#This Row],[Discharge '[mmm-yyyy']]]&gt;=AJ$4)))))</f>
        <v>-</v>
      </c>
      <c r="AK13" s="121" t="str">
        <f ca="1">IF(AK$4&gt;NOW(),"-",IF(ISBLANK(Tbl_ResidentData[[#This Row],[Enrollment '[mmm-yyyy']]]),"-",AND((Tbl_ResidentData[[#This Row],[Enrollment '[mmm-yyyy']]]&lt;=AK$4),IF(ISBLANK(Tbl_ResidentData[[#This Row],[Discharge '[mmm-yyyy']]]),TRUE,(Tbl_ResidentData[[#This Row],[Discharge '[mmm-yyyy']]]&gt;=AK$4)))))</f>
        <v>-</v>
      </c>
      <c r="AL13" s="121" t="str">
        <f ca="1">IF(AL$4&gt;NOW(),"-",IF(ISBLANK(Tbl_ResidentData[[#This Row],[Enrollment '[mmm-yyyy']]]),"-",AND((Tbl_ResidentData[[#This Row],[Enrollment '[mmm-yyyy']]]&lt;=AL$4),IF(ISBLANK(Tbl_ResidentData[[#This Row],[Discharge '[mmm-yyyy']]]),TRUE,(Tbl_ResidentData[[#This Row],[Discharge '[mmm-yyyy']]]&gt;=AL$4)))))</f>
        <v>-</v>
      </c>
      <c r="AM13" s="121" t="str">
        <f ca="1">IF(AM$4&gt;NOW(),"-",IF(ISBLANK(Tbl_ResidentData[[#This Row],[Enrollment '[mmm-yyyy']]]),"-",AND((Tbl_ResidentData[[#This Row],[Enrollment '[mmm-yyyy']]]&lt;=AM$4),IF(ISBLANK(Tbl_ResidentData[[#This Row],[Discharge '[mmm-yyyy']]]),TRUE,(Tbl_ResidentData[[#This Row],[Discharge '[mmm-yyyy']]]&gt;=AM$4)))))</f>
        <v>-</v>
      </c>
      <c r="AN13" s="121" t="str">
        <f ca="1">IF(AN$4&gt;NOW(),"-",IF(ISBLANK(Tbl_ResidentData[[#This Row],[Enrollment '[mmm-yyyy']]]),"-",AND((Tbl_ResidentData[[#This Row],[Enrollment '[mmm-yyyy']]]&lt;=AN$4),IF(ISBLANK(Tbl_ResidentData[[#This Row],[Discharge '[mmm-yyyy']]]),TRUE,(Tbl_ResidentData[[#This Row],[Discharge '[mmm-yyyy']]]&gt;=AN$4)))))</f>
        <v>-</v>
      </c>
      <c r="AO13" s="121" t="str">
        <f ca="1">IF(AO$4&gt;NOW(),"-",IF(ISBLANK(Tbl_ResidentData[[#This Row],[Enrollment '[mmm-yyyy']]]),"-",AND((Tbl_ResidentData[[#This Row],[Enrollment '[mmm-yyyy']]]&lt;=AO$4),IF(ISBLANK(Tbl_ResidentData[[#This Row],[Discharge '[mmm-yyyy']]]),TRUE,(Tbl_ResidentData[[#This Row],[Discharge '[mmm-yyyy']]]&gt;=AO$4)))))</f>
        <v>-</v>
      </c>
      <c r="AP13" s="121" t="str">
        <f ca="1">IF(AP$4&gt;NOW(),"-",IF(ISBLANK(Tbl_ResidentData[[#This Row],[Enrollment '[mmm-yyyy']]]),"-",AND((Tbl_ResidentData[[#This Row],[Enrollment '[mmm-yyyy']]]&lt;=AP$4),IF(ISBLANK(Tbl_ResidentData[[#This Row],[Discharge '[mmm-yyyy']]]),TRUE,(Tbl_ResidentData[[#This Row],[Discharge '[mmm-yyyy']]]&gt;=AP$4)))))</f>
        <v>-</v>
      </c>
      <c r="AQ13" s="121" t="str">
        <f ca="1">IF(AQ$4&gt;NOW(),"-",IF(ISBLANK(Tbl_ResidentData[[#This Row],[Enrollment '[mmm-yyyy']]]),"-",AND((Tbl_ResidentData[[#This Row],[Enrollment '[mmm-yyyy']]]&lt;=AQ$4),IF(ISBLANK(Tbl_ResidentData[[#This Row],[Discharge '[mmm-yyyy']]]),TRUE,(Tbl_ResidentData[[#This Row],[Discharge '[mmm-yyyy']]]&gt;=AQ$4)))))</f>
        <v>-</v>
      </c>
      <c r="AR13" s="122" t="str">
        <f ca="1">IF(AR$4&gt;NOW(),"-",IF(ISBLANK(Tbl_ResidentData[[#This Row],[Enrollment '[mmm-yyyy']]]),"-",AND((Tbl_ResidentData[[#This Row],[Enrollment '[mmm-yyyy']]]&lt;=AR$4),IF(ISBLANK(Tbl_ResidentData[[#This Row],[Discharge '[mmm-yyyy']]]),TRUE,(Tbl_ResidentData[[#This Row],[Discharge '[mmm-yyyy']]]&gt;=AR$4)))))</f>
        <v>-</v>
      </c>
      <c r="AS1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 s="120" t="b">
        <f ca="1">AND(Tbl_ResidentData[[#This Row],[PRN Med Started]]&lt;&gt;"",Tbl_ResidentData[[#This Row],[PRN Med Started]]&lt;=NOW(),Tbl_ResidentData[[#This Row],[PRN Med Started]]&lt;=AS$4,OR(Tbl_ResidentData[[#This Row],[PRN Med Discontinued]]&gt;AS$4,ISBLANK(Tbl_ResidentData[[#This Row],[PRN Med Discontinued]])))</f>
        <v>0</v>
      </c>
      <c r="BR13" s="121" t="b">
        <f ca="1">AND(Tbl_ResidentData[[#This Row],[PRN Med Started]]&lt;&gt;"",Tbl_ResidentData[[#This Row],[PRN Med Started]]&lt;=NOW(),Tbl_ResidentData[[#This Row],[PRN Med Started]]&lt;=AT$4,OR(Tbl_ResidentData[[#This Row],[PRN Med Discontinued]]&gt;AT$4,ISBLANK(Tbl_ResidentData[[#This Row],[PRN Med Discontinued]])))</f>
        <v>0</v>
      </c>
      <c r="BS13" s="121" t="b">
        <f ca="1">AND(Tbl_ResidentData[[#This Row],[PRN Med Started]]&lt;&gt;"",Tbl_ResidentData[[#This Row],[PRN Med Started]]&lt;=NOW(),Tbl_ResidentData[[#This Row],[PRN Med Started]]&lt;=AU$4,OR(Tbl_ResidentData[[#This Row],[PRN Med Discontinued]]&gt;AU$4,ISBLANK(Tbl_ResidentData[[#This Row],[PRN Med Discontinued]])))</f>
        <v>0</v>
      </c>
      <c r="BT13" s="121" t="b">
        <f ca="1">AND(Tbl_ResidentData[[#This Row],[PRN Med Started]]&lt;&gt;"",Tbl_ResidentData[[#This Row],[PRN Med Started]]&lt;=NOW(),Tbl_ResidentData[[#This Row],[PRN Med Started]]&lt;=AV$4,OR(Tbl_ResidentData[[#This Row],[PRN Med Discontinued]]&gt;AV$4,ISBLANK(Tbl_ResidentData[[#This Row],[PRN Med Discontinued]])))</f>
        <v>0</v>
      </c>
      <c r="BU13" s="121" t="b">
        <f ca="1">AND(Tbl_ResidentData[[#This Row],[PRN Med Started]]&lt;&gt;"",Tbl_ResidentData[[#This Row],[PRN Med Started]]&lt;=NOW(),Tbl_ResidentData[[#This Row],[PRN Med Started]]&lt;=AW$4,OR(Tbl_ResidentData[[#This Row],[PRN Med Discontinued]]&gt;AW$4,ISBLANK(Tbl_ResidentData[[#This Row],[PRN Med Discontinued]])))</f>
        <v>0</v>
      </c>
      <c r="BV13" s="121" t="b">
        <f ca="1">AND(Tbl_ResidentData[[#This Row],[PRN Med Started]]&lt;&gt;"",Tbl_ResidentData[[#This Row],[PRN Med Started]]&lt;=NOW(),Tbl_ResidentData[[#This Row],[PRN Med Started]]&lt;=AX$4,OR(Tbl_ResidentData[[#This Row],[PRN Med Discontinued]]&gt;AX$4,ISBLANK(Tbl_ResidentData[[#This Row],[PRN Med Discontinued]])))</f>
        <v>0</v>
      </c>
      <c r="BW13" s="121" t="b">
        <f ca="1">AND(Tbl_ResidentData[[#This Row],[PRN Med Started]]&lt;&gt;"",Tbl_ResidentData[[#This Row],[PRN Med Started]]&lt;=NOW(),Tbl_ResidentData[[#This Row],[PRN Med Started]]&lt;=AY$4,OR(Tbl_ResidentData[[#This Row],[PRN Med Discontinued]]&gt;AY$4,ISBLANK(Tbl_ResidentData[[#This Row],[PRN Med Discontinued]])))</f>
        <v>0</v>
      </c>
      <c r="BX13" s="121" t="b">
        <f ca="1">AND(Tbl_ResidentData[[#This Row],[PRN Med Started]]&lt;&gt;"",Tbl_ResidentData[[#This Row],[PRN Med Started]]&lt;=NOW(),Tbl_ResidentData[[#This Row],[PRN Med Started]]&lt;=AZ$4,OR(Tbl_ResidentData[[#This Row],[PRN Med Discontinued]]&gt;AZ$4,ISBLANK(Tbl_ResidentData[[#This Row],[PRN Med Discontinued]])))</f>
        <v>0</v>
      </c>
      <c r="BY13" s="121" t="b">
        <f ca="1">AND(Tbl_ResidentData[[#This Row],[PRN Med Started]]&lt;&gt;"",Tbl_ResidentData[[#This Row],[PRN Med Started]]&lt;=NOW(),Tbl_ResidentData[[#This Row],[PRN Med Started]]&lt;=BA$4,OR(Tbl_ResidentData[[#This Row],[PRN Med Discontinued]]&gt;BA$4,ISBLANK(Tbl_ResidentData[[#This Row],[PRN Med Discontinued]])))</f>
        <v>0</v>
      </c>
      <c r="BZ13" s="121" t="b">
        <f ca="1">AND(Tbl_ResidentData[[#This Row],[PRN Med Started]]&lt;&gt;"",Tbl_ResidentData[[#This Row],[PRN Med Started]]&lt;=NOW(),Tbl_ResidentData[[#This Row],[PRN Med Started]]&lt;=BB$4,OR(Tbl_ResidentData[[#This Row],[PRN Med Discontinued]]&gt;BB$4,ISBLANK(Tbl_ResidentData[[#This Row],[PRN Med Discontinued]])))</f>
        <v>0</v>
      </c>
      <c r="CA13" s="121" t="b">
        <f ca="1">AND(Tbl_ResidentData[[#This Row],[PRN Med Started]]&lt;&gt;"",Tbl_ResidentData[[#This Row],[PRN Med Started]]&lt;=NOW(),Tbl_ResidentData[[#This Row],[PRN Med Started]]&lt;=BC$4,OR(Tbl_ResidentData[[#This Row],[PRN Med Discontinued]]&gt;BC$4,ISBLANK(Tbl_ResidentData[[#This Row],[PRN Med Discontinued]])))</f>
        <v>0</v>
      </c>
      <c r="CB13" s="121" t="b">
        <f ca="1">AND(Tbl_ResidentData[[#This Row],[PRN Med Started]]&lt;&gt;"",Tbl_ResidentData[[#This Row],[PRN Med Started]]&lt;=NOW(),Tbl_ResidentData[[#This Row],[PRN Med Started]]&lt;=BD$4,OR(Tbl_ResidentData[[#This Row],[PRN Med Discontinued]]&gt;BD$4,ISBLANK(Tbl_ResidentData[[#This Row],[PRN Med Discontinued]])))</f>
        <v>0</v>
      </c>
      <c r="CC13" s="121" t="b">
        <f ca="1">AND(Tbl_ResidentData[[#This Row],[PRN Med Started]]&lt;&gt;"",Tbl_ResidentData[[#This Row],[PRN Med Started]]&lt;=NOW(),Tbl_ResidentData[[#This Row],[PRN Med Started]]&lt;=BE$4,OR(Tbl_ResidentData[[#This Row],[PRN Med Discontinued]]&gt;BE$4,ISBLANK(Tbl_ResidentData[[#This Row],[PRN Med Discontinued]])))</f>
        <v>0</v>
      </c>
      <c r="CD13" s="121" t="b">
        <f ca="1">AND(Tbl_ResidentData[[#This Row],[PRN Med Started]]&lt;&gt;"",Tbl_ResidentData[[#This Row],[PRN Med Started]]&lt;=NOW(),Tbl_ResidentData[[#This Row],[PRN Med Started]]&lt;=BF$4,OR(Tbl_ResidentData[[#This Row],[PRN Med Discontinued]]&gt;BF$4,ISBLANK(Tbl_ResidentData[[#This Row],[PRN Med Discontinued]])))</f>
        <v>0</v>
      </c>
      <c r="CE13" s="121" t="b">
        <f ca="1">AND(Tbl_ResidentData[[#This Row],[PRN Med Started]]&lt;&gt;"",Tbl_ResidentData[[#This Row],[PRN Med Started]]&lt;=NOW(),Tbl_ResidentData[[#This Row],[PRN Med Started]]&lt;=BG$4,OR(Tbl_ResidentData[[#This Row],[PRN Med Discontinued]]&gt;BG$4,ISBLANK(Tbl_ResidentData[[#This Row],[PRN Med Discontinued]])))</f>
        <v>0</v>
      </c>
      <c r="CF13" s="121" t="b">
        <f ca="1">AND(Tbl_ResidentData[[#This Row],[PRN Med Started]]&lt;&gt;"",Tbl_ResidentData[[#This Row],[PRN Med Started]]&lt;=NOW(),Tbl_ResidentData[[#This Row],[PRN Med Started]]&lt;=BH$4,OR(Tbl_ResidentData[[#This Row],[PRN Med Discontinued]]&gt;BH$4,ISBLANK(Tbl_ResidentData[[#This Row],[PRN Med Discontinued]])))</f>
        <v>0</v>
      </c>
      <c r="CG13" s="121" t="b">
        <f ca="1">AND(Tbl_ResidentData[[#This Row],[PRN Med Started]]&lt;&gt;"",Tbl_ResidentData[[#This Row],[PRN Med Started]]&lt;=NOW(),Tbl_ResidentData[[#This Row],[PRN Med Started]]&lt;=BI$4,OR(Tbl_ResidentData[[#This Row],[PRN Med Discontinued]]&gt;BI$4,ISBLANK(Tbl_ResidentData[[#This Row],[PRN Med Discontinued]])))</f>
        <v>0</v>
      </c>
      <c r="CH13" s="121" t="b">
        <f ca="1">AND(Tbl_ResidentData[[#This Row],[PRN Med Started]]&lt;&gt;"",Tbl_ResidentData[[#This Row],[PRN Med Started]]&lt;=NOW(),Tbl_ResidentData[[#This Row],[PRN Med Started]]&lt;=BJ$4,OR(Tbl_ResidentData[[#This Row],[PRN Med Discontinued]]&gt;BJ$4,ISBLANK(Tbl_ResidentData[[#This Row],[PRN Med Discontinued]])))</f>
        <v>0</v>
      </c>
      <c r="CI13" s="121" t="b">
        <f ca="1">AND(Tbl_ResidentData[[#This Row],[PRN Med Started]]&lt;&gt;"",Tbl_ResidentData[[#This Row],[PRN Med Started]]&lt;=NOW(),Tbl_ResidentData[[#This Row],[PRN Med Started]]&lt;=BK$4,OR(Tbl_ResidentData[[#This Row],[PRN Med Discontinued]]&gt;BK$4,ISBLANK(Tbl_ResidentData[[#This Row],[PRN Med Discontinued]])))</f>
        <v>0</v>
      </c>
      <c r="CJ13" s="121" t="b">
        <f ca="1">AND(Tbl_ResidentData[[#This Row],[PRN Med Started]]&lt;&gt;"",Tbl_ResidentData[[#This Row],[PRN Med Started]]&lt;=NOW(),Tbl_ResidentData[[#This Row],[PRN Med Started]]&lt;=BL$4,OR(Tbl_ResidentData[[#This Row],[PRN Med Discontinued]]&gt;BL$4,ISBLANK(Tbl_ResidentData[[#This Row],[PRN Med Discontinued]])))</f>
        <v>0</v>
      </c>
      <c r="CK13" s="121" t="b">
        <f ca="1">AND(Tbl_ResidentData[[#This Row],[PRN Med Started]]&lt;&gt;"",Tbl_ResidentData[[#This Row],[PRN Med Started]]&lt;=NOW(),Tbl_ResidentData[[#This Row],[PRN Med Started]]&lt;=BM$4,OR(Tbl_ResidentData[[#This Row],[PRN Med Discontinued]]&gt;BM$4,ISBLANK(Tbl_ResidentData[[#This Row],[PRN Med Discontinued]])))</f>
        <v>0</v>
      </c>
      <c r="CL13" s="121" t="b">
        <f ca="1">AND(Tbl_ResidentData[[#This Row],[PRN Med Started]]&lt;&gt;"",Tbl_ResidentData[[#This Row],[PRN Med Started]]&lt;=NOW(),Tbl_ResidentData[[#This Row],[PRN Med Started]]&lt;=BN$4,OR(Tbl_ResidentData[[#This Row],[PRN Med Discontinued]]&gt;BN$4,ISBLANK(Tbl_ResidentData[[#This Row],[PRN Med Discontinued]])))</f>
        <v>0</v>
      </c>
      <c r="CM13" s="121" t="b">
        <f ca="1">AND(Tbl_ResidentData[[#This Row],[PRN Med Started]]&lt;&gt;"",Tbl_ResidentData[[#This Row],[PRN Med Started]]&lt;=NOW(),Tbl_ResidentData[[#This Row],[PRN Med Started]]&lt;=BO$4,OR(Tbl_ResidentData[[#This Row],[PRN Med Discontinued]]&gt;BO$4,ISBLANK(Tbl_ResidentData[[#This Row],[PRN Med Discontinued]])))</f>
        <v>0</v>
      </c>
      <c r="CN13" s="122" t="b">
        <f ca="1">AND(Tbl_ResidentData[[#This Row],[PRN Med Started]]&lt;&gt;"",Tbl_ResidentData[[#This Row],[PRN Med Started]]&lt;=NOW(),Tbl_ResidentData[[#This Row],[PRN Med Started]]&lt;=BP$4,OR(Tbl_ResidentData[[#This Row],[PRN Med Discontinued]]&gt;BP$4,ISBLANK(Tbl_ResidentData[[#This Row],[PRN Med Discontinued]])))</f>
        <v>0</v>
      </c>
      <c r="CO13" s="120">
        <f ca="1">IF(OR(Tbl_ResidentData[[#This Row],[S1]]=TRUE,Tbl_ResidentData[[#This Row],[P1]]=TRUE),1,0)</f>
        <v>0</v>
      </c>
      <c r="CP13" s="121">
        <f ca="1">IF(OR(Tbl_ResidentData[[#This Row],[S2]]=TRUE,Tbl_ResidentData[[#This Row],[P2]]=TRUE),1,0)</f>
        <v>0</v>
      </c>
      <c r="CQ13" s="121">
        <f ca="1">IF(OR(Tbl_ResidentData[[#This Row],[S3]]=TRUE,Tbl_ResidentData[[#This Row],[P3]]=TRUE),1,0)</f>
        <v>0</v>
      </c>
      <c r="CR13" s="120">
        <f ca="1">IF(OR(Tbl_ResidentData[[#This Row],[S4]]=TRUE,Tbl_ResidentData[[#This Row],[P4]]=TRUE),1,0)</f>
        <v>0</v>
      </c>
      <c r="CS13" s="120">
        <f ca="1">IF(OR(Tbl_ResidentData[[#This Row],[S5]]=TRUE,Tbl_ResidentData[[#This Row],[P5]]=TRUE),1,0)</f>
        <v>0</v>
      </c>
      <c r="CT13" s="120">
        <f ca="1">IF(OR(Tbl_ResidentData[[#This Row],[S6]]=TRUE,Tbl_ResidentData[[#This Row],[P6]]=TRUE),1,0)</f>
        <v>0</v>
      </c>
      <c r="CU13" s="120">
        <f ca="1">IF(OR(Tbl_ResidentData[[#This Row],[S7]]=TRUE,Tbl_ResidentData[[#This Row],[P7]]=TRUE),1,0)</f>
        <v>0</v>
      </c>
      <c r="CV13" s="120">
        <f ca="1">IF(OR(Tbl_ResidentData[[#This Row],[S8]]=TRUE,Tbl_ResidentData[[#This Row],[P8]]=TRUE),1,0)</f>
        <v>0</v>
      </c>
      <c r="CW13" s="120">
        <f ca="1">IF(OR(Tbl_ResidentData[[#This Row],[S9]]=TRUE,Tbl_ResidentData[[#This Row],[P9]]=TRUE),1,0)</f>
        <v>0</v>
      </c>
      <c r="CX13" s="120">
        <f ca="1">IF(OR(Tbl_ResidentData[[#This Row],[S10]]=TRUE,Tbl_ResidentData[[#This Row],[P10]]=TRUE),1,0)</f>
        <v>0</v>
      </c>
      <c r="CY13" s="120">
        <f ca="1">IF(OR(Tbl_ResidentData[[#This Row],[S11]]=TRUE,Tbl_ResidentData[[#This Row],[P11]]=TRUE),1,0)</f>
        <v>0</v>
      </c>
      <c r="CZ13" s="120">
        <f ca="1">IF(OR(Tbl_ResidentData[[#This Row],[S12]]=TRUE,Tbl_ResidentData[[#This Row],[P12]]=TRUE),1,0)</f>
        <v>0</v>
      </c>
      <c r="DA13" s="120">
        <f ca="1">IF(OR(Tbl_ResidentData[[#This Row],[S13]]=TRUE,Tbl_ResidentData[[#This Row],[P13]]=TRUE),1,0)</f>
        <v>0</v>
      </c>
      <c r="DB13" s="120">
        <f ca="1">IF(OR(Tbl_ResidentData[[#This Row],[S14]]=TRUE,Tbl_ResidentData[[#This Row],[P14]]=TRUE),1,0)</f>
        <v>0</v>
      </c>
      <c r="DC13" s="120">
        <f ca="1">IF(OR(Tbl_ResidentData[[#This Row],[S15]]=TRUE,Tbl_ResidentData[[#This Row],[P15]]=TRUE),1,0)</f>
        <v>0</v>
      </c>
      <c r="DD13" s="120">
        <f ca="1">IF(OR(Tbl_ResidentData[[#This Row],[S16]]=TRUE,Tbl_ResidentData[[#This Row],[P16]]=TRUE),1,0)</f>
        <v>0</v>
      </c>
      <c r="DE13" s="120">
        <f ca="1">IF(OR(Tbl_ResidentData[[#This Row],[S17]]=TRUE,Tbl_ResidentData[[#This Row],[P17]]=TRUE),1,0)</f>
        <v>0</v>
      </c>
      <c r="DF13" s="120">
        <f ca="1">IF(OR(Tbl_ResidentData[[#This Row],[S18]]=TRUE,Tbl_ResidentData[[#This Row],[P18]]=TRUE),1,0)</f>
        <v>0</v>
      </c>
      <c r="DG13" s="120">
        <f ca="1">IF(OR(Tbl_ResidentData[[#This Row],[S19]]=TRUE,Tbl_ResidentData[[#This Row],[P19]]=TRUE),1,0)</f>
        <v>0</v>
      </c>
      <c r="DH13" s="120">
        <f ca="1">IF(OR(Tbl_ResidentData[[#This Row],[S20]]=TRUE,Tbl_ResidentData[[#This Row],[P20]]=TRUE),1,0)</f>
        <v>0</v>
      </c>
      <c r="DI13" s="120">
        <f ca="1">IF(OR(Tbl_ResidentData[[#This Row],[S21]]=TRUE,Tbl_ResidentData[[#This Row],[P21]]=TRUE),1,0)</f>
        <v>0</v>
      </c>
      <c r="DJ13" s="120">
        <f ca="1">IF(OR(Tbl_ResidentData[[#This Row],[S22]]=TRUE,Tbl_ResidentData[[#This Row],[P22]]=TRUE),1,0)</f>
        <v>0</v>
      </c>
      <c r="DK13" s="120">
        <f ca="1">IF(OR(Tbl_ResidentData[[#This Row],[S23]]=TRUE,Tbl_ResidentData[[#This Row],[P23]]=TRUE),1,0)</f>
        <v>0</v>
      </c>
      <c r="DL13" s="120">
        <f ca="1">IF(OR(Tbl_ResidentData[[#This Row],[S24]]=TRUE,Tbl_ResidentData[[#This Row],[P24]]=TRUE),1,0)</f>
        <v>0</v>
      </c>
      <c r="DM13" s="123" t="str">
        <f ca="1">IFERROR(INDEX($CO$4:$DL$4,MATCH(TRUE,INDEX((Tbl_ResidentData[[#This Row],[Over1]:[Over24]]&lt;&gt;0),0),0)),"")</f>
        <v/>
      </c>
      <c r="DN13" s="133" t="str">
        <f>IFERROR(INDEX(Tbl_PDSAData[Last DRT],MATCH(Tbl_ResidentData[Resident Name '[last, first']],Tbl_PDSAData[Resident Name (last, first)],0)),"")</f>
        <v/>
      </c>
      <c r="DO13" s="222" t="str">
        <f>IFERROR(INDEX(Tbl_PDSAData[Last MR],MATCH(Tbl_ResidentData[Resident Name '[last, first']],Tbl_PDSAData[Resident Name (last, first)],0)),"")</f>
        <v/>
      </c>
    </row>
    <row r="14" spans="1:119" x14ac:dyDescent="0.25">
      <c r="A14" s="179"/>
      <c r="B14" s="180"/>
      <c r="C14" s="180"/>
      <c r="D14" s="218"/>
      <c r="E14" s="179"/>
      <c r="F14" s="181"/>
      <c r="G14" s="181"/>
      <c r="H14" s="375"/>
      <c r="I14" s="185"/>
      <c r="J14" s="387"/>
      <c r="K14" s="178"/>
      <c r="L14" s="388"/>
      <c r="M14" s="185"/>
      <c r="N14" s="386"/>
      <c r="O14" s="178"/>
      <c r="P14" s="388"/>
      <c r="Q14" s="394"/>
      <c r="R14" s="388"/>
      <c r="S14" s="131" t="str">
        <f>IF(ISBLANK(Tbl_ResidentData[[#This Row],[Discharge '[mmm-yyyy']]]),IF(ISBLANK(Tbl_ResidentData[[#This Row],[Enrollment '[mmm-yyyy']]]),"","In Care Home"),"Discharged")</f>
        <v/>
      </c>
      <c r="T14" s="119" t="str">
        <f>IF(ISBLANK(Tbl_ResidentData[[#This Row],[Diagnosis (RAI)]]),IF(ISBLANK(Tbl_ResidentData[[#This Row],[Resident Name '[last, first']]]),"",0),IF(Tbl_ResidentData[[#This Row],[Diagnosis (RAI)]]="Other (see clinical notes)",0,1))</f>
        <v/>
      </c>
      <c r="U14" s="120" t="str">
        <f ca="1">IF(U$4&gt;NOW(),"-",IF(ISBLANK(Tbl_ResidentData[[#This Row],[Enrollment '[mmm-yyyy']]]),"-",AND((Tbl_ResidentData[[#This Row],[Enrollment '[mmm-yyyy']]]&lt;=U$4),IF(ISBLANK(Tbl_ResidentData[[#This Row],[Discharge '[mmm-yyyy']]]),TRUE,(Tbl_ResidentData[[#This Row],[Discharge '[mmm-yyyy']]]&gt;=U$4)))))</f>
        <v>-</v>
      </c>
      <c r="V14" s="121" t="str">
        <f ca="1">IF(V$4&gt;NOW(),"-",IF(ISBLANK(Tbl_ResidentData[[#This Row],[Enrollment '[mmm-yyyy']]]),"-",AND((Tbl_ResidentData[[#This Row],[Enrollment '[mmm-yyyy']]]&lt;=V$4),IF(ISBLANK(Tbl_ResidentData[[#This Row],[Discharge '[mmm-yyyy']]]),TRUE,(Tbl_ResidentData[[#This Row],[Discharge '[mmm-yyyy']]]&gt;=V$4)))))</f>
        <v>-</v>
      </c>
      <c r="W14" s="121" t="str">
        <f ca="1">IF(W$4&gt;NOW(),"-",IF(ISBLANK(Tbl_ResidentData[[#This Row],[Enrollment '[mmm-yyyy']]]),"-",AND((Tbl_ResidentData[[#This Row],[Enrollment '[mmm-yyyy']]]&lt;=W$4),IF(ISBLANK(Tbl_ResidentData[[#This Row],[Discharge '[mmm-yyyy']]]),TRUE,(Tbl_ResidentData[[#This Row],[Discharge '[mmm-yyyy']]]&gt;=W$4)))))</f>
        <v>-</v>
      </c>
      <c r="X14" s="121" t="str">
        <f ca="1">IF(X$4&gt;NOW(),"-",IF(ISBLANK(Tbl_ResidentData[[#This Row],[Enrollment '[mmm-yyyy']]]),"-",AND((Tbl_ResidentData[[#This Row],[Enrollment '[mmm-yyyy']]]&lt;=X$4),IF(ISBLANK(Tbl_ResidentData[[#This Row],[Discharge '[mmm-yyyy']]]),TRUE,(Tbl_ResidentData[[#This Row],[Discharge '[mmm-yyyy']]]&gt;=X$4)))))</f>
        <v>-</v>
      </c>
      <c r="Y14" s="121" t="str">
        <f ca="1">IF(Y$4&gt;NOW(),"-",IF(ISBLANK(Tbl_ResidentData[[#This Row],[Enrollment '[mmm-yyyy']]]),"-",AND((Tbl_ResidentData[[#This Row],[Enrollment '[mmm-yyyy']]]&lt;=Y$4),IF(ISBLANK(Tbl_ResidentData[[#This Row],[Discharge '[mmm-yyyy']]]),TRUE,(Tbl_ResidentData[[#This Row],[Discharge '[mmm-yyyy']]]&gt;=Y$4)))))</f>
        <v>-</v>
      </c>
      <c r="Z14" s="121" t="str">
        <f ca="1">IF(Z$4&gt;NOW(),"-",IF(ISBLANK(Tbl_ResidentData[[#This Row],[Enrollment '[mmm-yyyy']]]),"-",AND((Tbl_ResidentData[[#This Row],[Enrollment '[mmm-yyyy']]]&lt;=Z$4),IF(ISBLANK(Tbl_ResidentData[[#This Row],[Discharge '[mmm-yyyy']]]),TRUE,(Tbl_ResidentData[[#This Row],[Discharge '[mmm-yyyy']]]&gt;=Z$4)))))</f>
        <v>-</v>
      </c>
      <c r="AA14" s="121" t="str">
        <f ca="1">IF(AA$4&gt;NOW(),"-",IF(ISBLANK(Tbl_ResidentData[[#This Row],[Enrollment '[mmm-yyyy']]]),"-",AND((Tbl_ResidentData[[#This Row],[Enrollment '[mmm-yyyy']]]&lt;=AA$4),IF(ISBLANK(Tbl_ResidentData[[#This Row],[Discharge '[mmm-yyyy']]]),TRUE,(Tbl_ResidentData[[#This Row],[Discharge '[mmm-yyyy']]]&gt;=AA$4)))))</f>
        <v>-</v>
      </c>
      <c r="AB14" s="121" t="str">
        <f ca="1">IF(AB$4&gt;NOW(),"-",IF(ISBLANK(Tbl_ResidentData[[#This Row],[Enrollment '[mmm-yyyy']]]),"-",AND((Tbl_ResidentData[[#This Row],[Enrollment '[mmm-yyyy']]]&lt;=AB$4),IF(ISBLANK(Tbl_ResidentData[[#This Row],[Discharge '[mmm-yyyy']]]),TRUE,(Tbl_ResidentData[[#This Row],[Discharge '[mmm-yyyy']]]&gt;=AB$4)))))</f>
        <v>-</v>
      </c>
      <c r="AC14" s="121" t="str">
        <f ca="1">IF(AC$4&gt;NOW(),"-",IF(ISBLANK(Tbl_ResidentData[[#This Row],[Enrollment '[mmm-yyyy']]]),"-",AND((Tbl_ResidentData[[#This Row],[Enrollment '[mmm-yyyy']]]&lt;=AC$4),IF(ISBLANK(Tbl_ResidentData[[#This Row],[Discharge '[mmm-yyyy']]]),TRUE,(Tbl_ResidentData[[#This Row],[Discharge '[mmm-yyyy']]]&gt;=AC$4)))))</f>
        <v>-</v>
      </c>
      <c r="AD14" s="121" t="str">
        <f ca="1">IF(AD$4&gt;NOW(),"-",IF(ISBLANK(Tbl_ResidentData[[#This Row],[Enrollment '[mmm-yyyy']]]),"-",AND((Tbl_ResidentData[[#This Row],[Enrollment '[mmm-yyyy']]]&lt;=AD$4),IF(ISBLANK(Tbl_ResidentData[[#This Row],[Discharge '[mmm-yyyy']]]),TRUE,(Tbl_ResidentData[[#This Row],[Discharge '[mmm-yyyy']]]&gt;=AD$4)))))</f>
        <v>-</v>
      </c>
      <c r="AE14" s="121" t="str">
        <f ca="1">IF(AE$4&gt;NOW(),"-",IF(ISBLANK(Tbl_ResidentData[[#This Row],[Enrollment '[mmm-yyyy']]]),"-",AND((Tbl_ResidentData[[#This Row],[Enrollment '[mmm-yyyy']]]&lt;=AE$4),IF(ISBLANK(Tbl_ResidentData[[#This Row],[Discharge '[mmm-yyyy']]]),TRUE,(Tbl_ResidentData[[#This Row],[Discharge '[mmm-yyyy']]]&gt;=AE$4)))))</f>
        <v>-</v>
      </c>
      <c r="AF14" s="121" t="str">
        <f ca="1">IF(AF$4&gt;NOW(),"-",IF(ISBLANK(Tbl_ResidentData[[#This Row],[Enrollment '[mmm-yyyy']]]),"-",AND((Tbl_ResidentData[[#This Row],[Enrollment '[mmm-yyyy']]]&lt;=AF$4),IF(ISBLANK(Tbl_ResidentData[[#This Row],[Discharge '[mmm-yyyy']]]),TRUE,(Tbl_ResidentData[[#This Row],[Discharge '[mmm-yyyy']]]&gt;=AF$4)))))</f>
        <v>-</v>
      </c>
      <c r="AG14" s="121" t="str">
        <f ca="1">IF(AG$4&gt;NOW(),"-",IF(ISBLANK(Tbl_ResidentData[[#This Row],[Enrollment '[mmm-yyyy']]]),"-",AND((Tbl_ResidentData[[#This Row],[Enrollment '[mmm-yyyy']]]&lt;=AG$4),IF(ISBLANK(Tbl_ResidentData[[#This Row],[Discharge '[mmm-yyyy']]]),TRUE,(Tbl_ResidentData[[#This Row],[Discharge '[mmm-yyyy']]]&gt;=AG$4)))))</f>
        <v>-</v>
      </c>
      <c r="AH14" s="121" t="str">
        <f ca="1">IF(AH$4&gt;NOW(),"-",IF(ISBLANK(Tbl_ResidentData[[#This Row],[Enrollment '[mmm-yyyy']]]),"-",AND((Tbl_ResidentData[[#This Row],[Enrollment '[mmm-yyyy']]]&lt;=AH$4),IF(ISBLANK(Tbl_ResidentData[[#This Row],[Discharge '[mmm-yyyy']]]),TRUE,(Tbl_ResidentData[[#This Row],[Discharge '[mmm-yyyy']]]&gt;=AH$4)))))</f>
        <v>-</v>
      </c>
      <c r="AI14" s="121" t="str">
        <f ca="1">IF(AI$4&gt;NOW(),"-",IF(ISBLANK(Tbl_ResidentData[[#This Row],[Enrollment '[mmm-yyyy']]]),"-",AND((Tbl_ResidentData[[#This Row],[Enrollment '[mmm-yyyy']]]&lt;=AI$4),IF(ISBLANK(Tbl_ResidentData[[#This Row],[Discharge '[mmm-yyyy']]]),TRUE,(Tbl_ResidentData[[#This Row],[Discharge '[mmm-yyyy']]]&gt;=AI$4)))))</f>
        <v>-</v>
      </c>
      <c r="AJ14" s="121" t="str">
        <f ca="1">IF(AJ$4&gt;NOW(),"-",IF(ISBLANK(Tbl_ResidentData[[#This Row],[Enrollment '[mmm-yyyy']]]),"-",AND((Tbl_ResidentData[[#This Row],[Enrollment '[mmm-yyyy']]]&lt;=AJ$4),IF(ISBLANK(Tbl_ResidentData[[#This Row],[Discharge '[mmm-yyyy']]]),TRUE,(Tbl_ResidentData[[#This Row],[Discharge '[mmm-yyyy']]]&gt;=AJ$4)))))</f>
        <v>-</v>
      </c>
      <c r="AK14" s="121" t="str">
        <f ca="1">IF(AK$4&gt;NOW(),"-",IF(ISBLANK(Tbl_ResidentData[[#This Row],[Enrollment '[mmm-yyyy']]]),"-",AND((Tbl_ResidentData[[#This Row],[Enrollment '[mmm-yyyy']]]&lt;=AK$4),IF(ISBLANK(Tbl_ResidentData[[#This Row],[Discharge '[mmm-yyyy']]]),TRUE,(Tbl_ResidentData[[#This Row],[Discharge '[mmm-yyyy']]]&gt;=AK$4)))))</f>
        <v>-</v>
      </c>
      <c r="AL14" s="121" t="str">
        <f ca="1">IF(AL$4&gt;NOW(),"-",IF(ISBLANK(Tbl_ResidentData[[#This Row],[Enrollment '[mmm-yyyy']]]),"-",AND((Tbl_ResidentData[[#This Row],[Enrollment '[mmm-yyyy']]]&lt;=AL$4),IF(ISBLANK(Tbl_ResidentData[[#This Row],[Discharge '[mmm-yyyy']]]),TRUE,(Tbl_ResidentData[[#This Row],[Discharge '[mmm-yyyy']]]&gt;=AL$4)))))</f>
        <v>-</v>
      </c>
      <c r="AM14" s="121" t="str">
        <f ca="1">IF(AM$4&gt;NOW(),"-",IF(ISBLANK(Tbl_ResidentData[[#This Row],[Enrollment '[mmm-yyyy']]]),"-",AND((Tbl_ResidentData[[#This Row],[Enrollment '[mmm-yyyy']]]&lt;=AM$4),IF(ISBLANK(Tbl_ResidentData[[#This Row],[Discharge '[mmm-yyyy']]]),TRUE,(Tbl_ResidentData[[#This Row],[Discharge '[mmm-yyyy']]]&gt;=AM$4)))))</f>
        <v>-</v>
      </c>
      <c r="AN14" s="121" t="str">
        <f ca="1">IF(AN$4&gt;NOW(),"-",IF(ISBLANK(Tbl_ResidentData[[#This Row],[Enrollment '[mmm-yyyy']]]),"-",AND((Tbl_ResidentData[[#This Row],[Enrollment '[mmm-yyyy']]]&lt;=AN$4),IF(ISBLANK(Tbl_ResidentData[[#This Row],[Discharge '[mmm-yyyy']]]),TRUE,(Tbl_ResidentData[[#This Row],[Discharge '[mmm-yyyy']]]&gt;=AN$4)))))</f>
        <v>-</v>
      </c>
      <c r="AO14" s="121" t="str">
        <f ca="1">IF(AO$4&gt;NOW(),"-",IF(ISBLANK(Tbl_ResidentData[[#This Row],[Enrollment '[mmm-yyyy']]]),"-",AND((Tbl_ResidentData[[#This Row],[Enrollment '[mmm-yyyy']]]&lt;=AO$4),IF(ISBLANK(Tbl_ResidentData[[#This Row],[Discharge '[mmm-yyyy']]]),TRUE,(Tbl_ResidentData[[#This Row],[Discharge '[mmm-yyyy']]]&gt;=AO$4)))))</f>
        <v>-</v>
      </c>
      <c r="AP14" s="121" t="str">
        <f ca="1">IF(AP$4&gt;NOW(),"-",IF(ISBLANK(Tbl_ResidentData[[#This Row],[Enrollment '[mmm-yyyy']]]),"-",AND((Tbl_ResidentData[[#This Row],[Enrollment '[mmm-yyyy']]]&lt;=AP$4),IF(ISBLANK(Tbl_ResidentData[[#This Row],[Discharge '[mmm-yyyy']]]),TRUE,(Tbl_ResidentData[[#This Row],[Discharge '[mmm-yyyy']]]&gt;=AP$4)))))</f>
        <v>-</v>
      </c>
      <c r="AQ14" s="121" t="str">
        <f ca="1">IF(AQ$4&gt;NOW(),"-",IF(ISBLANK(Tbl_ResidentData[[#This Row],[Enrollment '[mmm-yyyy']]]),"-",AND((Tbl_ResidentData[[#This Row],[Enrollment '[mmm-yyyy']]]&lt;=AQ$4),IF(ISBLANK(Tbl_ResidentData[[#This Row],[Discharge '[mmm-yyyy']]]),TRUE,(Tbl_ResidentData[[#This Row],[Discharge '[mmm-yyyy']]]&gt;=AQ$4)))))</f>
        <v>-</v>
      </c>
      <c r="AR14" s="122" t="str">
        <f ca="1">IF(AR$4&gt;NOW(),"-",IF(ISBLANK(Tbl_ResidentData[[#This Row],[Enrollment '[mmm-yyyy']]]),"-",AND((Tbl_ResidentData[[#This Row],[Enrollment '[mmm-yyyy']]]&lt;=AR$4),IF(ISBLANK(Tbl_ResidentData[[#This Row],[Discharge '[mmm-yyyy']]]),TRUE,(Tbl_ResidentData[[#This Row],[Discharge '[mmm-yyyy']]]&gt;=AR$4)))))</f>
        <v>-</v>
      </c>
      <c r="AS1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 s="120" t="b">
        <f ca="1">AND(Tbl_ResidentData[[#This Row],[PRN Med Started]]&lt;&gt;"",Tbl_ResidentData[[#This Row],[PRN Med Started]]&lt;=NOW(),Tbl_ResidentData[[#This Row],[PRN Med Started]]&lt;=AS$4,OR(Tbl_ResidentData[[#This Row],[PRN Med Discontinued]]&gt;AS$4,ISBLANK(Tbl_ResidentData[[#This Row],[PRN Med Discontinued]])))</f>
        <v>0</v>
      </c>
      <c r="BR14" s="121" t="b">
        <f ca="1">AND(Tbl_ResidentData[[#This Row],[PRN Med Started]]&lt;&gt;"",Tbl_ResidentData[[#This Row],[PRN Med Started]]&lt;=NOW(),Tbl_ResidentData[[#This Row],[PRN Med Started]]&lt;=AT$4,OR(Tbl_ResidentData[[#This Row],[PRN Med Discontinued]]&gt;AT$4,ISBLANK(Tbl_ResidentData[[#This Row],[PRN Med Discontinued]])))</f>
        <v>0</v>
      </c>
      <c r="BS14" s="121" t="b">
        <f ca="1">AND(Tbl_ResidentData[[#This Row],[PRN Med Started]]&lt;&gt;"",Tbl_ResidentData[[#This Row],[PRN Med Started]]&lt;=NOW(),Tbl_ResidentData[[#This Row],[PRN Med Started]]&lt;=AU$4,OR(Tbl_ResidentData[[#This Row],[PRN Med Discontinued]]&gt;AU$4,ISBLANK(Tbl_ResidentData[[#This Row],[PRN Med Discontinued]])))</f>
        <v>0</v>
      </c>
      <c r="BT14" s="121" t="b">
        <f ca="1">AND(Tbl_ResidentData[[#This Row],[PRN Med Started]]&lt;&gt;"",Tbl_ResidentData[[#This Row],[PRN Med Started]]&lt;=NOW(),Tbl_ResidentData[[#This Row],[PRN Med Started]]&lt;=AV$4,OR(Tbl_ResidentData[[#This Row],[PRN Med Discontinued]]&gt;AV$4,ISBLANK(Tbl_ResidentData[[#This Row],[PRN Med Discontinued]])))</f>
        <v>0</v>
      </c>
      <c r="BU14" s="121" t="b">
        <f ca="1">AND(Tbl_ResidentData[[#This Row],[PRN Med Started]]&lt;&gt;"",Tbl_ResidentData[[#This Row],[PRN Med Started]]&lt;=NOW(),Tbl_ResidentData[[#This Row],[PRN Med Started]]&lt;=AW$4,OR(Tbl_ResidentData[[#This Row],[PRN Med Discontinued]]&gt;AW$4,ISBLANK(Tbl_ResidentData[[#This Row],[PRN Med Discontinued]])))</f>
        <v>0</v>
      </c>
      <c r="BV14" s="121" t="b">
        <f ca="1">AND(Tbl_ResidentData[[#This Row],[PRN Med Started]]&lt;&gt;"",Tbl_ResidentData[[#This Row],[PRN Med Started]]&lt;=NOW(),Tbl_ResidentData[[#This Row],[PRN Med Started]]&lt;=AX$4,OR(Tbl_ResidentData[[#This Row],[PRN Med Discontinued]]&gt;AX$4,ISBLANK(Tbl_ResidentData[[#This Row],[PRN Med Discontinued]])))</f>
        <v>0</v>
      </c>
      <c r="BW14" s="121" t="b">
        <f ca="1">AND(Tbl_ResidentData[[#This Row],[PRN Med Started]]&lt;&gt;"",Tbl_ResidentData[[#This Row],[PRN Med Started]]&lt;=NOW(),Tbl_ResidentData[[#This Row],[PRN Med Started]]&lt;=AY$4,OR(Tbl_ResidentData[[#This Row],[PRN Med Discontinued]]&gt;AY$4,ISBLANK(Tbl_ResidentData[[#This Row],[PRN Med Discontinued]])))</f>
        <v>0</v>
      </c>
      <c r="BX14" s="121" t="b">
        <f ca="1">AND(Tbl_ResidentData[[#This Row],[PRN Med Started]]&lt;&gt;"",Tbl_ResidentData[[#This Row],[PRN Med Started]]&lt;=NOW(),Tbl_ResidentData[[#This Row],[PRN Med Started]]&lt;=AZ$4,OR(Tbl_ResidentData[[#This Row],[PRN Med Discontinued]]&gt;AZ$4,ISBLANK(Tbl_ResidentData[[#This Row],[PRN Med Discontinued]])))</f>
        <v>0</v>
      </c>
      <c r="BY14" s="121" t="b">
        <f ca="1">AND(Tbl_ResidentData[[#This Row],[PRN Med Started]]&lt;&gt;"",Tbl_ResidentData[[#This Row],[PRN Med Started]]&lt;=NOW(),Tbl_ResidentData[[#This Row],[PRN Med Started]]&lt;=BA$4,OR(Tbl_ResidentData[[#This Row],[PRN Med Discontinued]]&gt;BA$4,ISBLANK(Tbl_ResidentData[[#This Row],[PRN Med Discontinued]])))</f>
        <v>0</v>
      </c>
      <c r="BZ14" s="121" t="b">
        <f ca="1">AND(Tbl_ResidentData[[#This Row],[PRN Med Started]]&lt;&gt;"",Tbl_ResidentData[[#This Row],[PRN Med Started]]&lt;=NOW(),Tbl_ResidentData[[#This Row],[PRN Med Started]]&lt;=BB$4,OR(Tbl_ResidentData[[#This Row],[PRN Med Discontinued]]&gt;BB$4,ISBLANK(Tbl_ResidentData[[#This Row],[PRN Med Discontinued]])))</f>
        <v>0</v>
      </c>
      <c r="CA14" s="121" t="b">
        <f ca="1">AND(Tbl_ResidentData[[#This Row],[PRN Med Started]]&lt;&gt;"",Tbl_ResidentData[[#This Row],[PRN Med Started]]&lt;=NOW(),Tbl_ResidentData[[#This Row],[PRN Med Started]]&lt;=BC$4,OR(Tbl_ResidentData[[#This Row],[PRN Med Discontinued]]&gt;BC$4,ISBLANK(Tbl_ResidentData[[#This Row],[PRN Med Discontinued]])))</f>
        <v>0</v>
      </c>
      <c r="CB14" s="121" t="b">
        <f ca="1">AND(Tbl_ResidentData[[#This Row],[PRN Med Started]]&lt;&gt;"",Tbl_ResidentData[[#This Row],[PRN Med Started]]&lt;=NOW(),Tbl_ResidentData[[#This Row],[PRN Med Started]]&lt;=BD$4,OR(Tbl_ResidentData[[#This Row],[PRN Med Discontinued]]&gt;BD$4,ISBLANK(Tbl_ResidentData[[#This Row],[PRN Med Discontinued]])))</f>
        <v>0</v>
      </c>
      <c r="CC14" s="121" t="b">
        <f ca="1">AND(Tbl_ResidentData[[#This Row],[PRN Med Started]]&lt;&gt;"",Tbl_ResidentData[[#This Row],[PRN Med Started]]&lt;=NOW(),Tbl_ResidentData[[#This Row],[PRN Med Started]]&lt;=BE$4,OR(Tbl_ResidentData[[#This Row],[PRN Med Discontinued]]&gt;BE$4,ISBLANK(Tbl_ResidentData[[#This Row],[PRN Med Discontinued]])))</f>
        <v>0</v>
      </c>
      <c r="CD14" s="121" t="b">
        <f ca="1">AND(Tbl_ResidentData[[#This Row],[PRN Med Started]]&lt;&gt;"",Tbl_ResidentData[[#This Row],[PRN Med Started]]&lt;=NOW(),Tbl_ResidentData[[#This Row],[PRN Med Started]]&lt;=BF$4,OR(Tbl_ResidentData[[#This Row],[PRN Med Discontinued]]&gt;BF$4,ISBLANK(Tbl_ResidentData[[#This Row],[PRN Med Discontinued]])))</f>
        <v>0</v>
      </c>
      <c r="CE14" s="121" t="b">
        <f ca="1">AND(Tbl_ResidentData[[#This Row],[PRN Med Started]]&lt;&gt;"",Tbl_ResidentData[[#This Row],[PRN Med Started]]&lt;=NOW(),Tbl_ResidentData[[#This Row],[PRN Med Started]]&lt;=BG$4,OR(Tbl_ResidentData[[#This Row],[PRN Med Discontinued]]&gt;BG$4,ISBLANK(Tbl_ResidentData[[#This Row],[PRN Med Discontinued]])))</f>
        <v>0</v>
      </c>
      <c r="CF14" s="121" t="b">
        <f ca="1">AND(Tbl_ResidentData[[#This Row],[PRN Med Started]]&lt;&gt;"",Tbl_ResidentData[[#This Row],[PRN Med Started]]&lt;=NOW(),Tbl_ResidentData[[#This Row],[PRN Med Started]]&lt;=BH$4,OR(Tbl_ResidentData[[#This Row],[PRN Med Discontinued]]&gt;BH$4,ISBLANK(Tbl_ResidentData[[#This Row],[PRN Med Discontinued]])))</f>
        <v>0</v>
      </c>
      <c r="CG14" s="121" t="b">
        <f ca="1">AND(Tbl_ResidentData[[#This Row],[PRN Med Started]]&lt;&gt;"",Tbl_ResidentData[[#This Row],[PRN Med Started]]&lt;=NOW(),Tbl_ResidentData[[#This Row],[PRN Med Started]]&lt;=BI$4,OR(Tbl_ResidentData[[#This Row],[PRN Med Discontinued]]&gt;BI$4,ISBLANK(Tbl_ResidentData[[#This Row],[PRN Med Discontinued]])))</f>
        <v>0</v>
      </c>
      <c r="CH14" s="121" t="b">
        <f ca="1">AND(Tbl_ResidentData[[#This Row],[PRN Med Started]]&lt;&gt;"",Tbl_ResidentData[[#This Row],[PRN Med Started]]&lt;=NOW(),Tbl_ResidentData[[#This Row],[PRN Med Started]]&lt;=BJ$4,OR(Tbl_ResidentData[[#This Row],[PRN Med Discontinued]]&gt;BJ$4,ISBLANK(Tbl_ResidentData[[#This Row],[PRN Med Discontinued]])))</f>
        <v>0</v>
      </c>
      <c r="CI14" s="121" t="b">
        <f ca="1">AND(Tbl_ResidentData[[#This Row],[PRN Med Started]]&lt;&gt;"",Tbl_ResidentData[[#This Row],[PRN Med Started]]&lt;=NOW(),Tbl_ResidentData[[#This Row],[PRN Med Started]]&lt;=BK$4,OR(Tbl_ResidentData[[#This Row],[PRN Med Discontinued]]&gt;BK$4,ISBLANK(Tbl_ResidentData[[#This Row],[PRN Med Discontinued]])))</f>
        <v>0</v>
      </c>
      <c r="CJ14" s="121" t="b">
        <f ca="1">AND(Tbl_ResidentData[[#This Row],[PRN Med Started]]&lt;&gt;"",Tbl_ResidentData[[#This Row],[PRN Med Started]]&lt;=NOW(),Tbl_ResidentData[[#This Row],[PRN Med Started]]&lt;=BL$4,OR(Tbl_ResidentData[[#This Row],[PRN Med Discontinued]]&gt;BL$4,ISBLANK(Tbl_ResidentData[[#This Row],[PRN Med Discontinued]])))</f>
        <v>0</v>
      </c>
      <c r="CK14" s="121" t="b">
        <f ca="1">AND(Tbl_ResidentData[[#This Row],[PRN Med Started]]&lt;&gt;"",Tbl_ResidentData[[#This Row],[PRN Med Started]]&lt;=NOW(),Tbl_ResidentData[[#This Row],[PRN Med Started]]&lt;=BM$4,OR(Tbl_ResidentData[[#This Row],[PRN Med Discontinued]]&gt;BM$4,ISBLANK(Tbl_ResidentData[[#This Row],[PRN Med Discontinued]])))</f>
        <v>0</v>
      </c>
      <c r="CL14" s="121" t="b">
        <f ca="1">AND(Tbl_ResidentData[[#This Row],[PRN Med Started]]&lt;&gt;"",Tbl_ResidentData[[#This Row],[PRN Med Started]]&lt;=NOW(),Tbl_ResidentData[[#This Row],[PRN Med Started]]&lt;=BN$4,OR(Tbl_ResidentData[[#This Row],[PRN Med Discontinued]]&gt;BN$4,ISBLANK(Tbl_ResidentData[[#This Row],[PRN Med Discontinued]])))</f>
        <v>0</v>
      </c>
      <c r="CM14" s="121" t="b">
        <f ca="1">AND(Tbl_ResidentData[[#This Row],[PRN Med Started]]&lt;&gt;"",Tbl_ResidentData[[#This Row],[PRN Med Started]]&lt;=NOW(),Tbl_ResidentData[[#This Row],[PRN Med Started]]&lt;=BO$4,OR(Tbl_ResidentData[[#This Row],[PRN Med Discontinued]]&gt;BO$4,ISBLANK(Tbl_ResidentData[[#This Row],[PRN Med Discontinued]])))</f>
        <v>0</v>
      </c>
      <c r="CN14" s="122" t="b">
        <f ca="1">AND(Tbl_ResidentData[[#This Row],[PRN Med Started]]&lt;&gt;"",Tbl_ResidentData[[#This Row],[PRN Med Started]]&lt;=NOW(),Tbl_ResidentData[[#This Row],[PRN Med Started]]&lt;=BP$4,OR(Tbl_ResidentData[[#This Row],[PRN Med Discontinued]]&gt;BP$4,ISBLANK(Tbl_ResidentData[[#This Row],[PRN Med Discontinued]])))</f>
        <v>0</v>
      </c>
      <c r="CO14" s="120">
        <f ca="1">IF(OR(Tbl_ResidentData[[#This Row],[S1]]=TRUE,Tbl_ResidentData[[#This Row],[P1]]=TRUE),1,0)</f>
        <v>0</v>
      </c>
      <c r="CP14" s="121">
        <f ca="1">IF(OR(Tbl_ResidentData[[#This Row],[S2]]=TRUE,Tbl_ResidentData[[#This Row],[P2]]=TRUE),1,0)</f>
        <v>0</v>
      </c>
      <c r="CQ14" s="121">
        <f ca="1">IF(OR(Tbl_ResidentData[[#This Row],[S3]]=TRUE,Tbl_ResidentData[[#This Row],[P3]]=TRUE),1,0)</f>
        <v>0</v>
      </c>
      <c r="CR14" s="120">
        <f ca="1">IF(OR(Tbl_ResidentData[[#This Row],[S4]]=TRUE,Tbl_ResidentData[[#This Row],[P4]]=TRUE),1,0)</f>
        <v>0</v>
      </c>
      <c r="CS14" s="120">
        <f ca="1">IF(OR(Tbl_ResidentData[[#This Row],[S5]]=TRUE,Tbl_ResidentData[[#This Row],[P5]]=TRUE),1,0)</f>
        <v>0</v>
      </c>
      <c r="CT14" s="120">
        <f ca="1">IF(OR(Tbl_ResidentData[[#This Row],[S6]]=TRUE,Tbl_ResidentData[[#This Row],[P6]]=TRUE),1,0)</f>
        <v>0</v>
      </c>
      <c r="CU14" s="120">
        <f ca="1">IF(OR(Tbl_ResidentData[[#This Row],[S7]]=TRUE,Tbl_ResidentData[[#This Row],[P7]]=TRUE),1,0)</f>
        <v>0</v>
      </c>
      <c r="CV14" s="120">
        <f ca="1">IF(OR(Tbl_ResidentData[[#This Row],[S8]]=TRUE,Tbl_ResidentData[[#This Row],[P8]]=TRUE),1,0)</f>
        <v>0</v>
      </c>
      <c r="CW14" s="120">
        <f ca="1">IF(OR(Tbl_ResidentData[[#This Row],[S9]]=TRUE,Tbl_ResidentData[[#This Row],[P9]]=TRUE),1,0)</f>
        <v>0</v>
      </c>
      <c r="CX14" s="120">
        <f ca="1">IF(OR(Tbl_ResidentData[[#This Row],[S10]]=TRUE,Tbl_ResidentData[[#This Row],[P10]]=TRUE),1,0)</f>
        <v>0</v>
      </c>
      <c r="CY14" s="120">
        <f ca="1">IF(OR(Tbl_ResidentData[[#This Row],[S11]]=TRUE,Tbl_ResidentData[[#This Row],[P11]]=TRUE),1,0)</f>
        <v>0</v>
      </c>
      <c r="CZ14" s="120">
        <f ca="1">IF(OR(Tbl_ResidentData[[#This Row],[S12]]=TRUE,Tbl_ResidentData[[#This Row],[P12]]=TRUE),1,0)</f>
        <v>0</v>
      </c>
      <c r="DA14" s="120">
        <f ca="1">IF(OR(Tbl_ResidentData[[#This Row],[S13]]=TRUE,Tbl_ResidentData[[#This Row],[P13]]=TRUE),1,0)</f>
        <v>0</v>
      </c>
      <c r="DB14" s="120">
        <f ca="1">IF(OR(Tbl_ResidentData[[#This Row],[S14]]=TRUE,Tbl_ResidentData[[#This Row],[P14]]=TRUE),1,0)</f>
        <v>0</v>
      </c>
      <c r="DC14" s="120">
        <f ca="1">IF(OR(Tbl_ResidentData[[#This Row],[S15]]=TRUE,Tbl_ResidentData[[#This Row],[P15]]=TRUE),1,0)</f>
        <v>0</v>
      </c>
      <c r="DD14" s="120">
        <f ca="1">IF(OR(Tbl_ResidentData[[#This Row],[S16]]=TRUE,Tbl_ResidentData[[#This Row],[P16]]=TRUE),1,0)</f>
        <v>0</v>
      </c>
      <c r="DE14" s="120">
        <f ca="1">IF(OR(Tbl_ResidentData[[#This Row],[S17]]=TRUE,Tbl_ResidentData[[#This Row],[P17]]=TRUE),1,0)</f>
        <v>0</v>
      </c>
      <c r="DF14" s="120">
        <f ca="1">IF(OR(Tbl_ResidentData[[#This Row],[S18]]=TRUE,Tbl_ResidentData[[#This Row],[P18]]=TRUE),1,0)</f>
        <v>0</v>
      </c>
      <c r="DG14" s="120">
        <f ca="1">IF(OR(Tbl_ResidentData[[#This Row],[S19]]=TRUE,Tbl_ResidentData[[#This Row],[P19]]=TRUE),1,0)</f>
        <v>0</v>
      </c>
      <c r="DH14" s="120">
        <f ca="1">IF(OR(Tbl_ResidentData[[#This Row],[S20]]=TRUE,Tbl_ResidentData[[#This Row],[P20]]=TRUE),1,0)</f>
        <v>0</v>
      </c>
      <c r="DI14" s="120">
        <f ca="1">IF(OR(Tbl_ResidentData[[#This Row],[S21]]=TRUE,Tbl_ResidentData[[#This Row],[P21]]=TRUE),1,0)</f>
        <v>0</v>
      </c>
      <c r="DJ14" s="120">
        <f ca="1">IF(OR(Tbl_ResidentData[[#This Row],[S22]]=TRUE,Tbl_ResidentData[[#This Row],[P22]]=TRUE),1,0)</f>
        <v>0</v>
      </c>
      <c r="DK14" s="120">
        <f ca="1">IF(OR(Tbl_ResidentData[[#This Row],[S23]]=TRUE,Tbl_ResidentData[[#This Row],[P23]]=TRUE),1,0)</f>
        <v>0</v>
      </c>
      <c r="DL14" s="120">
        <f ca="1">IF(OR(Tbl_ResidentData[[#This Row],[S24]]=TRUE,Tbl_ResidentData[[#This Row],[P24]]=TRUE),1,0)</f>
        <v>0</v>
      </c>
      <c r="DM14" s="123" t="str">
        <f ca="1">IFERROR(INDEX($CO$4:$DL$4,MATCH(TRUE,INDEX((Tbl_ResidentData[[#This Row],[Over1]:[Over24]]&lt;&gt;0),0),0)),"")</f>
        <v/>
      </c>
      <c r="DN14" s="133" t="str">
        <f>IFERROR(INDEX(Tbl_PDSAData[Last DRT],MATCH(Tbl_ResidentData[Resident Name '[last, first']],Tbl_PDSAData[Resident Name (last, first)],0)),"")</f>
        <v/>
      </c>
      <c r="DO14" s="222" t="str">
        <f>IFERROR(INDEX(Tbl_PDSAData[Last MR],MATCH(Tbl_ResidentData[Resident Name '[last, first']],Tbl_PDSAData[Resident Name (last, first)],0)),"")</f>
        <v/>
      </c>
    </row>
    <row r="15" spans="1:119" x14ac:dyDescent="0.25">
      <c r="A15" s="179"/>
      <c r="B15" s="180"/>
      <c r="C15" s="180"/>
      <c r="D15" s="218"/>
      <c r="E15" s="179"/>
      <c r="F15" s="181"/>
      <c r="G15" s="181"/>
      <c r="H15" s="182"/>
      <c r="I15" s="186"/>
      <c r="J15" s="387"/>
      <c r="K15" s="178"/>
      <c r="L15" s="388"/>
      <c r="M15" s="187"/>
      <c r="N15" s="387"/>
      <c r="O15" s="178"/>
      <c r="P15" s="388"/>
      <c r="Q15" s="395"/>
      <c r="R15" s="396"/>
      <c r="S15" s="132" t="str">
        <f>IF(ISBLANK(Tbl_ResidentData[[#This Row],[Discharge '[mmm-yyyy']]]),IF(ISBLANK(Tbl_ResidentData[[#This Row],[Enrollment '[mmm-yyyy']]]),"","In Care Home"),"Discharged")</f>
        <v/>
      </c>
      <c r="T15" s="128" t="str">
        <f>IF(ISBLANK(Tbl_ResidentData[[#This Row],[Diagnosis (RAI)]]),IF(ISBLANK(Tbl_ResidentData[[#This Row],[Resident Name '[last, first']]]),"",0),IF(Tbl_ResidentData[[#This Row],[Diagnosis (RAI)]]="Other (see clinical notes)",0,1))</f>
        <v/>
      </c>
      <c r="U15" s="129" t="str">
        <f ca="1">IF(U$4&gt;NOW(),"-",IF(ISBLANK(Tbl_ResidentData[[#This Row],[Enrollment '[mmm-yyyy']]]),"-",AND((Tbl_ResidentData[[#This Row],[Enrollment '[mmm-yyyy']]]&lt;=U$4),IF(ISBLANK(Tbl_ResidentData[[#This Row],[Discharge '[mmm-yyyy']]]),TRUE,(Tbl_ResidentData[[#This Row],[Discharge '[mmm-yyyy']]]&gt;=U$4)))))</f>
        <v>-</v>
      </c>
      <c r="V15" s="121" t="str">
        <f ca="1">IF(V$4&gt;NOW(),"-",IF(ISBLANK(Tbl_ResidentData[[#This Row],[Enrollment '[mmm-yyyy']]]),"-",AND((Tbl_ResidentData[[#This Row],[Enrollment '[mmm-yyyy']]]&lt;=V$4),IF(ISBLANK(Tbl_ResidentData[[#This Row],[Discharge '[mmm-yyyy']]]),TRUE,(Tbl_ResidentData[[#This Row],[Discharge '[mmm-yyyy']]]&gt;=V$4)))))</f>
        <v>-</v>
      </c>
      <c r="W15" s="121" t="str">
        <f ca="1">IF(W$4&gt;NOW(),"-",IF(ISBLANK(Tbl_ResidentData[[#This Row],[Enrollment '[mmm-yyyy']]]),"-",AND((Tbl_ResidentData[[#This Row],[Enrollment '[mmm-yyyy']]]&lt;=W$4),IF(ISBLANK(Tbl_ResidentData[[#This Row],[Discharge '[mmm-yyyy']]]),TRUE,(Tbl_ResidentData[[#This Row],[Discharge '[mmm-yyyy']]]&gt;=W$4)))))</f>
        <v>-</v>
      </c>
      <c r="X15" s="121" t="str">
        <f ca="1">IF(X$4&gt;NOW(),"-",IF(ISBLANK(Tbl_ResidentData[[#This Row],[Enrollment '[mmm-yyyy']]]),"-",AND((Tbl_ResidentData[[#This Row],[Enrollment '[mmm-yyyy']]]&lt;=X$4),IF(ISBLANK(Tbl_ResidentData[[#This Row],[Discharge '[mmm-yyyy']]]),TRUE,(Tbl_ResidentData[[#This Row],[Discharge '[mmm-yyyy']]]&gt;=X$4)))))</f>
        <v>-</v>
      </c>
      <c r="Y15" s="121" t="str">
        <f ca="1">IF(Y$4&gt;NOW(),"-",IF(ISBLANK(Tbl_ResidentData[[#This Row],[Enrollment '[mmm-yyyy']]]),"-",AND((Tbl_ResidentData[[#This Row],[Enrollment '[mmm-yyyy']]]&lt;=Y$4),IF(ISBLANK(Tbl_ResidentData[[#This Row],[Discharge '[mmm-yyyy']]]),TRUE,(Tbl_ResidentData[[#This Row],[Discharge '[mmm-yyyy']]]&gt;=Y$4)))))</f>
        <v>-</v>
      </c>
      <c r="Z15" s="121" t="str">
        <f ca="1">IF(Z$4&gt;NOW(),"-",IF(ISBLANK(Tbl_ResidentData[[#This Row],[Enrollment '[mmm-yyyy']]]),"-",AND((Tbl_ResidentData[[#This Row],[Enrollment '[mmm-yyyy']]]&lt;=Z$4),IF(ISBLANK(Tbl_ResidentData[[#This Row],[Discharge '[mmm-yyyy']]]),TRUE,(Tbl_ResidentData[[#This Row],[Discharge '[mmm-yyyy']]]&gt;=Z$4)))))</f>
        <v>-</v>
      </c>
      <c r="AA15" s="121" t="str">
        <f ca="1">IF(AA$4&gt;NOW(),"-",IF(ISBLANK(Tbl_ResidentData[[#This Row],[Enrollment '[mmm-yyyy']]]),"-",AND((Tbl_ResidentData[[#This Row],[Enrollment '[mmm-yyyy']]]&lt;=AA$4),IF(ISBLANK(Tbl_ResidentData[[#This Row],[Discharge '[mmm-yyyy']]]),TRUE,(Tbl_ResidentData[[#This Row],[Discharge '[mmm-yyyy']]]&gt;=AA$4)))))</f>
        <v>-</v>
      </c>
      <c r="AB15" s="121" t="str">
        <f ca="1">IF(AB$4&gt;NOW(),"-",IF(ISBLANK(Tbl_ResidentData[[#This Row],[Enrollment '[mmm-yyyy']]]),"-",AND((Tbl_ResidentData[[#This Row],[Enrollment '[mmm-yyyy']]]&lt;=AB$4),IF(ISBLANK(Tbl_ResidentData[[#This Row],[Discharge '[mmm-yyyy']]]),TRUE,(Tbl_ResidentData[[#This Row],[Discharge '[mmm-yyyy']]]&gt;=AB$4)))))</f>
        <v>-</v>
      </c>
      <c r="AC15" s="121" t="str">
        <f ca="1">IF(AC$4&gt;NOW(),"-",IF(ISBLANK(Tbl_ResidentData[[#This Row],[Enrollment '[mmm-yyyy']]]),"-",AND((Tbl_ResidentData[[#This Row],[Enrollment '[mmm-yyyy']]]&lt;=AC$4),IF(ISBLANK(Tbl_ResidentData[[#This Row],[Discharge '[mmm-yyyy']]]),TRUE,(Tbl_ResidentData[[#This Row],[Discharge '[mmm-yyyy']]]&gt;=AC$4)))))</f>
        <v>-</v>
      </c>
      <c r="AD15" s="121" t="str">
        <f ca="1">IF(AD$4&gt;NOW(),"-",IF(ISBLANK(Tbl_ResidentData[[#This Row],[Enrollment '[mmm-yyyy']]]),"-",AND((Tbl_ResidentData[[#This Row],[Enrollment '[mmm-yyyy']]]&lt;=AD$4),IF(ISBLANK(Tbl_ResidentData[[#This Row],[Discharge '[mmm-yyyy']]]),TRUE,(Tbl_ResidentData[[#This Row],[Discharge '[mmm-yyyy']]]&gt;=AD$4)))))</f>
        <v>-</v>
      </c>
      <c r="AE15" s="121" t="str">
        <f ca="1">IF(AE$4&gt;NOW(),"-",IF(ISBLANK(Tbl_ResidentData[[#This Row],[Enrollment '[mmm-yyyy']]]),"-",AND((Tbl_ResidentData[[#This Row],[Enrollment '[mmm-yyyy']]]&lt;=AE$4),IF(ISBLANK(Tbl_ResidentData[[#This Row],[Discharge '[mmm-yyyy']]]),TRUE,(Tbl_ResidentData[[#This Row],[Discharge '[mmm-yyyy']]]&gt;=AE$4)))))</f>
        <v>-</v>
      </c>
      <c r="AF15" s="121" t="str">
        <f ca="1">IF(AF$4&gt;NOW(),"-",IF(ISBLANK(Tbl_ResidentData[[#This Row],[Enrollment '[mmm-yyyy']]]),"-",AND((Tbl_ResidentData[[#This Row],[Enrollment '[mmm-yyyy']]]&lt;=AF$4),IF(ISBLANK(Tbl_ResidentData[[#This Row],[Discharge '[mmm-yyyy']]]),TRUE,(Tbl_ResidentData[[#This Row],[Discharge '[mmm-yyyy']]]&gt;=AF$4)))))</f>
        <v>-</v>
      </c>
      <c r="AG15" s="121" t="str">
        <f ca="1">IF(AG$4&gt;NOW(),"-",IF(ISBLANK(Tbl_ResidentData[[#This Row],[Enrollment '[mmm-yyyy']]]),"-",AND((Tbl_ResidentData[[#This Row],[Enrollment '[mmm-yyyy']]]&lt;=AG$4),IF(ISBLANK(Tbl_ResidentData[[#This Row],[Discharge '[mmm-yyyy']]]),TRUE,(Tbl_ResidentData[[#This Row],[Discharge '[mmm-yyyy']]]&gt;=AG$4)))))</f>
        <v>-</v>
      </c>
      <c r="AH15" s="121" t="str">
        <f ca="1">IF(AH$4&gt;NOW(),"-",IF(ISBLANK(Tbl_ResidentData[[#This Row],[Enrollment '[mmm-yyyy']]]),"-",AND((Tbl_ResidentData[[#This Row],[Enrollment '[mmm-yyyy']]]&lt;=AH$4),IF(ISBLANK(Tbl_ResidentData[[#This Row],[Discharge '[mmm-yyyy']]]),TRUE,(Tbl_ResidentData[[#This Row],[Discharge '[mmm-yyyy']]]&gt;=AH$4)))))</f>
        <v>-</v>
      </c>
      <c r="AI15" s="121" t="str">
        <f ca="1">IF(AI$4&gt;NOW(),"-",IF(ISBLANK(Tbl_ResidentData[[#This Row],[Enrollment '[mmm-yyyy']]]),"-",AND((Tbl_ResidentData[[#This Row],[Enrollment '[mmm-yyyy']]]&lt;=AI$4),IF(ISBLANK(Tbl_ResidentData[[#This Row],[Discharge '[mmm-yyyy']]]),TRUE,(Tbl_ResidentData[[#This Row],[Discharge '[mmm-yyyy']]]&gt;=AI$4)))))</f>
        <v>-</v>
      </c>
      <c r="AJ15" s="121" t="str">
        <f ca="1">IF(AJ$4&gt;NOW(),"-",IF(ISBLANK(Tbl_ResidentData[[#This Row],[Enrollment '[mmm-yyyy']]]),"-",AND((Tbl_ResidentData[[#This Row],[Enrollment '[mmm-yyyy']]]&lt;=AJ$4),IF(ISBLANK(Tbl_ResidentData[[#This Row],[Discharge '[mmm-yyyy']]]),TRUE,(Tbl_ResidentData[[#This Row],[Discharge '[mmm-yyyy']]]&gt;=AJ$4)))))</f>
        <v>-</v>
      </c>
      <c r="AK15" s="121" t="str">
        <f ca="1">IF(AK$4&gt;NOW(),"-",IF(ISBLANK(Tbl_ResidentData[[#This Row],[Enrollment '[mmm-yyyy']]]),"-",AND((Tbl_ResidentData[[#This Row],[Enrollment '[mmm-yyyy']]]&lt;=AK$4),IF(ISBLANK(Tbl_ResidentData[[#This Row],[Discharge '[mmm-yyyy']]]),TRUE,(Tbl_ResidentData[[#This Row],[Discharge '[mmm-yyyy']]]&gt;=AK$4)))))</f>
        <v>-</v>
      </c>
      <c r="AL15" s="121" t="str">
        <f ca="1">IF(AL$4&gt;NOW(),"-",IF(ISBLANK(Tbl_ResidentData[[#This Row],[Enrollment '[mmm-yyyy']]]),"-",AND((Tbl_ResidentData[[#This Row],[Enrollment '[mmm-yyyy']]]&lt;=AL$4),IF(ISBLANK(Tbl_ResidentData[[#This Row],[Discharge '[mmm-yyyy']]]),TRUE,(Tbl_ResidentData[[#This Row],[Discharge '[mmm-yyyy']]]&gt;=AL$4)))))</f>
        <v>-</v>
      </c>
      <c r="AM15" s="121" t="str">
        <f ca="1">IF(AM$4&gt;NOW(),"-",IF(ISBLANK(Tbl_ResidentData[[#This Row],[Enrollment '[mmm-yyyy']]]),"-",AND((Tbl_ResidentData[[#This Row],[Enrollment '[mmm-yyyy']]]&lt;=AM$4),IF(ISBLANK(Tbl_ResidentData[[#This Row],[Discharge '[mmm-yyyy']]]),TRUE,(Tbl_ResidentData[[#This Row],[Discharge '[mmm-yyyy']]]&gt;=AM$4)))))</f>
        <v>-</v>
      </c>
      <c r="AN15" s="121" t="str">
        <f ca="1">IF(AN$4&gt;NOW(),"-",IF(ISBLANK(Tbl_ResidentData[[#This Row],[Enrollment '[mmm-yyyy']]]),"-",AND((Tbl_ResidentData[[#This Row],[Enrollment '[mmm-yyyy']]]&lt;=AN$4),IF(ISBLANK(Tbl_ResidentData[[#This Row],[Discharge '[mmm-yyyy']]]),TRUE,(Tbl_ResidentData[[#This Row],[Discharge '[mmm-yyyy']]]&gt;=AN$4)))))</f>
        <v>-</v>
      </c>
      <c r="AO15" s="121" t="str">
        <f ca="1">IF(AO$4&gt;NOW(),"-",IF(ISBLANK(Tbl_ResidentData[[#This Row],[Enrollment '[mmm-yyyy']]]),"-",AND((Tbl_ResidentData[[#This Row],[Enrollment '[mmm-yyyy']]]&lt;=AO$4),IF(ISBLANK(Tbl_ResidentData[[#This Row],[Discharge '[mmm-yyyy']]]),TRUE,(Tbl_ResidentData[[#This Row],[Discharge '[mmm-yyyy']]]&gt;=AO$4)))))</f>
        <v>-</v>
      </c>
      <c r="AP15" s="121" t="str">
        <f ca="1">IF(AP$4&gt;NOW(),"-",IF(ISBLANK(Tbl_ResidentData[[#This Row],[Enrollment '[mmm-yyyy']]]),"-",AND((Tbl_ResidentData[[#This Row],[Enrollment '[mmm-yyyy']]]&lt;=AP$4),IF(ISBLANK(Tbl_ResidentData[[#This Row],[Discharge '[mmm-yyyy']]]),TRUE,(Tbl_ResidentData[[#This Row],[Discharge '[mmm-yyyy']]]&gt;=AP$4)))))</f>
        <v>-</v>
      </c>
      <c r="AQ15" s="121" t="str">
        <f ca="1">IF(AQ$4&gt;NOW(),"-",IF(ISBLANK(Tbl_ResidentData[[#This Row],[Enrollment '[mmm-yyyy']]]),"-",AND((Tbl_ResidentData[[#This Row],[Enrollment '[mmm-yyyy']]]&lt;=AQ$4),IF(ISBLANK(Tbl_ResidentData[[#This Row],[Discharge '[mmm-yyyy']]]),TRUE,(Tbl_ResidentData[[#This Row],[Discharge '[mmm-yyyy']]]&gt;=AQ$4)))))</f>
        <v>-</v>
      </c>
      <c r="AR15" s="122" t="str">
        <f ca="1">IF(AR$4&gt;NOW(),"-",IF(ISBLANK(Tbl_ResidentData[[#This Row],[Enrollment '[mmm-yyyy']]]),"-",AND((Tbl_ResidentData[[#This Row],[Enrollment '[mmm-yyyy']]]&lt;=AR$4),IF(ISBLANK(Tbl_ResidentData[[#This Row],[Discharge '[mmm-yyyy']]]),TRUE,(Tbl_ResidentData[[#This Row],[Discharge '[mmm-yyyy']]]&gt;=AR$4)))))</f>
        <v>-</v>
      </c>
      <c r="AS1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 s="120" t="b">
        <f ca="1">AND(Tbl_ResidentData[[#This Row],[PRN Med Started]]&lt;&gt;"",Tbl_ResidentData[[#This Row],[PRN Med Started]]&lt;=NOW(),Tbl_ResidentData[[#This Row],[PRN Med Started]]&lt;=AS$4,OR(Tbl_ResidentData[[#This Row],[PRN Med Discontinued]]&gt;AS$4,ISBLANK(Tbl_ResidentData[[#This Row],[PRN Med Discontinued]])))</f>
        <v>0</v>
      </c>
      <c r="BR15" s="121" t="b">
        <f ca="1">AND(Tbl_ResidentData[[#This Row],[PRN Med Started]]&lt;&gt;"",Tbl_ResidentData[[#This Row],[PRN Med Started]]&lt;=NOW(),Tbl_ResidentData[[#This Row],[PRN Med Started]]&lt;=AT$4,OR(Tbl_ResidentData[[#This Row],[PRN Med Discontinued]]&gt;AT$4,ISBLANK(Tbl_ResidentData[[#This Row],[PRN Med Discontinued]])))</f>
        <v>0</v>
      </c>
      <c r="BS15" s="129" t="b">
        <f ca="1">AND(Tbl_ResidentData[[#This Row],[PRN Med Started]]&lt;&gt;"",Tbl_ResidentData[[#This Row],[PRN Med Started]]&lt;=NOW(),Tbl_ResidentData[[#This Row],[PRN Med Started]]&lt;=AU$4,OR(Tbl_ResidentData[[#This Row],[PRN Med Discontinued]]&gt;AU$4,ISBLANK(Tbl_ResidentData[[#This Row],[PRN Med Discontinued]])))</f>
        <v>0</v>
      </c>
      <c r="BT15" s="129" t="b">
        <f ca="1">AND(Tbl_ResidentData[[#This Row],[PRN Med Started]]&lt;&gt;"",Tbl_ResidentData[[#This Row],[PRN Med Started]]&lt;=NOW(),Tbl_ResidentData[[#This Row],[PRN Med Started]]&lt;=AV$4,OR(Tbl_ResidentData[[#This Row],[PRN Med Discontinued]]&gt;AV$4,ISBLANK(Tbl_ResidentData[[#This Row],[PRN Med Discontinued]])))</f>
        <v>0</v>
      </c>
      <c r="BU15" s="129" t="b">
        <f ca="1">AND(Tbl_ResidentData[[#This Row],[PRN Med Started]]&lt;&gt;"",Tbl_ResidentData[[#This Row],[PRN Med Started]]&lt;=NOW(),Tbl_ResidentData[[#This Row],[PRN Med Started]]&lt;=AW$4,OR(Tbl_ResidentData[[#This Row],[PRN Med Discontinued]]&gt;AW$4,ISBLANK(Tbl_ResidentData[[#This Row],[PRN Med Discontinued]])))</f>
        <v>0</v>
      </c>
      <c r="BV15" s="129" t="b">
        <f ca="1">AND(Tbl_ResidentData[[#This Row],[PRN Med Started]]&lt;&gt;"",Tbl_ResidentData[[#This Row],[PRN Med Started]]&lt;=NOW(),Tbl_ResidentData[[#This Row],[PRN Med Started]]&lt;=AX$4,OR(Tbl_ResidentData[[#This Row],[PRN Med Discontinued]]&gt;AX$4,ISBLANK(Tbl_ResidentData[[#This Row],[PRN Med Discontinued]])))</f>
        <v>0</v>
      </c>
      <c r="BW15" s="129" t="b">
        <f ca="1">AND(Tbl_ResidentData[[#This Row],[PRN Med Started]]&lt;&gt;"",Tbl_ResidentData[[#This Row],[PRN Med Started]]&lt;=NOW(),Tbl_ResidentData[[#This Row],[PRN Med Started]]&lt;=AY$4,OR(Tbl_ResidentData[[#This Row],[PRN Med Discontinued]]&gt;AY$4,ISBLANK(Tbl_ResidentData[[#This Row],[PRN Med Discontinued]])))</f>
        <v>0</v>
      </c>
      <c r="BX15" s="129" t="b">
        <f ca="1">AND(Tbl_ResidentData[[#This Row],[PRN Med Started]]&lt;&gt;"",Tbl_ResidentData[[#This Row],[PRN Med Started]]&lt;=NOW(),Tbl_ResidentData[[#This Row],[PRN Med Started]]&lt;=AZ$4,OR(Tbl_ResidentData[[#This Row],[PRN Med Discontinued]]&gt;AZ$4,ISBLANK(Tbl_ResidentData[[#This Row],[PRN Med Discontinued]])))</f>
        <v>0</v>
      </c>
      <c r="BY15" s="129" t="b">
        <f ca="1">AND(Tbl_ResidentData[[#This Row],[PRN Med Started]]&lt;&gt;"",Tbl_ResidentData[[#This Row],[PRN Med Started]]&lt;=NOW(),Tbl_ResidentData[[#This Row],[PRN Med Started]]&lt;=BA$4,OR(Tbl_ResidentData[[#This Row],[PRN Med Discontinued]]&gt;BA$4,ISBLANK(Tbl_ResidentData[[#This Row],[PRN Med Discontinued]])))</f>
        <v>0</v>
      </c>
      <c r="BZ15" s="129" t="b">
        <f ca="1">AND(Tbl_ResidentData[[#This Row],[PRN Med Started]]&lt;&gt;"",Tbl_ResidentData[[#This Row],[PRN Med Started]]&lt;=NOW(),Tbl_ResidentData[[#This Row],[PRN Med Started]]&lt;=BB$4,OR(Tbl_ResidentData[[#This Row],[PRN Med Discontinued]]&gt;BB$4,ISBLANK(Tbl_ResidentData[[#This Row],[PRN Med Discontinued]])))</f>
        <v>0</v>
      </c>
      <c r="CA15" s="129" t="b">
        <f ca="1">AND(Tbl_ResidentData[[#This Row],[PRN Med Started]]&lt;&gt;"",Tbl_ResidentData[[#This Row],[PRN Med Started]]&lt;=NOW(),Tbl_ResidentData[[#This Row],[PRN Med Started]]&lt;=BC$4,OR(Tbl_ResidentData[[#This Row],[PRN Med Discontinued]]&gt;BC$4,ISBLANK(Tbl_ResidentData[[#This Row],[PRN Med Discontinued]])))</f>
        <v>0</v>
      </c>
      <c r="CB15" s="129" t="b">
        <f ca="1">AND(Tbl_ResidentData[[#This Row],[PRN Med Started]]&lt;&gt;"",Tbl_ResidentData[[#This Row],[PRN Med Started]]&lt;=NOW(),Tbl_ResidentData[[#This Row],[PRN Med Started]]&lt;=BD$4,OR(Tbl_ResidentData[[#This Row],[PRN Med Discontinued]]&gt;BD$4,ISBLANK(Tbl_ResidentData[[#This Row],[PRN Med Discontinued]])))</f>
        <v>0</v>
      </c>
      <c r="CC15" s="129" t="b">
        <f ca="1">AND(Tbl_ResidentData[[#This Row],[PRN Med Started]]&lt;&gt;"",Tbl_ResidentData[[#This Row],[PRN Med Started]]&lt;=NOW(),Tbl_ResidentData[[#This Row],[PRN Med Started]]&lt;=BE$4,OR(Tbl_ResidentData[[#This Row],[PRN Med Discontinued]]&gt;BE$4,ISBLANK(Tbl_ResidentData[[#This Row],[PRN Med Discontinued]])))</f>
        <v>0</v>
      </c>
      <c r="CD15" s="129" t="b">
        <f ca="1">AND(Tbl_ResidentData[[#This Row],[PRN Med Started]]&lt;&gt;"",Tbl_ResidentData[[#This Row],[PRN Med Started]]&lt;=NOW(),Tbl_ResidentData[[#This Row],[PRN Med Started]]&lt;=BF$4,OR(Tbl_ResidentData[[#This Row],[PRN Med Discontinued]]&gt;BF$4,ISBLANK(Tbl_ResidentData[[#This Row],[PRN Med Discontinued]])))</f>
        <v>0</v>
      </c>
      <c r="CE15" s="129" t="b">
        <f ca="1">AND(Tbl_ResidentData[[#This Row],[PRN Med Started]]&lt;&gt;"",Tbl_ResidentData[[#This Row],[PRN Med Started]]&lt;=NOW(),Tbl_ResidentData[[#This Row],[PRN Med Started]]&lt;=BG$4,OR(Tbl_ResidentData[[#This Row],[PRN Med Discontinued]]&gt;BG$4,ISBLANK(Tbl_ResidentData[[#This Row],[PRN Med Discontinued]])))</f>
        <v>0</v>
      </c>
      <c r="CF15" s="129" t="b">
        <f ca="1">AND(Tbl_ResidentData[[#This Row],[PRN Med Started]]&lt;&gt;"",Tbl_ResidentData[[#This Row],[PRN Med Started]]&lt;=NOW(),Tbl_ResidentData[[#This Row],[PRN Med Started]]&lt;=BH$4,OR(Tbl_ResidentData[[#This Row],[PRN Med Discontinued]]&gt;BH$4,ISBLANK(Tbl_ResidentData[[#This Row],[PRN Med Discontinued]])))</f>
        <v>0</v>
      </c>
      <c r="CG15" s="129" t="b">
        <f ca="1">AND(Tbl_ResidentData[[#This Row],[PRN Med Started]]&lt;&gt;"",Tbl_ResidentData[[#This Row],[PRN Med Started]]&lt;=NOW(),Tbl_ResidentData[[#This Row],[PRN Med Started]]&lt;=BI$4,OR(Tbl_ResidentData[[#This Row],[PRN Med Discontinued]]&gt;BI$4,ISBLANK(Tbl_ResidentData[[#This Row],[PRN Med Discontinued]])))</f>
        <v>0</v>
      </c>
      <c r="CH15" s="129" t="b">
        <f ca="1">AND(Tbl_ResidentData[[#This Row],[PRN Med Started]]&lt;&gt;"",Tbl_ResidentData[[#This Row],[PRN Med Started]]&lt;=NOW(),Tbl_ResidentData[[#This Row],[PRN Med Started]]&lt;=BJ$4,OR(Tbl_ResidentData[[#This Row],[PRN Med Discontinued]]&gt;BJ$4,ISBLANK(Tbl_ResidentData[[#This Row],[PRN Med Discontinued]])))</f>
        <v>0</v>
      </c>
      <c r="CI15" s="129" t="b">
        <f ca="1">AND(Tbl_ResidentData[[#This Row],[PRN Med Started]]&lt;&gt;"",Tbl_ResidentData[[#This Row],[PRN Med Started]]&lt;=NOW(),Tbl_ResidentData[[#This Row],[PRN Med Started]]&lt;=BK$4,OR(Tbl_ResidentData[[#This Row],[PRN Med Discontinued]]&gt;BK$4,ISBLANK(Tbl_ResidentData[[#This Row],[PRN Med Discontinued]])))</f>
        <v>0</v>
      </c>
      <c r="CJ15" s="129" t="b">
        <f ca="1">AND(Tbl_ResidentData[[#This Row],[PRN Med Started]]&lt;&gt;"",Tbl_ResidentData[[#This Row],[PRN Med Started]]&lt;=NOW(),Tbl_ResidentData[[#This Row],[PRN Med Started]]&lt;=BL$4,OR(Tbl_ResidentData[[#This Row],[PRN Med Discontinued]]&gt;BL$4,ISBLANK(Tbl_ResidentData[[#This Row],[PRN Med Discontinued]])))</f>
        <v>0</v>
      </c>
      <c r="CK15" s="129" t="b">
        <f ca="1">AND(Tbl_ResidentData[[#This Row],[PRN Med Started]]&lt;&gt;"",Tbl_ResidentData[[#This Row],[PRN Med Started]]&lt;=NOW(),Tbl_ResidentData[[#This Row],[PRN Med Started]]&lt;=BM$4,OR(Tbl_ResidentData[[#This Row],[PRN Med Discontinued]]&gt;BM$4,ISBLANK(Tbl_ResidentData[[#This Row],[PRN Med Discontinued]])))</f>
        <v>0</v>
      </c>
      <c r="CL15" s="129" t="b">
        <f ca="1">AND(Tbl_ResidentData[[#This Row],[PRN Med Started]]&lt;&gt;"",Tbl_ResidentData[[#This Row],[PRN Med Started]]&lt;=NOW(),Tbl_ResidentData[[#This Row],[PRN Med Started]]&lt;=BN$4,OR(Tbl_ResidentData[[#This Row],[PRN Med Discontinued]]&gt;BN$4,ISBLANK(Tbl_ResidentData[[#This Row],[PRN Med Discontinued]])))</f>
        <v>0</v>
      </c>
      <c r="CM15" s="121" t="b">
        <f ca="1">AND(Tbl_ResidentData[[#This Row],[PRN Med Started]]&lt;&gt;"",Tbl_ResidentData[[#This Row],[PRN Med Started]]&lt;=NOW(),Tbl_ResidentData[[#This Row],[PRN Med Started]]&lt;=BO$4,OR(Tbl_ResidentData[[#This Row],[PRN Med Discontinued]]&gt;BO$4,ISBLANK(Tbl_ResidentData[[#This Row],[PRN Med Discontinued]])))</f>
        <v>0</v>
      </c>
      <c r="CN15" s="122" t="b">
        <f ca="1">AND(Tbl_ResidentData[[#This Row],[PRN Med Started]]&lt;&gt;"",Tbl_ResidentData[[#This Row],[PRN Med Started]]&lt;=NOW(),Tbl_ResidentData[[#This Row],[PRN Med Started]]&lt;=BP$4,OR(Tbl_ResidentData[[#This Row],[PRN Med Discontinued]]&gt;BP$4,ISBLANK(Tbl_ResidentData[[#This Row],[PRN Med Discontinued]])))</f>
        <v>0</v>
      </c>
      <c r="CO15" s="120">
        <f ca="1">IF(OR(Tbl_ResidentData[[#This Row],[S1]]=TRUE,Tbl_ResidentData[[#This Row],[P1]]=TRUE),1,0)</f>
        <v>0</v>
      </c>
      <c r="CP15" s="121">
        <f ca="1">IF(OR(Tbl_ResidentData[[#This Row],[S2]]=TRUE,Tbl_ResidentData[[#This Row],[P2]]=TRUE),1,0)</f>
        <v>0</v>
      </c>
      <c r="CQ15" s="121">
        <f ca="1">IF(OR(Tbl_ResidentData[[#This Row],[S3]]=TRUE,Tbl_ResidentData[[#This Row],[P3]]=TRUE),1,0)</f>
        <v>0</v>
      </c>
      <c r="CR15" s="130">
        <f ca="1">IF(OR(Tbl_ResidentData[[#This Row],[S4]]=TRUE,Tbl_ResidentData[[#This Row],[P4]]=TRUE),1,0)</f>
        <v>0</v>
      </c>
      <c r="CS15" s="130">
        <f ca="1">IF(OR(Tbl_ResidentData[[#This Row],[S5]]=TRUE,Tbl_ResidentData[[#This Row],[P5]]=TRUE),1,0)</f>
        <v>0</v>
      </c>
      <c r="CT15" s="130">
        <f ca="1">IF(OR(Tbl_ResidentData[[#This Row],[S6]]=TRUE,Tbl_ResidentData[[#This Row],[P6]]=TRUE),1,0)</f>
        <v>0</v>
      </c>
      <c r="CU15" s="130">
        <f ca="1">IF(OR(Tbl_ResidentData[[#This Row],[S7]]=TRUE,Tbl_ResidentData[[#This Row],[P7]]=TRUE),1,0)</f>
        <v>0</v>
      </c>
      <c r="CV15" s="130">
        <f ca="1">IF(OR(Tbl_ResidentData[[#This Row],[S8]]=TRUE,Tbl_ResidentData[[#This Row],[P8]]=TRUE),1,0)</f>
        <v>0</v>
      </c>
      <c r="CW15" s="130">
        <f ca="1">IF(OR(Tbl_ResidentData[[#This Row],[S9]]=TRUE,Tbl_ResidentData[[#This Row],[P9]]=TRUE),1,0)</f>
        <v>0</v>
      </c>
      <c r="CX15" s="130">
        <f ca="1">IF(OR(Tbl_ResidentData[[#This Row],[S10]]=TRUE,Tbl_ResidentData[[#This Row],[P10]]=TRUE),1,0)</f>
        <v>0</v>
      </c>
      <c r="CY15" s="130">
        <f ca="1">IF(OR(Tbl_ResidentData[[#This Row],[S11]]=TRUE,Tbl_ResidentData[[#This Row],[P11]]=TRUE),1,0)</f>
        <v>0</v>
      </c>
      <c r="CZ15" s="130">
        <f ca="1">IF(OR(Tbl_ResidentData[[#This Row],[S12]]=TRUE,Tbl_ResidentData[[#This Row],[P12]]=TRUE),1,0)</f>
        <v>0</v>
      </c>
      <c r="DA15" s="130">
        <f ca="1">IF(OR(Tbl_ResidentData[[#This Row],[S13]]=TRUE,Tbl_ResidentData[[#This Row],[P13]]=TRUE),1,0)</f>
        <v>0</v>
      </c>
      <c r="DB15" s="130">
        <f ca="1">IF(OR(Tbl_ResidentData[[#This Row],[S14]]=TRUE,Tbl_ResidentData[[#This Row],[P14]]=TRUE),1,0)</f>
        <v>0</v>
      </c>
      <c r="DC15" s="130">
        <f ca="1">IF(OR(Tbl_ResidentData[[#This Row],[S15]]=TRUE,Tbl_ResidentData[[#This Row],[P15]]=TRUE),1,0)</f>
        <v>0</v>
      </c>
      <c r="DD15" s="130">
        <f ca="1">IF(OR(Tbl_ResidentData[[#This Row],[S16]]=TRUE,Tbl_ResidentData[[#This Row],[P16]]=TRUE),1,0)</f>
        <v>0</v>
      </c>
      <c r="DE15" s="130">
        <f ca="1">IF(OR(Tbl_ResidentData[[#This Row],[S17]]=TRUE,Tbl_ResidentData[[#This Row],[P17]]=TRUE),1,0)</f>
        <v>0</v>
      </c>
      <c r="DF15" s="130">
        <f ca="1">IF(OR(Tbl_ResidentData[[#This Row],[S18]]=TRUE,Tbl_ResidentData[[#This Row],[P18]]=TRUE),1,0)</f>
        <v>0</v>
      </c>
      <c r="DG15" s="130">
        <f ca="1">IF(OR(Tbl_ResidentData[[#This Row],[S19]]=TRUE,Tbl_ResidentData[[#This Row],[P19]]=TRUE),1,0)</f>
        <v>0</v>
      </c>
      <c r="DH15" s="130">
        <f ca="1">IF(OR(Tbl_ResidentData[[#This Row],[S20]]=TRUE,Tbl_ResidentData[[#This Row],[P20]]=TRUE),1,0)</f>
        <v>0</v>
      </c>
      <c r="DI15" s="130">
        <f ca="1">IF(OR(Tbl_ResidentData[[#This Row],[S21]]=TRUE,Tbl_ResidentData[[#This Row],[P21]]=TRUE),1,0)</f>
        <v>0</v>
      </c>
      <c r="DJ15" s="130">
        <f ca="1">IF(OR(Tbl_ResidentData[[#This Row],[S22]]=TRUE,Tbl_ResidentData[[#This Row],[P22]]=TRUE),1,0)</f>
        <v>0</v>
      </c>
      <c r="DK15" s="130">
        <f ca="1">IF(OR(Tbl_ResidentData[[#This Row],[S23]]=TRUE,Tbl_ResidentData[[#This Row],[P23]]=TRUE),1,0)</f>
        <v>0</v>
      </c>
      <c r="DL15" s="130">
        <f ca="1">IF(OR(Tbl_ResidentData[[#This Row],[S24]]=TRUE,Tbl_ResidentData[[#This Row],[P24]]=TRUE),1,0)</f>
        <v>0</v>
      </c>
      <c r="DM15" s="123" t="str">
        <f ca="1">IFERROR(INDEX($CO$4:$DL$4,MATCH(TRUE,INDEX((Tbl_ResidentData[[#This Row],[Over1]:[Over24]]&lt;&gt;0),0),0)),"")</f>
        <v/>
      </c>
      <c r="DN15" s="133" t="str">
        <f>IFERROR(INDEX(Tbl_PDSAData[Last DRT],MATCH(Tbl_ResidentData[Resident Name '[last, first']],Tbl_PDSAData[Resident Name (last, first)],0)),"")</f>
        <v/>
      </c>
      <c r="DO15" s="222" t="str">
        <f>IFERROR(INDEX(Tbl_PDSAData[Last MR],MATCH(Tbl_ResidentData[Resident Name '[last, first']],Tbl_PDSAData[Resident Name (last, first)],0)),"")</f>
        <v/>
      </c>
    </row>
    <row r="16" spans="1:119" x14ac:dyDescent="0.25">
      <c r="A16" s="179"/>
      <c r="B16" s="180"/>
      <c r="C16" s="180"/>
      <c r="D16" s="218"/>
      <c r="E16" s="179"/>
      <c r="F16" s="179"/>
      <c r="G16" s="181"/>
      <c r="H16" s="375"/>
      <c r="I16" s="186"/>
      <c r="J16" s="387"/>
      <c r="K16" s="178"/>
      <c r="L16" s="388"/>
      <c r="M16" s="187"/>
      <c r="N16" s="387"/>
      <c r="O16" s="178"/>
      <c r="P16" s="388"/>
      <c r="Q16" s="394"/>
      <c r="R16" s="388"/>
      <c r="S16" s="132" t="str">
        <f>IF(ISBLANK(Tbl_ResidentData[[#This Row],[Discharge '[mmm-yyyy']]]),IF(ISBLANK(Tbl_ResidentData[[#This Row],[Enrollment '[mmm-yyyy']]]),"","In Care Home"),"Discharged")</f>
        <v/>
      </c>
      <c r="T16" s="128" t="str">
        <f>IF(ISBLANK(Tbl_ResidentData[[#This Row],[Diagnosis (RAI)]]),IF(ISBLANK(Tbl_ResidentData[[#This Row],[Resident Name '[last, first']]]),"",0),IF(Tbl_ResidentData[[#This Row],[Diagnosis (RAI)]]="Other (see clinical notes)",0,1))</f>
        <v/>
      </c>
      <c r="U16" s="129" t="str">
        <f ca="1">IF(U$4&gt;NOW(),"-",IF(ISBLANK(Tbl_ResidentData[[#This Row],[Enrollment '[mmm-yyyy']]]),"-",AND((Tbl_ResidentData[[#This Row],[Enrollment '[mmm-yyyy']]]&lt;=U$4),IF(ISBLANK(Tbl_ResidentData[[#This Row],[Discharge '[mmm-yyyy']]]),TRUE,(Tbl_ResidentData[[#This Row],[Discharge '[mmm-yyyy']]]&gt;=U$4)))))</f>
        <v>-</v>
      </c>
      <c r="V16" s="121" t="str">
        <f ca="1">IF(V$4&gt;NOW(),"-",IF(ISBLANK(Tbl_ResidentData[[#This Row],[Enrollment '[mmm-yyyy']]]),"-",AND((Tbl_ResidentData[[#This Row],[Enrollment '[mmm-yyyy']]]&lt;=V$4),IF(ISBLANK(Tbl_ResidentData[[#This Row],[Discharge '[mmm-yyyy']]]),TRUE,(Tbl_ResidentData[[#This Row],[Discharge '[mmm-yyyy']]]&gt;=V$4)))))</f>
        <v>-</v>
      </c>
      <c r="W16" s="121" t="str">
        <f ca="1">IF(W$4&gt;NOW(),"-",IF(ISBLANK(Tbl_ResidentData[[#This Row],[Enrollment '[mmm-yyyy']]]),"-",AND((Tbl_ResidentData[[#This Row],[Enrollment '[mmm-yyyy']]]&lt;=W$4),IF(ISBLANK(Tbl_ResidentData[[#This Row],[Discharge '[mmm-yyyy']]]),TRUE,(Tbl_ResidentData[[#This Row],[Discharge '[mmm-yyyy']]]&gt;=W$4)))))</f>
        <v>-</v>
      </c>
      <c r="X16" s="121" t="str">
        <f ca="1">IF(X$4&gt;NOW(),"-",IF(ISBLANK(Tbl_ResidentData[[#This Row],[Enrollment '[mmm-yyyy']]]),"-",AND((Tbl_ResidentData[[#This Row],[Enrollment '[mmm-yyyy']]]&lt;=X$4),IF(ISBLANK(Tbl_ResidentData[[#This Row],[Discharge '[mmm-yyyy']]]),TRUE,(Tbl_ResidentData[[#This Row],[Discharge '[mmm-yyyy']]]&gt;=X$4)))))</f>
        <v>-</v>
      </c>
      <c r="Y16" s="121" t="str">
        <f ca="1">IF(Y$4&gt;NOW(),"-",IF(ISBLANK(Tbl_ResidentData[[#This Row],[Enrollment '[mmm-yyyy']]]),"-",AND((Tbl_ResidentData[[#This Row],[Enrollment '[mmm-yyyy']]]&lt;=Y$4),IF(ISBLANK(Tbl_ResidentData[[#This Row],[Discharge '[mmm-yyyy']]]),TRUE,(Tbl_ResidentData[[#This Row],[Discharge '[mmm-yyyy']]]&gt;=Y$4)))))</f>
        <v>-</v>
      </c>
      <c r="Z16" s="121" t="str">
        <f ca="1">IF(Z$4&gt;NOW(),"-",IF(ISBLANK(Tbl_ResidentData[[#This Row],[Enrollment '[mmm-yyyy']]]),"-",AND((Tbl_ResidentData[[#This Row],[Enrollment '[mmm-yyyy']]]&lt;=Z$4),IF(ISBLANK(Tbl_ResidentData[[#This Row],[Discharge '[mmm-yyyy']]]),TRUE,(Tbl_ResidentData[[#This Row],[Discharge '[mmm-yyyy']]]&gt;=Z$4)))))</f>
        <v>-</v>
      </c>
      <c r="AA16" s="121" t="str">
        <f ca="1">IF(AA$4&gt;NOW(),"-",IF(ISBLANK(Tbl_ResidentData[[#This Row],[Enrollment '[mmm-yyyy']]]),"-",AND((Tbl_ResidentData[[#This Row],[Enrollment '[mmm-yyyy']]]&lt;=AA$4),IF(ISBLANK(Tbl_ResidentData[[#This Row],[Discharge '[mmm-yyyy']]]),TRUE,(Tbl_ResidentData[[#This Row],[Discharge '[mmm-yyyy']]]&gt;=AA$4)))))</f>
        <v>-</v>
      </c>
      <c r="AB16" s="121" t="str">
        <f ca="1">IF(AB$4&gt;NOW(),"-",IF(ISBLANK(Tbl_ResidentData[[#This Row],[Enrollment '[mmm-yyyy']]]),"-",AND((Tbl_ResidentData[[#This Row],[Enrollment '[mmm-yyyy']]]&lt;=AB$4),IF(ISBLANK(Tbl_ResidentData[[#This Row],[Discharge '[mmm-yyyy']]]),TRUE,(Tbl_ResidentData[[#This Row],[Discharge '[mmm-yyyy']]]&gt;=AB$4)))))</f>
        <v>-</v>
      </c>
      <c r="AC16" s="121" t="str">
        <f ca="1">IF(AC$4&gt;NOW(),"-",IF(ISBLANK(Tbl_ResidentData[[#This Row],[Enrollment '[mmm-yyyy']]]),"-",AND((Tbl_ResidentData[[#This Row],[Enrollment '[mmm-yyyy']]]&lt;=AC$4),IF(ISBLANK(Tbl_ResidentData[[#This Row],[Discharge '[mmm-yyyy']]]),TRUE,(Tbl_ResidentData[[#This Row],[Discharge '[mmm-yyyy']]]&gt;=AC$4)))))</f>
        <v>-</v>
      </c>
      <c r="AD16" s="121" t="str">
        <f ca="1">IF(AD$4&gt;NOW(),"-",IF(ISBLANK(Tbl_ResidentData[[#This Row],[Enrollment '[mmm-yyyy']]]),"-",AND((Tbl_ResidentData[[#This Row],[Enrollment '[mmm-yyyy']]]&lt;=AD$4),IF(ISBLANK(Tbl_ResidentData[[#This Row],[Discharge '[mmm-yyyy']]]),TRUE,(Tbl_ResidentData[[#This Row],[Discharge '[mmm-yyyy']]]&gt;=AD$4)))))</f>
        <v>-</v>
      </c>
      <c r="AE16" s="121" t="str">
        <f ca="1">IF(AE$4&gt;NOW(),"-",IF(ISBLANK(Tbl_ResidentData[[#This Row],[Enrollment '[mmm-yyyy']]]),"-",AND((Tbl_ResidentData[[#This Row],[Enrollment '[mmm-yyyy']]]&lt;=AE$4),IF(ISBLANK(Tbl_ResidentData[[#This Row],[Discharge '[mmm-yyyy']]]),TRUE,(Tbl_ResidentData[[#This Row],[Discharge '[mmm-yyyy']]]&gt;=AE$4)))))</f>
        <v>-</v>
      </c>
      <c r="AF16" s="121" t="str">
        <f ca="1">IF(AF$4&gt;NOW(),"-",IF(ISBLANK(Tbl_ResidentData[[#This Row],[Enrollment '[mmm-yyyy']]]),"-",AND((Tbl_ResidentData[[#This Row],[Enrollment '[mmm-yyyy']]]&lt;=AF$4),IF(ISBLANK(Tbl_ResidentData[[#This Row],[Discharge '[mmm-yyyy']]]),TRUE,(Tbl_ResidentData[[#This Row],[Discharge '[mmm-yyyy']]]&gt;=AF$4)))))</f>
        <v>-</v>
      </c>
      <c r="AG16" s="121" t="str">
        <f ca="1">IF(AG$4&gt;NOW(),"-",IF(ISBLANK(Tbl_ResidentData[[#This Row],[Enrollment '[mmm-yyyy']]]),"-",AND((Tbl_ResidentData[[#This Row],[Enrollment '[mmm-yyyy']]]&lt;=AG$4),IF(ISBLANK(Tbl_ResidentData[[#This Row],[Discharge '[mmm-yyyy']]]),TRUE,(Tbl_ResidentData[[#This Row],[Discharge '[mmm-yyyy']]]&gt;=AG$4)))))</f>
        <v>-</v>
      </c>
      <c r="AH16" s="121" t="str">
        <f ca="1">IF(AH$4&gt;NOW(),"-",IF(ISBLANK(Tbl_ResidentData[[#This Row],[Enrollment '[mmm-yyyy']]]),"-",AND((Tbl_ResidentData[[#This Row],[Enrollment '[mmm-yyyy']]]&lt;=AH$4),IF(ISBLANK(Tbl_ResidentData[[#This Row],[Discharge '[mmm-yyyy']]]),TRUE,(Tbl_ResidentData[[#This Row],[Discharge '[mmm-yyyy']]]&gt;=AH$4)))))</f>
        <v>-</v>
      </c>
      <c r="AI16" s="121" t="str">
        <f ca="1">IF(AI$4&gt;NOW(),"-",IF(ISBLANK(Tbl_ResidentData[[#This Row],[Enrollment '[mmm-yyyy']]]),"-",AND((Tbl_ResidentData[[#This Row],[Enrollment '[mmm-yyyy']]]&lt;=AI$4),IF(ISBLANK(Tbl_ResidentData[[#This Row],[Discharge '[mmm-yyyy']]]),TRUE,(Tbl_ResidentData[[#This Row],[Discharge '[mmm-yyyy']]]&gt;=AI$4)))))</f>
        <v>-</v>
      </c>
      <c r="AJ16" s="121" t="str">
        <f ca="1">IF(AJ$4&gt;NOW(),"-",IF(ISBLANK(Tbl_ResidentData[[#This Row],[Enrollment '[mmm-yyyy']]]),"-",AND((Tbl_ResidentData[[#This Row],[Enrollment '[mmm-yyyy']]]&lt;=AJ$4),IF(ISBLANK(Tbl_ResidentData[[#This Row],[Discharge '[mmm-yyyy']]]),TRUE,(Tbl_ResidentData[[#This Row],[Discharge '[mmm-yyyy']]]&gt;=AJ$4)))))</f>
        <v>-</v>
      </c>
      <c r="AK16" s="121" t="str">
        <f ca="1">IF(AK$4&gt;NOW(),"-",IF(ISBLANK(Tbl_ResidentData[[#This Row],[Enrollment '[mmm-yyyy']]]),"-",AND((Tbl_ResidentData[[#This Row],[Enrollment '[mmm-yyyy']]]&lt;=AK$4),IF(ISBLANK(Tbl_ResidentData[[#This Row],[Discharge '[mmm-yyyy']]]),TRUE,(Tbl_ResidentData[[#This Row],[Discharge '[mmm-yyyy']]]&gt;=AK$4)))))</f>
        <v>-</v>
      </c>
      <c r="AL16" s="121" t="str">
        <f ca="1">IF(AL$4&gt;NOW(),"-",IF(ISBLANK(Tbl_ResidentData[[#This Row],[Enrollment '[mmm-yyyy']]]),"-",AND((Tbl_ResidentData[[#This Row],[Enrollment '[mmm-yyyy']]]&lt;=AL$4),IF(ISBLANK(Tbl_ResidentData[[#This Row],[Discharge '[mmm-yyyy']]]),TRUE,(Tbl_ResidentData[[#This Row],[Discharge '[mmm-yyyy']]]&gt;=AL$4)))))</f>
        <v>-</v>
      </c>
      <c r="AM16" s="121" t="str">
        <f ca="1">IF(AM$4&gt;NOW(),"-",IF(ISBLANK(Tbl_ResidentData[[#This Row],[Enrollment '[mmm-yyyy']]]),"-",AND((Tbl_ResidentData[[#This Row],[Enrollment '[mmm-yyyy']]]&lt;=AM$4),IF(ISBLANK(Tbl_ResidentData[[#This Row],[Discharge '[mmm-yyyy']]]),TRUE,(Tbl_ResidentData[[#This Row],[Discharge '[mmm-yyyy']]]&gt;=AM$4)))))</f>
        <v>-</v>
      </c>
      <c r="AN16" s="121" t="str">
        <f ca="1">IF(AN$4&gt;NOW(),"-",IF(ISBLANK(Tbl_ResidentData[[#This Row],[Enrollment '[mmm-yyyy']]]),"-",AND((Tbl_ResidentData[[#This Row],[Enrollment '[mmm-yyyy']]]&lt;=AN$4),IF(ISBLANK(Tbl_ResidentData[[#This Row],[Discharge '[mmm-yyyy']]]),TRUE,(Tbl_ResidentData[[#This Row],[Discharge '[mmm-yyyy']]]&gt;=AN$4)))))</f>
        <v>-</v>
      </c>
      <c r="AO16" s="121" t="str">
        <f ca="1">IF(AO$4&gt;NOW(),"-",IF(ISBLANK(Tbl_ResidentData[[#This Row],[Enrollment '[mmm-yyyy']]]),"-",AND((Tbl_ResidentData[[#This Row],[Enrollment '[mmm-yyyy']]]&lt;=AO$4),IF(ISBLANK(Tbl_ResidentData[[#This Row],[Discharge '[mmm-yyyy']]]),TRUE,(Tbl_ResidentData[[#This Row],[Discharge '[mmm-yyyy']]]&gt;=AO$4)))))</f>
        <v>-</v>
      </c>
      <c r="AP16" s="121" t="str">
        <f ca="1">IF(AP$4&gt;NOW(),"-",IF(ISBLANK(Tbl_ResidentData[[#This Row],[Enrollment '[mmm-yyyy']]]),"-",AND((Tbl_ResidentData[[#This Row],[Enrollment '[mmm-yyyy']]]&lt;=AP$4),IF(ISBLANK(Tbl_ResidentData[[#This Row],[Discharge '[mmm-yyyy']]]),TRUE,(Tbl_ResidentData[[#This Row],[Discharge '[mmm-yyyy']]]&gt;=AP$4)))))</f>
        <v>-</v>
      </c>
      <c r="AQ16" s="121" t="str">
        <f ca="1">IF(AQ$4&gt;NOW(),"-",IF(ISBLANK(Tbl_ResidentData[[#This Row],[Enrollment '[mmm-yyyy']]]),"-",AND((Tbl_ResidentData[[#This Row],[Enrollment '[mmm-yyyy']]]&lt;=AQ$4),IF(ISBLANK(Tbl_ResidentData[[#This Row],[Discharge '[mmm-yyyy']]]),TRUE,(Tbl_ResidentData[[#This Row],[Discharge '[mmm-yyyy']]]&gt;=AQ$4)))))</f>
        <v>-</v>
      </c>
      <c r="AR16" s="122" t="str">
        <f ca="1">IF(AR$4&gt;NOW(),"-",IF(ISBLANK(Tbl_ResidentData[[#This Row],[Enrollment '[mmm-yyyy']]]),"-",AND((Tbl_ResidentData[[#This Row],[Enrollment '[mmm-yyyy']]]&lt;=AR$4),IF(ISBLANK(Tbl_ResidentData[[#This Row],[Discharge '[mmm-yyyy']]]),TRUE,(Tbl_ResidentData[[#This Row],[Discharge '[mmm-yyyy']]]&gt;=AR$4)))))</f>
        <v>-</v>
      </c>
      <c r="AS1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 s="120" t="b">
        <f ca="1">AND(Tbl_ResidentData[[#This Row],[PRN Med Started]]&lt;&gt;"",Tbl_ResidentData[[#This Row],[PRN Med Started]]&lt;=NOW(),Tbl_ResidentData[[#This Row],[PRN Med Started]]&lt;=AS$4,OR(Tbl_ResidentData[[#This Row],[PRN Med Discontinued]]&gt;AS$4,ISBLANK(Tbl_ResidentData[[#This Row],[PRN Med Discontinued]])))</f>
        <v>0</v>
      </c>
      <c r="BR16" s="121" t="b">
        <f ca="1">AND(Tbl_ResidentData[[#This Row],[PRN Med Started]]&lt;&gt;"",Tbl_ResidentData[[#This Row],[PRN Med Started]]&lt;=NOW(),Tbl_ResidentData[[#This Row],[PRN Med Started]]&lt;=AT$4,OR(Tbl_ResidentData[[#This Row],[PRN Med Discontinued]]&gt;AT$4,ISBLANK(Tbl_ResidentData[[#This Row],[PRN Med Discontinued]])))</f>
        <v>0</v>
      </c>
      <c r="BS16" s="129" t="b">
        <f ca="1">AND(Tbl_ResidentData[[#This Row],[PRN Med Started]]&lt;&gt;"",Tbl_ResidentData[[#This Row],[PRN Med Started]]&lt;=NOW(),Tbl_ResidentData[[#This Row],[PRN Med Started]]&lt;=AU$4,OR(Tbl_ResidentData[[#This Row],[PRN Med Discontinued]]&gt;AU$4,ISBLANK(Tbl_ResidentData[[#This Row],[PRN Med Discontinued]])))</f>
        <v>0</v>
      </c>
      <c r="BT16" s="129" t="b">
        <f ca="1">AND(Tbl_ResidentData[[#This Row],[PRN Med Started]]&lt;&gt;"",Tbl_ResidentData[[#This Row],[PRN Med Started]]&lt;=NOW(),Tbl_ResidentData[[#This Row],[PRN Med Started]]&lt;=AV$4,OR(Tbl_ResidentData[[#This Row],[PRN Med Discontinued]]&gt;AV$4,ISBLANK(Tbl_ResidentData[[#This Row],[PRN Med Discontinued]])))</f>
        <v>0</v>
      </c>
      <c r="BU16" s="129" t="b">
        <f ca="1">AND(Tbl_ResidentData[[#This Row],[PRN Med Started]]&lt;&gt;"",Tbl_ResidentData[[#This Row],[PRN Med Started]]&lt;=NOW(),Tbl_ResidentData[[#This Row],[PRN Med Started]]&lt;=AW$4,OR(Tbl_ResidentData[[#This Row],[PRN Med Discontinued]]&gt;AW$4,ISBLANK(Tbl_ResidentData[[#This Row],[PRN Med Discontinued]])))</f>
        <v>0</v>
      </c>
      <c r="BV16" s="129" t="b">
        <f ca="1">AND(Tbl_ResidentData[[#This Row],[PRN Med Started]]&lt;&gt;"",Tbl_ResidentData[[#This Row],[PRN Med Started]]&lt;=NOW(),Tbl_ResidentData[[#This Row],[PRN Med Started]]&lt;=AX$4,OR(Tbl_ResidentData[[#This Row],[PRN Med Discontinued]]&gt;AX$4,ISBLANK(Tbl_ResidentData[[#This Row],[PRN Med Discontinued]])))</f>
        <v>0</v>
      </c>
      <c r="BW16" s="129" t="b">
        <f ca="1">AND(Tbl_ResidentData[[#This Row],[PRN Med Started]]&lt;&gt;"",Tbl_ResidentData[[#This Row],[PRN Med Started]]&lt;=NOW(),Tbl_ResidentData[[#This Row],[PRN Med Started]]&lt;=AY$4,OR(Tbl_ResidentData[[#This Row],[PRN Med Discontinued]]&gt;AY$4,ISBLANK(Tbl_ResidentData[[#This Row],[PRN Med Discontinued]])))</f>
        <v>0</v>
      </c>
      <c r="BX16" s="129" t="b">
        <f ca="1">AND(Tbl_ResidentData[[#This Row],[PRN Med Started]]&lt;&gt;"",Tbl_ResidentData[[#This Row],[PRN Med Started]]&lt;=NOW(),Tbl_ResidentData[[#This Row],[PRN Med Started]]&lt;=AZ$4,OR(Tbl_ResidentData[[#This Row],[PRN Med Discontinued]]&gt;AZ$4,ISBLANK(Tbl_ResidentData[[#This Row],[PRN Med Discontinued]])))</f>
        <v>0</v>
      </c>
      <c r="BY16" s="129" t="b">
        <f ca="1">AND(Tbl_ResidentData[[#This Row],[PRN Med Started]]&lt;&gt;"",Tbl_ResidentData[[#This Row],[PRN Med Started]]&lt;=NOW(),Tbl_ResidentData[[#This Row],[PRN Med Started]]&lt;=BA$4,OR(Tbl_ResidentData[[#This Row],[PRN Med Discontinued]]&gt;BA$4,ISBLANK(Tbl_ResidentData[[#This Row],[PRN Med Discontinued]])))</f>
        <v>0</v>
      </c>
      <c r="BZ16" s="129" t="b">
        <f ca="1">AND(Tbl_ResidentData[[#This Row],[PRN Med Started]]&lt;&gt;"",Tbl_ResidentData[[#This Row],[PRN Med Started]]&lt;=NOW(),Tbl_ResidentData[[#This Row],[PRN Med Started]]&lt;=BB$4,OR(Tbl_ResidentData[[#This Row],[PRN Med Discontinued]]&gt;BB$4,ISBLANK(Tbl_ResidentData[[#This Row],[PRN Med Discontinued]])))</f>
        <v>0</v>
      </c>
      <c r="CA16" s="129" t="b">
        <f ca="1">AND(Tbl_ResidentData[[#This Row],[PRN Med Started]]&lt;&gt;"",Tbl_ResidentData[[#This Row],[PRN Med Started]]&lt;=NOW(),Tbl_ResidentData[[#This Row],[PRN Med Started]]&lt;=BC$4,OR(Tbl_ResidentData[[#This Row],[PRN Med Discontinued]]&gt;BC$4,ISBLANK(Tbl_ResidentData[[#This Row],[PRN Med Discontinued]])))</f>
        <v>0</v>
      </c>
      <c r="CB16" s="129" t="b">
        <f ca="1">AND(Tbl_ResidentData[[#This Row],[PRN Med Started]]&lt;&gt;"",Tbl_ResidentData[[#This Row],[PRN Med Started]]&lt;=NOW(),Tbl_ResidentData[[#This Row],[PRN Med Started]]&lt;=BD$4,OR(Tbl_ResidentData[[#This Row],[PRN Med Discontinued]]&gt;BD$4,ISBLANK(Tbl_ResidentData[[#This Row],[PRN Med Discontinued]])))</f>
        <v>0</v>
      </c>
      <c r="CC16" s="129" t="b">
        <f ca="1">AND(Tbl_ResidentData[[#This Row],[PRN Med Started]]&lt;&gt;"",Tbl_ResidentData[[#This Row],[PRN Med Started]]&lt;=NOW(),Tbl_ResidentData[[#This Row],[PRN Med Started]]&lt;=BE$4,OR(Tbl_ResidentData[[#This Row],[PRN Med Discontinued]]&gt;BE$4,ISBLANK(Tbl_ResidentData[[#This Row],[PRN Med Discontinued]])))</f>
        <v>0</v>
      </c>
      <c r="CD16" s="129" t="b">
        <f ca="1">AND(Tbl_ResidentData[[#This Row],[PRN Med Started]]&lt;&gt;"",Tbl_ResidentData[[#This Row],[PRN Med Started]]&lt;=NOW(),Tbl_ResidentData[[#This Row],[PRN Med Started]]&lt;=BF$4,OR(Tbl_ResidentData[[#This Row],[PRN Med Discontinued]]&gt;BF$4,ISBLANK(Tbl_ResidentData[[#This Row],[PRN Med Discontinued]])))</f>
        <v>0</v>
      </c>
      <c r="CE16" s="129" t="b">
        <f ca="1">AND(Tbl_ResidentData[[#This Row],[PRN Med Started]]&lt;&gt;"",Tbl_ResidentData[[#This Row],[PRN Med Started]]&lt;=NOW(),Tbl_ResidentData[[#This Row],[PRN Med Started]]&lt;=BG$4,OR(Tbl_ResidentData[[#This Row],[PRN Med Discontinued]]&gt;BG$4,ISBLANK(Tbl_ResidentData[[#This Row],[PRN Med Discontinued]])))</f>
        <v>0</v>
      </c>
      <c r="CF16" s="129" t="b">
        <f ca="1">AND(Tbl_ResidentData[[#This Row],[PRN Med Started]]&lt;&gt;"",Tbl_ResidentData[[#This Row],[PRN Med Started]]&lt;=NOW(),Tbl_ResidentData[[#This Row],[PRN Med Started]]&lt;=BH$4,OR(Tbl_ResidentData[[#This Row],[PRN Med Discontinued]]&gt;BH$4,ISBLANK(Tbl_ResidentData[[#This Row],[PRN Med Discontinued]])))</f>
        <v>0</v>
      </c>
      <c r="CG16" s="129" t="b">
        <f ca="1">AND(Tbl_ResidentData[[#This Row],[PRN Med Started]]&lt;&gt;"",Tbl_ResidentData[[#This Row],[PRN Med Started]]&lt;=NOW(),Tbl_ResidentData[[#This Row],[PRN Med Started]]&lt;=BI$4,OR(Tbl_ResidentData[[#This Row],[PRN Med Discontinued]]&gt;BI$4,ISBLANK(Tbl_ResidentData[[#This Row],[PRN Med Discontinued]])))</f>
        <v>0</v>
      </c>
      <c r="CH16" s="129" t="b">
        <f ca="1">AND(Tbl_ResidentData[[#This Row],[PRN Med Started]]&lt;&gt;"",Tbl_ResidentData[[#This Row],[PRN Med Started]]&lt;=NOW(),Tbl_ResidentData[[#This Row],[PRN Med Started]]&lt;=BJ$4,OR(Tbl_ResidentData[[#This Row],[PRN Med Discontinued]]&gt;BJ$4,ISBLANK(Tbl_ResidentData[[#This Row],[PRN Med Discontinued]])))</f>
        <v>0</v>
      </c>
      <c r="CI16" s="129" t="b">
        <f ca="1">AND(Tbl_ResidentData[[#This Row],[PRN Med Started]]&lt;&gt;"",Tbl_ResidentData[[#This Row],[PRN Med Started]]&lt;=NOW(),Tbl_ResidentData[[#This Row],[PRN Med Started]]&lt;=BK$4,OR(Tbl_ResidentData[[#This Row],[PRN Med Discontinued]]&gt;BK$4,ISBLANK(Tbl_ResidentData[[#This Row],[PRN Med Discontinued]])))</f>
        <v>0</v>
      </c>
      <c r="CJ16" s="129" t="b">
        <f ca="1">AND(Tbl_ResidentData[[#This Row],[PRN Med Started]]&lt;&gt;"",Tbl_ResidentData[[#This Row],[PRN Med Started]]&lt;=NOW(),Tbl_ResidentData[[#This Row],[PRN Med Started]]&lt;=BL$4,OR(Tbl_ResidentData[[#This Row],[PRN Med Discontinued]]&gt;BL$4,ISBLANK(Tbl_ResidentData[[#This Row],[PRN Med Discontinued]])))</f>
        <v>0</v>
      </c>
      <c r="CK16" s="129" t="b">
        <f ca="1">AND(Tbl_ResidentData[[#This Row],[PRN Med Started]]&lt;&gt;"",Tbl_ResidentData[[#This Row],[PRN Med Started]]&lt;=NOW(),Tbl_ResidentData[[#This Row],[PRN Med Started]]&lt;=BM$4,OR(Tbl_ResidentData[[#This Row],[PRN Med Discontinued]]&gt;BM$4,ISBLANK(Tbl_ResidentData[[#This Row],[PRN Med Discontinued]])))</f>
        <v>0</v>
      </c>
      <c r="CL16" s="129" t="b">
        <f ca="1">AND(Tbl_ResidentData[[#This Row],[PRN Med Started]]&lt;&gt;"",Tbl_ResidentData[[#This Row],[PRN Med Started]]&lt;=NOW(),Tbl_ResidentData[[#This Row],[PRN Med Started]]&lt;=BN$4,OR(Tbl_ResidentData[[#This Row],[PRN Med Discontinued]]&gt;BN$4,ISBLANK(Tbl_ResidentData[[#This Row],[PRN Med Discontinued]])))</f>
        <v>0</v>
      </c>
      <c r="CM16" s="121" t="b">
        <f ca="1">AND(Tbl_ResidentData[[#This Row],[PRN Med Started]]&lt;&gt;"",Tbl_ResidentData[[#This Row],[PRN Med Started]]&lt;=NOW(),Tbl_ResidentData[[#This Row],[PRN Med Started]]&lt;=BO$4,OR(Tbl_ResidentData[[#This Row],[PRN Med Discontinued]]&gt;BO$4,ISBLANK(Tbl_ResidentData[[#This Row],[PRN Med Discontinued]])))</f>
        <v>0</v>
      </c>
      <c r="CN16" s="122" t="b">
        <f ca="1">AND(Tbl_ResidentData[[#This Row],[PRN Med Started]]&lt;&gt;"",Tbl_ResidentData[[#This Row],[PRN Med Started]]&lt;=NOW(),Tbl_ResidentData[[#This Row],[PRN Med Started]]&lt;=BP$4,OR(Tbl_ResidentData[[#This Row],[PRN Med Discontinued]]&gt;BP$4,ISBLANK(Tbl_ResidentData[[#This Row],[PRN Med Discontinued]])))</f>
        <v>0</v>
      </c>
      <c r="CO16" s="120">
        <f ca="1">IF(OR(Tbl_ResidentData[[#This Row],[S1]]=TRUE,Tbl_ResidentData[[#This Row],[P1]]=TRUE),1,0)</f>
        <v>0</v>
      </c>
      <c r="CP16" s="121">
        <f ca="1">IF(OR(Tbl_ResidentData[[#This Row],[S2]]=TRUE,Tbl_ResidentData[[#This Row],[P2]]=TRUE),1,0)</f>
        <v>0</v>
      </c>
      <c r="CQ16" s="121">
        <f ca="1">IF(OR(Tbl_ResidentData[[#This Row],[S3]]=TRUE,Tbl_ResidentData[[#This Row],[P3]]=TRUE),1,0)</f>
        <v>0</v>
      </c>
      <c r="CR16" s="130">
        <f ca="1">IF(OR(Tbl_ResidentData[[#This Row],[S4]]=TRUE,Tbl_ResidentData[[#This Row],[P4]]=TRUE),1,0)</f>
        <v>0</v>
      </c>
      <c r="CS16" s="130">
        <f ca="1">IF(OR(Tbl_ResidentData[[#This Row],[S5]]=TRUE,Tbl_ResidentData[[#This Row],[P5]]=TRUE),1,0)</f>
        <v>0</v>
      </c>
      <c r="CT16" s="130">
        <f ca="1">IF(OR(Tbl_ResidentData[[#This Row],[S6]]=TRUE,Tbl_ResidentData[[#This Row],[P6]]=TRUE),1,0)</f>
        <v>0</v>
      </c>
      <c r="CU16" s="130">
        <f ca="1">IF(OR(Tbl_ResidentData[[#This Row],[S7]]=TRUE,Tbl_ResidentData[[#This Row],[P7]]=TRUE),1,0)</f>
        <v>0</v>
      </c>
      <c r="CV16" s="130">
        <f ca="1">IF(OR(Tbl_ResidentData[[#This Row],[S8]]=TRUE,Tbl_ResidentData[[#This Row],[P8]]=TRUE),1,0)</f>
        <v>0</v>
      </c>
      <c r="CW16" s="130">
        <f ca="1">IF(OR(Tbl_ResidentData[[#This Row],[S9]]=TRUE,Tbl_ResidentData[[#This Row],[P9]]=TRUE),1,0)</f>
        <v>0</v>
      </c>
      <c r="CX16" s="130">
        <f ca="1">IF(OR(Tbl_ResidentData[[#This Row],[S10]]=TRUE,Tbl_ResidentData[[#This Row],[P10]]=TRUE),1,0)</f>
        <v>0</v>
      </c>
      <c r="CY16" s="130">
        <f ca="1">IF(OR(Tbl_ResidentData[[#This Row],[S11]]=TRUE,Tbl_ResidentData[[#This Row],[P11]]=TRUE),1,0)</f>
        <v>0</v>
      </c>
      <c r="CZ16" s="130">
        <f ca="1">IF(OR(Tbl_ResidentData[[#This Row],[S12]]=TRUE,Tbl_ResidentData[[#This Row],[P12]]=TRUE),1,0)</f>
        <v>0</v>
      </c>
      <c r="DA16" s="130">
        <f ca="1">IF(OR(Tbl_ResidentData[[#This Row],[S13]]=TRUE,Tbl_ResidentData[[#This Row],[P13]]=TRUE),1,0)</f>
        <v>0</v>
      </c>
      <c r="DB16" s="130">
        <f ca="1">IF(OR(Tbl_ResidentData[[#This Row],[S14]]=TRUE,Tbl_ResidentData[[#This Row],[P14]]=TRUE),1,0)</f>
        <v>0</v>
      </c>
      <c r="DC16" s="130">
        <f ca="1">IF(OR(Tbl_ResidentData[[#This Row],[S15]]=TRUE,Tbl_ResidentData[[#This Row],[P15]]=TRUE),1,0)</f>
        <v>0</v>
      </c>
      <c r="DD16" s="130">
        <f ca="1">IF(OR(Tbl_ResidentData[[#This Row],[S16]]=TRUE,Tbl_ResidentData[[#This Row],[P16]]=TRUE),1,0)</f>
        <v>0</v>
      </c>
      <c r="DE16" s="130">
        <f ca="1">IF(OR(Tbl_ResidentData[[#This Row],[S17]]=TRUE,Tbl_ResidentData[[#This Row],[P17]]=TRUE),1,0)</f>
        <v>0</v>
      </c>
      <c r="DF16" s="130">
        <f ca="1">IF(OR(Tbl_ResidentData[[#This Row],[S18]]=TRUE,Tbl_ResidentData[[#This Row],[P18]]=TRUE),1,0)</f>
        <v>0</v>
      </c>
      <c r="DG16" s="130">
        <f ca="1">IF(OR(Tbl_ResidentData[[#This Row],[S19]]=TRUE,Tbl_ResidentData[[#This Row],[P19]]=TRUE),1,0)</f>
        <v>0</v>
      </c>
      <c r="DH16" s="130">
        <f ca="1">IF(OR(Tbl_ResidentData[[#This Row],[S20]]=TRUE,Tbl_ResidentData[[#This Row],[P20]]=TRUE),1,0)</f>
        <v>0</v>
      </c>
      <c r="DI16" s="130">
        <f ca="1">IF(OR(Tbl_ResidentData[[#This Row],[S21]]=TRUE,Tbl_ResidentData[[#This Row],[P21]]=TRUE),1,0)</f>
        <v>0</v>
      </c>
      <c r="DJ16" s="130">
        <f ca="1">IF(OR(Tbl_ResidentData[[#This Row],[S22]]=TRUE,Tbl_ResidentData[[#This Row],[P22]]=TRUE),1,0)</f>
        <v>0</v>
      </c>
      <c r="DK16" s="130">
        <f ca="1">IF(OR(Tbl_ResidentData[[#This Row],[S23]]=TRUE,Tbl_ResidentData[[#This Row],[P23]]=TRUE),1,0)</f>
        <v>0</v>
      </c>
      <c r="DL16" s="130">
        <f ca="1">IF(OR(Tbl_ResidentData[[#This Row],[S24]]=TRUE,Tbl_ResidentData[[#This Row],[P24]]=TRUE),1,0)</f>
        <v>0</v>
      </c>
      <c r="DM16" s="123" t="str">
        <f ca="1">IFERROR(INDEX($CO$4:$DL$4,MATCH(TRUE,INDEX((Tbl_ResidentData[[#This Row],[Over1]:[Over24]]&lt;&gt;0),0),0)),"")</f>
        <v/>
      </c>
      <c r="DN16" s="133" t="str">
        <f>IFERROR(INDEX(Tbl_PDSAData[Last DRT],MATCH(Tbl_ResidentData[Resident Name '[last, first']],Tbl_PDSAData[Resident Name (last, first)],0)),"")</f>
        <v/>
      </c>
      <c r="DO16" s="222" t="str">
        <f>IFERROR(INDEX(Tbl_PDSAData[Last MR],MATCH(Tbl_ResidentData[Resident Name '[last, first']],Tbl_PDSAData[Resident Name (last, first)],0)),"")</f>
        <v/>
      </c>
    </row>
    <row r="17" spans="1:119" x14ac:dyDescent="0.25">
      <c r="A17" s="179"/>
      <c r="B17" s="180"/>
      <c r="C17" s="180"/>
      <c r="D17" s="217"/>
      <c r="E17" s="179"/>
      <c r="F17" s="179"/>
      <c r="G17" s="181"/>
      <c r="H17" s="375"/>
      <c r="I17" s="186"/>
      <c r="J17" s="387"/>
      <c r="K17" s="178"/>
      <c r="L17" s="388"/>
      <c r="M17" s="187"/>
      <c r="N17" s="387"/>
      <c r="O17" s="178"/>
      <c r="P17" s="388"/>
      <c r="Q17" s="395"/>
      <c r="R17" s="396"/>
      <c r="S17" s="132" t="str">
        <f>IF(ISBLANK(Tbl_ResidentData[[#This Row],[Discharge '[mmm-yyyy']]]),IF(ISBLANK(Tbl_ResidentData[[#This Row],[Enrollment '[mmm-yyyy']]]),"","In Care Home"),"Discharged")</f>
        <v/>
      </c>
      <c r="T17" s="128" t="str">
        <f>IF(ISBLANK(Tbl_ResidentData[[#This Row],[Diagnosis (RAI)]]),IF(ISBLANK(Tbl_ResidentData[[#This Row],[Resident Name '[last, first']]]),"",0),IF(Tbl_ResidentData[[#This Row],[Diagnosis (RAI)]]="Other (see clinical notes)",0,1))</f>
        <v/>
      </c>
      <c r="U17" s="129" t="str">
        <f ca="1">IF(U$4&gt;NOW(),"-",IF(ISBLANK(Tbl_ResidentData[[#This Row],[Enrollment '[mmm-yyyy']]]),"-",AND((Tbl_ResidentData[[#This Row],[Enrollment '[mmm-yyyy']]]&lt;=U$4),IF(ISBLANK(Tbl_ResidentData[[#This Row],[Discharge '[mmm-yyyy']]]),TRUE,(Tbl_ResidentData[[#This Row],[Discharge '[mmm-yyyy']]]&gt;=U$4)))))</f>
        <v>-</v>
      </c>
      <c r="V17" s="121" t="str">
        <f ca="1">IF(V$4&gt;NOW(),"-",IF(ISBLANK(Tbl_ResidentData[[#This Row],[Enrollment '[mmm-yyyy']]]),"-",AND((Tbl_ResidentData[[#This Row],[Enrollment '[mmm-yyyy']]]&lt;=V$4),IF(ISBLANK(Tbl_ResidentData[[#This Row],[Discharge '[mmm-yyyy']]]),TRUE,(Tbl_ResidentData[[#This Row],[Discharge '[mmm-yyyy']]]&gt;=V$4)))))</f>
        <v>-</v>
      </c>
      <c r="W17" s="121" t="str">
        <f ca="1">IF(W$4&gt;NOW(),"-",IF(ISBLANK(Tbl_ResidentData[[#This Row],[Enrollment '[mmm-yyyy']]]),"-",AND((Tbl_ResidentData[[#This Row],[Enrollment '[mmm-yyyy']]]&lt;=W$4),IF(ISBLANK(Tbl_ResidentData[[#This Row],[Discharge '[mmm-yyyy']]]),TRUE,(Tbl_ResidentData[[#This Row],[Discharge '[mmm-yyyy']]]&gt;=W$4)))))</f>
        <v>-</v>
      </c>
      <c r="X17" s="121" t="str">
        <f ca="1">IF(X$4&gt;NOW(),"-",IF(ISBLANK(Tbl_ResidentData[[#This Row],[Enrollment '[mmm-yyyy']]]),"-",AND((Tbl_ResidentData[[#This Row],[Enrollment '[mmm-yyyy']]]&lt;=X$4),IF(ISBLANK(Tbl_ResidentData[[#This Row],[Discharge '[mmm-yyyy']]]),TRUE,(Tbl_ResidentData[[#This Row],[Discharge '[mmm-yyyy']]]&gt;=X$4)))))</f>
        <v>-</v>
      </c>
      <c r="Y17" s="121" t="str">
        <f ca="1">IF(Y$4&gt;NOW(),"-",IF(ISBLANK(Tbl_ResidentData[[#This Row],[Enrollment '[mmm-yyyy']]]),"-",AND((Tbl_ResidentData[[#This Row],[Enrollment '[mmm-yyyy']]]&lt;=Y$4),IF(ISBLANK(Tbl_ResidentData[[#This Row],[Discharge '[mmm-yyyy']]]),TRUE,(Tbl_ResidentData[[#This Row],[Discharge '[mmm-yyyy']]]&gt;=Y$4)))))</f>
        <v>-</v>
      </c>
      <c r="Z17" s="121" t="str">
        <f ca="1">IF(Z$4&gt;NOW(),"-",IF(ISBLANK(Tbl_ResidentData[[#This Row],[Enrollment '[mmm-yyyy']]]),"-",AND((Tbl_ResidentData[[#This Row],[Enrollment '[mmm-yyyy']]]&lt;=Z$4),IF(ISBLANK(Tbl_ResidentData[[#This Row],[Discharge '[mmm-yyyy']]]),TRUE,(Tbl_ResidentData[[#This Row],[Discharge '[mmm-yyyy']]]&gt;=Z$4)))))</f>
        <v>-</v>
      </c>
      <c r="AA17" s="121" t="str">
        <f ca="1">IF(AA$4&gt;NOW(),"-",IF(ISBLANK(Tbl_ResidentData[[#This Row],[Enrollment '[mmm-yyyy']]]),"-",AND((Tbl_ResidentData[[#This Row],[Enrollment '[mmm-yyyy']]]&lt;=AA$4),IF(ISBLANK(Tbl_ResidentData[[#This Row],[Discharge '[mmm-yyyy']]]),TRUE,(Tbl_ResidentData[[#This Row],[Discharge '[mmm-yyyy']]]&gt;=AA$4)))))</f>
        <v>-</v>
      </c>
      <c r="AB17" s="121" t="str">
        <f ca="1">IF(AB$4&gt;NOW(),"-",IF(ISBLANK(Tbl_ResidentData[[#This Row],[Enrollment '[mmm-yyyy']]]),"-",AND((Tbl_ResidentData[[#This Row],[Enrollment '[mmm-yyyy']]]&lt;=AB$4),IF(ISBLANK(Tbl_ResidentData[[#This Row],[Discharge '[mmm-yyyy']]]),TRUE,(Tbl_ResidentData[[#This Row],[Discharge '[mmm-yyyy']]]&gt;=AB$4)))))</f>
        <v>-</v>
      </c>
      <c r="AC17" s="121" t="str">
        <f ca="1">IF(AC$4&gt;NOW(),"-",IF(ISBLANK(Tbl_ResidentData[[#This Row],[Enrollment '[mmm-yyyy']]]),"-",AND((Tbl_ResidentData[[#This Row],[Enrollment '[mmm-yyyy']]]&lt;=AC$4),IF(ISBLANK(Tbl_ResidentData[[#This Row],[Discharge '[mmm-yyyy']]]),TRUE,(Tbl_ResidentData[[#This Row],[Discharge '[mmm-yyyy']]]&gt;=AC$4)))))</f>
        <v>-</v>
      </c>
      <c r="AD17" s="121" t="str">
        <f ca="1">IF(AD$4&gt;NOW(),"-",IF(ISBLANK(Tbl_ResidentData[[#This Row],[Enrollment '[mmm-yyyy']]]),"-",AND((Tbl_ResidentData[[#This Row],[Enrollment '[mmm-yyyy']]]&lt;=AD$4),IF(ISBLANK(Tbl_ResidentData[[#This Row],[Discharge '[mmm-yyyy']]]),TRUE,(Tbl_ResidentData[[#This Row],[Discharge '[mmm-yyyy']]]&gt;=AD$4)))))</f>
        <v>-</v>
      </c>
      <c r="AE17" s="121" t="str">
        <f ca="1">IF(AE$4&gt;NOW(),"-",IF(ISBLANK(Tbl_ResidentData[[#This Row],[Enrollment '[mmm-yyyy']]]),"-",AND((Tbl_ResidentData[[#This Row],[Enrollment '[mmm-yyyy']]]&lt;=AE$4),IF(ISBLANK(Tbl_ResidentData[[#This Row],[Discharge '[mmm-yyyy']]]),TRUE,(Tbl_ResidentData[[#This Row],[Discharge '[mmm-yyyy']]]&gt;=AE$4)))))</f>
        <v>-</v>
      </c>
      <c r="AF17" s="121" t="str">
        <f ca="1">IF(AF$4&gt;NOW(),"-",IF(ISBLANK(Tbl_ResidentData[[#This Row],[Enrollment '[mmm-yyyy']]]),"-",AND((Tbl_ResidentData[[#This Row],[Enrollment '[mmm-yyyy']]]&lt;=AF$4),IF(ISBLANK(Tbl_ResidentData[[#This Row],[Discharge '[mmm-yyyy']]]),TRUE,(Tbl_ResidentData[[#This Row],[Discharge '[mmm-yyyy']]]&gt;=AF$4)))))</f>
        <v>-</v>
      </c>
      <c r="AG17" s="121" t="str">
        <f ca="1">IF(AG$4&gt;NOW(),"-",IF(ISBLANK(Tbl_ResidentData[[#This Row],[Enrollment '[mmm-yyyy']]]),"-",AND((Tbl_ResidentData[[#This Row],[Enrollment '[mmm-yyyy']]]&lt;=AG$4),IF(ISBLANK(Tbl_ResidentData[[#This Row],[Discharge '[mmm-yyyy']]]),TRUE,(Tbl_ResidentData[[#This Row],[Discharge '[mmm-yyyy']]]&gt;=AG$4)))))</f>
        <v>-</v>
      </c>
      <c r="AH17" s="121" t="str">
        <f ca="1">IF(AH$4&gt;NOW(),"-",IF(ISBLANK(Tbl_ResidentData[[#This Row],[Enrollment '[mmm-yyyy']]]),"-",AND((Tbl_ResidentData[[#This Row],[Enrollment '[mmm-yyyy']]]&lt;=AH$4),IF(ISBLANK(Tbl_ResidentData[[#This Row],[Discharge '[mmm-yyyy']]]),TRUE,(Tbl_ResidentData[[#This Row],[Discharge '[mmm-yyyy']]]&gt;=AH$4)))))</f>
        <v>-</v>
      </c>
      <c r="AI17" s="121" t="str">
        <f ca="1">IF(AI$4&gt;NOW(),"-",IF(ISBLANK(Tbl_ResidentData[[#This Row],[Enrollment '[mmm-yyyy']]]),"-",AND((Tbl_ResidentData[[#This Row],[Enrollment '[mmm-yyyy']]]&lt;=AI$4),IF(ISBLANK(Tbl_ResidentData[[#This Row],[Discharge '[mmm-yyyy']]]),TRUE,(Tbl_ResidentData[[#This Row],[Discharge '[mmm-yyyy']]]&gt;=AI$4)))))</f>
        <v>-</v>
      </c>
      <c r="AJ17" s="121" t="str">
        <f ca="1">IF(AJ$4&gt;NOW(),"-",IF(ISBLANK(Tbl_ResidentData[[#This Row],[Enrollment '[mmm-yyyy']]]),"-",AND((Tbl_ResidentData[[#This Row],[Enrollment '[mmm-yyyy']]]&lt;=AJ$4),IF(ISBLANK(Tbl_ResidentData[[#This Row],[Discharge '[mmm-yyyy']]]),TRUE,(Tbl_ResidentData[[#This Row],[Discharge '[mmm-yyyy']]]&gt;=AJ$4)))))</f>
        <v>-</v>
      </c>
      <c r="AK17" s="121" t="str">
        <f ca="1">IF(AK$4&gt;NOW(),"-",IF(ISBLANK(Tbl_ResidentData[[#This Row],[Enrollment '[mmm-yyyy']]]),"-",AND((Tbl_ResidentData[[#This Row],[Enrollment '[mmm-yyyy']]]&lt;=AK$4),IF(ISBLANK(Tbl_ResidentData[[#This Row],[Discharge '[mmm-yyyy']]]),TRUE,(Tbl_ResidentData[[#This Row],[Discharge '[mmm-yyyy']]]&gt;=AK$4)))))</f>
        <v>-</v>
      </c>
      <c r="AL17" s="121" t="str">
        <f ca="1">IF(AL$4&gt;NOW(),"-",IF(ISBLANK(Tbl_ResidentData[[#This Row],[Enrollment '[mmm-yyyy']]]),"-",AND((Tbl_ResidentData[[#This Row],[Enrollment '[mmm-yyyy']]]&lt;=AL$4),IF(ISBLANK(Tbl_ResidentData[[#This Row],[Discharge '[mmm-yyyy']]]),TRUE,(Tbl_ResidentData[[#This Row],[Discharge '[mmm-yyyy']]]&gt;=AL$4)))))</f>
        <v>-</v>
      </c>
      <c r="AM17" s="121" t="str">
        <f ca="1">IF(AM$4&gt;NOW(),"-",IF(ISBLANK(Tbl_ResidentData[[#This Row],[Enrollment '[mmm-yyyy']]]),"-",AND((Tbl_ResidentData[[#This Row],[Enrollment '[mmm-yyyy']]]&lt;=AM$4),IF(ISBLANK(Tbl_ResidentData[[#This Row],[Discharge '[mmm-yyyy']]]),TRUE,(Tbl_ResidentData[[#This Row],[Discharge '[mmm-yyyy']]]&gt;=AM$4)))))</f>
        <v>-</v>
      </c>
      <c r="AN17" s="121" t="str">
        <f ca="1">IF(AN$4&gt;NOW(),"-",IF(ISBLANK(Tbl_ResidentData[[#This Row],[Enrollment '[mmm-yyyy']]]),"-",AND((Tbl_ResidentData[[#This Row],[Enrollment '[mmm-yyyy']]]&lt;=AN$4),IF(ISBLANK(Tbl_ResidentData[[#This Row],[Discharge '[mmm-yyyy']]]),TRUE,(Tbl_ResidentData[[#This Row],[Discharge '[mmm-yyyy']]]&gt;=AN$4)))))</f>
        <v>-</v>
      </c>
      <c r="AO17" s="121" t="str">
        <f ca="1">IF(AO$4&gt;NOW(),"-",IF(ISBLANK(Tbl_ResidentData[[#This Row],[Enrollment '[mmm-yyyy']]]),"-",AND((Tbl_ResidentData[[#This Row],[Enrollment '[mmm-yyyy']]]&lt;=AO$4),IF(ISBLANK(Tbl_ResidentData[[#This Row],[Discharge '[mmm-yyyy']]]),TRUE,(Tbl_ResidentData[[#This Row],[Discharge '[mmm-yyyy']]]&gt;=AO$4)))))</f>
        <v>-</v>
      </c>
      <c r="AP17" s="121" t="str">
        <f ca="1">IF(AP$4&gt;NOW(),"-",IF(ISBLANK(Tbl_ResidentData[[#This Row],[Enrollment '[mmm-yyyy']]]),"-",AND((Tbl_ResidentData[[#This Row],[Enrollment '[mmm-yyyy']]]&lt;=AP$4),IF(ISBLANK(Tbl_ResidentData[[#This Row],[Discharge '[mmm-yyyy']]]),TRUE,(Tbl_ResidentData[[#This Row],[Discharge '[mmm-yyyy']]]&gt;=AP$4)))))</f>
        <v>-</v>
      </c>
      <c r="AQ17" s="121" t="str">
        <f ca="1">IF(AQ$4&gt;NOW(),"-",IF(ISBLANK(Tbl_ResidentData[[#This Row],[Enrollment '[mmm-yyyy']]]),"-",AND((Tbl_ResidentData[[#This Row],[Enrollment '[mmm-yyyy']]]&lt;=AQ$4),IF(ISBLANK(Tbl_ResidentData[[#This Row],[Discharge '[mmm-yyyy']]]),TRUE,(Tbl_ResidentData[[#This Row],[Discharge '[mmm-yyyy']]]&gt;=AQ$4)))))</f>
        <v>-</v>
      </c>
      <c r="AR17" s="122" t="str">
        <f ca="1">IF(AR$4&gt;NOW(),"-",IF(ISBLANK(Tbl_ResidentData[[#This Row],[Enrollment '[mmm-yyyy']]]),"-",AND((Tbl_ResidentData[[#This Row],[Enrollment '[mmm-yyyy']]]&lt;=AR$4),IF(ISBLANK(Tbl_ResidentData[[#This Row],[Discharge '[mmm-yyyy']]]),TRUE,(Tbl_ResidentData[[#This Row],[Discharge '[mmm-yyyy']]]&gt;=AR$4)))))</f>
        <v>-</v>
      </c>
      <c r="AS1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 s="120" t="b">
        <f ca="1">AND(Tbl_ResidentData[[#This Row],[PRN Med Started]]&lt;&gt;"",Tbl_ResidentData[[#This Row],[PRN Med Started]]&lt;=NOW(),Tbl_ResidentData[[#This Row],[PRN Med Started]]&lt;=AS$4,OR(Tbl_ResidentData[[#This Row],[PRN Med Discontinued]]&gt;AS$4,ISBLANK(Tbl_ResidentData[[#This Row],[PRN Med Discontinued]])))</f>
        <v>0</v>
      </c>
      <c r="BR17" s="121" t="b">
        <f ca="1">AND(Tbl_ResidentData[[#This Row],[PRN Med Started]]&lt;&gt;"",Tbl_ResidentData[[#This Row],[PRN Med Started]]&lt;=NOW(),Tbl_ResidentData[[#This Row],[PRN Med Started]]&lt;=AT$4,OR(Tbl_ResidentData[[#This Row],[PRN Med Discontinued]]&gt;AT$4,ISBLANK(Tbl_ResidentData[[#This Row],[PRN Med Discontinued]])))</f>
        <v>0</v>
      </c>
      <c r="BS17" s="129" t="b">
        <f ca="1">AND(Tbl_ResidentData[[#This Row],[PRN Med Started]]&lt;&gt;"",Tbl_ResidentData[[#This Row],[PRN Med Started]]&lt;=NOW(),Tbl_ResidentData[[#This Row],[PRN Med Started]]&lt;=AU$4,OR(Tbl_ResidentData[[#This Row],[PRN Med Discontinued]]&gt;AU$4,ISBLANK(Tbl_ResidentData[[#This Row],[PRN Med Discontinued]])))</f>
        <v>0</v>
      </c>
      <c r="BT17" s="129" t="b">
        <f ca="1">AND(Tbl_ResidentData[[#This Row],[PRN Med Started]]&lt;&gt;"",Tbl_ResidentData[[#This Row],[PRN Med Started]]&lt;=NOW(),Tbl_ResidentData[[#This Row],[PRN Med Started]]&lt;=AV$4,OR(Tbl_ResidentData[[#This Row],[PRN Med Discontinued]]&gt;AV$4,ISBLANK(Tbl_ResidentData[[#This Row],[PRN Med Discontinued]])))</f>
        <v>0</v>
      </c>
      <c r="BU17" s="129" t="b">
        <f ca="1">AND(Tbl_ResidentData[[#This Row],[PRN Med Started]]&lt;&gt;"",Tbl_ResidentData[[#This Row],[PRN Med Started]]&lt;=NOW(),Tbl_ResidentData[[#This Row],[PRN Med Started]]&lt;=AW$4,OR(Tbl_ResidentData[[#This Row],[PRN Med Discontinued]]&gt;AW$4,ISBLANK(Tbl_ResidentData[[#This Row],[PRN Med Discontinued]])))</f>
        <v>0</v>
      </c>
      <c r="BV17" s="129" t="b">
        <f ca="1">AND(Tbl_ResidentData[[#This Row],[PRN Med Started]]&lt;&gt;"",Tbl_ResidentData[[#This Row],[PRN Med Started]]&lt;=NOW(),Tbl_ResidentData[[#This Row],[PRN Med Started]]&lt;=AX$4,OR(Tbl_ResidentData[[#This Row],[PRN Med Discontinued]]&gt;AX$4,ISBLANK(Tbl_ResidentData[[#This Row],[PRN Med Discontinued]])))</f>
        <v>0</v>
      </c>
      <c r="BW17" s="129" t="b">
        <f ca="1">AND(Tbl_ResidentData[[#This Row],[PRN Med Started]]&lt;&gt;"",Tbl_ResidentData[[#This Row],[PRN Med Started]]&lt;=NOW(),Tbl_ResidentData[[#This Row],[PRN Med Started]]&lt;=AY$4,OR(Tbl_ResidentData[[#This Row],[PRN Med Discontinued]]&gt;AY$4,ISBLANK(Tbl_ResidentData[[#This Row],[PRN Med Discontinued]])))</f>
        <v>0</v>
      </c>
      <c r="BX17" s="129" t="b">
        <f ca="1">AND(Tbl_ResidentData[[#This Row],[PRN Med Started]]&lt;&gt;"",Tbl_ResidentData[[#This Row],[PRN Med Started]]&lt;=NOW(),Tbl_ResidentData[[#This Row],[PRN Med Started]]&lt;=AZ$4,OR(Tbl_ResidentData[[#This Row],[PRN Med Discontinued]]&gt;AZ$4,ISBLANK(Tbl_ResidentData[[#This Row],[PRN Med Discontinued]])))</f>
        <v>0</v>
      </c>
      <c r="BY17" s="129" t="b">
        <f ca="1">AND(Tbl_ResidentData[[#This Row],[PRN Med Started]]&lt;&gt;"",Tbl_ResidentData[[#This Row],[PRN Med Started]]&lt;=NOW(),Tbl_ResidentData[[#This Row],[PRN Med Started]]&lt;=BA$4,OR(Tbl_ResidentData[[#This Row],[PRN Med Discontinued]]&gt;BA$4,ISBLANK(Tbl_ResidentData[[#This Row],[PRN Med Discontinued]])))</f>
        <v>0</v>
      </c>
      <c r="BZ17" s="129" t="b">
        <f ca="1">AND(Tbl_ResidentData[[#This Row],[PRN Med Started]]&lt;&gt;"",Tbl_ResidentData[[#This Row],[PRN Med Started]]&lt;=NOW(),Tbl_ResidentData[[#This Row],[PRN Med Started]]&lt;=BB$4,OR(Tbl_ResidentData[[#This Row],[PRN Med Discontinued]]&gt;BB$4,ISBLANK(Tbl_ResidentData[[#This Row],[PRN Med Discontinued]])))</f>
        <v>0</v>
      </c>
      <c r="CA17" s="129" t="b">
        <f ca="1">AND(Tbl_ResidentData[[#This Row],[PRN Med Started]]&lt;&gt;"",Tbl_ResidentData[[#This Row],[PRN Med Started]]&lt;=NOW(),Tbl_ResidentData[[#This Row],[PRN Med Started]]&lt;=BC$4,OR(Tbl_ResidentData[[#This Row],[PRN Med Discontinued]]&gt;BC$4,ISBLANK(Tbl_ResidentData[[#This Row],[PRN Med Discontinued]])))</f>
        <v>0</v>
      </c>
      <c r="CB17" s="129" t="b">
        <f ca="1">AND(Tbl_ResidentData[[#This Row],[PRN Med Started]]&lt;&gt;"",Tbl_ResidentData[[#This Row],[PRN Med Started]]&lt;=NOW(),Tbl_ResidentData[[#This Row],[PRN Med Started]]&lt;=BD$4,OR(Tbl_ResidentData[[#This Row],[PRN Med Discontinued]]&gt;BD$4,ISBLANK(Tbl_ResidentData[[#This Row],[PRN Med Discontinued]])))</f>
        <v>0</v>
      </c>
      <c r="CC17" s="129" t="b">
        <f ca="1">AND(Tbl_ResidentData[[#This Row],[PRN Med Started]]&lt;&gt;"",Tbl_ResidentData[[#This Row],[PRN Med Started]]&lt;=NOW(),Tbl_ResidentData[[#This Row],[PRN Med Started]]&lt;=BE$4,OR(Tbl_ResidentData[[#This Row],[PRN Med Discontinued]]&gt;BE$4,ISBLANK(Tbl_ResidentData[[#This Row],[PRN Med Discontinued]])))</f>
        <v>0</v>
      </c>
      <c r="CD17" s="129" t="b">
        <f ca="1">AND(Tbl_ResidentData[[#This Row],[PRN Med Started]]&lt;&gt;"",Tbl_ResidentData[[#This Row],[PRN Med Started]]&lt;=NOW(),Tbl_ResidentData[[#This Row],[PRN Med Started]]&lt;=BF$4,OR(Tbl_ResidentData[[#This Row],[PRN Med Discontinued]]&gt;BF$4,ISBLANK(Tbl_ResidentData[[#This Row],[PRN Med Discontinued]])))</f>
        <v>0</v>
      </c>
      <c r="CE17" s="129" t="b">
        <f ca="1">AND(Tbl_ResidentData[[#This Row],[PRN Med Started]]&lt;&gt;"",Tbl_ResidentData[[#This Row],[PRN Med Started]]&lt;=NOW(),Tbl_ResidentData[[#This Row],[PRN Med Started]]&lt;=BG$4,OR(Tbl_ResidentData[[#This Row],[PRN Med Discontinued]]&gt;BG$4,ISBLANK(Tbl_ResidentData[[#This Row],[PRN Med Discontinued]])))</f>
        <v>0</v>
      </c>
      <c r="CF17" s="129" t="b">
        <f ca="1">AND(Tbl_ResidentData[[#This Row],[PRN Med Started]]&lt;&gt;"",Tbl_ResidentData[[#This Row],[PRN Med Started]]&lt;=NOW(),Tbl_ResidentData[[#This Row],[PRN Med Started]]&lt;=BH$4,OR(Tbl_ResidentData[[#This Row],[PRN Med Discontinued]]&gt;BH$4,ISBLANK(Tbl_ResidentData[[#This Row],[PRN Med Discontinued]])))</f>
        <v>0</v>
      </c>
      <c r="CG17" s="129" t="b">
        <f ca="1">AND(Tbl_ResidentData[[#This Row],[PRN Med Started]]&lt;&gt;"",Tbl_ResidentData[[#This Row],[PRN Med Started]]&lt;=NOW(),Tbl_ResidentData[[#This Row],[PRN Med Started]]&lt;=BI$4,OR(Tbl_ResidentData[[#This Row],[PRN Med Discontinued]]&gt;BI$4,ISBLANK(Tbl_ResidentData[[#This Row],[PRN Med Discontinued]])))</f>
        <v>0</v>
      </c>
      <c r="CH17" s="129" t="b">
        <f ca="1">AND(Tbl_ResidentData[[#This Row],[PRN Med Started]]&lt;&gt;"",Tbl_ResidentData[[#This Row],[PRN Med Started]]&lt;=NOW(),Tbl_ResidentData[[#This Row],[PRN Med Started]]&lt;=BJ$4,OR(Tbl_ResidentData[[#This Row],[PRN Med Discontinued]]&gt;BJ$4,ISBLANK(Tbl_ResidentData[[#This Row],[PRN Med Discontinued]])))</f>
        <v>0</v>
      </c>
      <c r="CI17" s="129" t="b">
        <f ca="1">AND(Tbl_ResidentData[[#This Row],[PRN Med Started]]&lt;&gt;"",Tbl_ResidentData[[#This Row],[PRN Med Started]]&lt;=NOW(),Tbl_ResidentData[[#This Row],[PRN Med Started]]&lt;=BK$4,OR(Tbl_ResidentData[[#This Row],[PRN Med Discontinued]]&gt;BK$4,ISBLANK(Tbl_ResidentData[[#This Row],[PRN Med Discontinued]])))</f>
        <v>0</v>
      </c>
      <c r="CJ17" s="129" t="b">
        <f ca="1">AND(Tbl_ResidentData[[#This Row],[PRN Med Started]]&lt;&gt;"",Tbl_ResidentData[[#This Row],[PRN Med Started]]&lt;=NOW(),Tbl_ResidentData[[#This Row],[PRN Med Started]]&lt;=BL$4,OR(Tbl_ResidentData[[#This Row],[PRN Med Discontinued]]&gt;BL$4,ISBLANK(Tbl_ResidentData[[#This Row],[PRN Med Discontinued]])))</f>
        <v>0</v>
      </c>
      <c r="CK17" s="129" t="b">
        <f ca="1">AND(Tbl_ResidentData[[#This Row],[PRN Med Started]]&lt;&gt;"",Tbl_ResidentData[[#This Row],[PRN Med Started]]&lt;=NOW(),Tbl_ResidentData[[#This Row],[PRN Med Started]]&lt;=BM$4,OR(Tbl_ResidentData[[#This Row],[PRN Med Discontinued]]&gt;BM$4,ISBLANK(Tbl_ResidentData[[#This Row],[PRN Med Discontinued]])))</f>
        <v>0</v>
      </c>
      <c r="CL17" s="129" t="b">
        <f ca="1">AND(Tbl_ResidentData[[#This Row],[PRN Med Started]]&lt;&gt;"",Tbl_ResidentData[[#This Row],[PRN Med Started]]&lt;=NOW(),Tbl_ResidentData[[#This Row],[PRN Med Started]]&lt;=BN$4,OR(Tbl_ResidentData[[#This Row],[PRN Med Discontinued]]&gt;BN$4,ISBLANK(Tbl_ResidentData[[#This Row],[PRN Med Discontinued]])))</f>
        <v>0</v>
      </c>
      <c r="CM17" s="121" t="b">
        <f ca="1">AND(Tbl_ResidentData[[#This Row],[PRN Med Started]]&lt;&gt;"",Tbl_ResidentData[[#This Row],[PRN Med Started]]&lt;=NOW(),Tbl_ResidentData[[#This Row],[PRN Med Started]]&lt;=BO$4,OR(Tbl_ResidentData[[#This Row],[PRN Med Discontinued]]&gt;BO$4,ISBLANK(Tbl_ResidentData[[#This Row],[PRN Med Discontinued]])))</f>
        <v>0</v>
      </c>
      <c r="CN17" s="122" t="b">
        <f ca="1">AND(Tbl_ResidentData[[#This Row],[PRN Med Started]]&lt;&gt;"",Tbl_ResidentData[[#This Row],[PRN Med Started]]&lt;=NOW(),Tbl_ResidentData[[#This Row],[PRN Med Started]]&lt;=BP$4,OR(Tbl_ResidentData[[#This Row],[PRN Med Discontinued]]&gt;BP$4,ISBLANK(Tbl_ResidentData[[#This Row],[PRN Med Discontinued]])))</f>
        <v>0</v>
      </c>
      <c r="CO17" s="120">
        <f ca="1">IF(OR(Tbl_ResidentData[[#This Row],[S1]]=TRUE,Tbl_ResidentData[[#This Row],[P1]]=TRUE),1,0)</f>
        <v>0</v>
      </c>
      <c r="CP17" s="121">
        <f ca="1">IF(OR(Tbl_ResidentData[[#This Row],[S2]]=TRUE,Tbl_ResidentData[[#This Row],[P2]]=TRUE),1,0)</f>
        <v>0</v>
      </c>
      <c r="CQ17" s="121">
        <f ca="1">IF(OR(Tbl_ResidentData[[#This Row],[S3]]=TRUE,Tbl_ResidentData[[#This Row],[P3]]=TRUE),1,0)</f>
        <v>0</v>
      </c>
      <c r="CR17" s="130">
        <f ca="1">IF(OR(Tbl_ResidentData[[#This Row],[S4]]=TRUE,Tbl_ResidentData[[#This Row],[P4]]=TRUE),1,0)</f>
        <v>0</v>
      </c>
      <c r="CS17" s="130">
        <f ca="1">IF(OR(Tbl_ResidentData[[#This Row],[S5]]=TRUE,Tbl_ResidentData[[#This Row],[P5]]=TRUE),1,0)</f>
        <v>0</v>
      </c>
      <c r="CT17" s="130">
        <f ca="1">IF(OR(Tbl_ResidentData[[#This Row],[S6]]=TRUE,Tbl_ResidentData[[#This Row],[P6]]=TRUE),1,0)</f>
        <v>0</v>
      </c>
      <c r="CU17" s="130">
        <f ca="1">IF(OR(Tbl_ResidentData[[#This Row],[S7]]=TRUE,Tbl_ResidentData[[#This Row],[P7]]=TRUE),1,0)</f>
        <v>0</v>
      </c>
      <c r="CV17" s="130">
        <f ca="1">IF(OR(Tbl_ResidentData[[#This Row],[S8]]=TRUE,Tbl_ResidentData[[#This Row],[P8]]=TRUE),1,0)</f>
        <v>0</v>
      </c>
      <c r="CW17" s="130">
        <f ca="1">IF(OR(Tbl_ResidentData[[#This Row],[S9]]=TRUE,Tbl_ResidentData[[#This Row],[P9]]=TRUE),1,0)</f>
        <v>0</v>
      </c>
      <c r="CX17" s="130">
        <f ca="1">IF(OR(Tbl_ResidentData[[#This Row],[S10]]=TRUE,Tbl_ResidentData[[#This Row],[P10]]=TRUE),1,0)</f>
        <v>0</v>
      </c>
      <c r="CY17" s="130">
        <f ca="1">IF(OR(Tbl_ResidentData[[#This Row],[S11]]=TRUE,Tbl_ResidentData[[#This Row],[P11]]=TRUE),1,0)</f>
        <v>0</v>
      </c>
      <c r="CZ17" s="130">
        <f ca="1">IF(OR(Tbl_ResidentData[[#This Row],[S12]]=TRUE,Tbl_ResidentData[[#This Row],[P12]]=TRUE),1,0)</f>
        <v>0</v>
      </c>
      <c r="DA17" s="130">
        <f ca="1">IF(OR(Tbl_ResidentData[[#This Row],[S13]]=TRUE,Tbl_ResidentData[[#This Row],[P13]]=TRUE),1,0)</f>
        <v>0</v>
      </c>
      <c r="DB17" s="130">
        <f ca="1">IF(OR(Tbl_ResidentData[[#This Row],[S14]]=TRUE,Tbl_ResidentData[[#This Row],[P14]]=TRUE),1,0)</f>
        <v>0</v>
      </c>
      <c r="DC17" s="130">
        <f ca="1">IF(OR(Tbl_ResidentData[[#This Row],[S15]]=TRUE,Tbl_ResidentData[[#This Row],[P15]]=TRUE),1,0)</f>
        <v>0</v>
      </c>
      <c r="DD17" s="130">
        <f ca="1">IF(OR(Tbl_ResidentData[[#This Row],[S16]]=TRUE,Tbl_ResidentData[[#This Row],[P16]]=TRUE),1,0)</f>
        <v>0</v>
      </c>
      <c r="DE17" s="130">
        <f ca="1">IF(OR(Tbl_ResidentData[[#This Row],[S17]]=TRUE,Tbl_ResidentData[[#This Row],[P17]]=TRUE),1,0)</f>
        <v>0</v>
      </c>
      <c r="DF17" s="130">
        <f ca="1">IF(OR(Tbl_ResidentData[[#This Row],[S18]]=TRUE,Tbl_ResidentData[[#This Row],[P18]]=TRUE),1,0)</f>
        <v>0</v>
      </c>
      <c r="DG17" s="130">
        <f ca="1">IF(OR(Tbl_ResidentData[[#This Row],[S19]]=TRUE,Tbl_ResidentData[[#This Row],[P19]]=TRUE),1,0)</f>
        <v>0</v>
      </c>
      <c r="DH17" s="130">
        <f ca="1">IF(OR(Tbl_ResidentData[[#This Row],[S20]]=TRUE,Tbl_ResidentData[[#This Row],[P20]]=TRUE),1,0)</f>
        <v>0</v>
      </c>
      <c r="DI17" s="130">
        <f ca="1">IF(OR(Tbl_ResidentData[[#This Row],[S21]]=TRUE,Tbl_ResidentData[[#This Row],[P21]]=TRUE),1,0)</f>
        <v>0</v>
      </c>
      <c r="DJ17" s="130">
        <f ca="1">IF(OR(Tbl_ResidentData[[#This Row],[S22]]=TRUE,Tbl_ResidentData[[#This Row],[P22]]=TRUE),1,0)</f>
        <v>0</v>
      </c>
      <c r="DK17" s="130">
        <f ca="1">IF(OR(Tbl_ResidentData[[#This Row],[S23]]=TRUE,Tbl_ResidentData[[#This Row],[P23]]=TRUE),1,0)</f>
        <v>0</v>
      </c>
      <c r="DL17" s="130">
        <f ca="1">IF(OR(Tbl_ResidentData[[#This Row],[S24]]=TRUE,Tbl_ResidentData[[#This Row],[P24]]=TRUE),1,0)</f>
        <v>0</v>
      </c>
      <c r="DM17" s="123" t="str">
        <f ca="1">IFERROR(INDEX($CO$4:$DL$4,MATCH(TRUE,INDEX((Tbl_ResidentData[[#This Row],[Over1]:[Over24]]&lt;&gt;0),0),0)),"")</f>
        <v/>
      </c>
      <c r="DN17" s="133" t="str">
        <f>IFERROR(INDEX(Tbl_PDSAData[Last DRT],MATCH(Tbl_ResidentData[Resident Name '[last, first']],Tbl_PDSAData[Resident Name (last, first)],0)),"")</f>
        <v/>
      </c>
      <c r="DO17" s="222" t="str">
        <f>IFERROR(INDEX(Tbl_PDSAData[Last MR],MATCH(Tbl_ResidentData[Resident Name '[last, first']],Tbl_PDSAData[Resident Name (last, first)],0)),"")</f>
        <v/>
      </c>
    </row>
    <row r="18" spans="1:119" x14ac:dyDescent="0.25">
      <c r="A18" s="179"/>
      <c r="B18" s="180"/>
      <c r="C18" s="180"/>
      <c r="D18" s="218"/>
      <c r="E18" s="179"/>
      <c r="F18" s="179"/>
      <c r="G18" s="181"/>
      <c r="H18" s="182"/>
      <c r="I18" s="186"/>
      <c r="J18" s="387"/>
      <c r="K18" s="178"/>
      <c r="L18" s="388"/>
      <c r="M18" s="187"/>
      <c r="N18" s="387"/>
      <c r="O18" s="178"/>
      <c r="P18" s="388"/>
      <c r="Q18" s="394"/>
      <c r="R18" s="388"/>
      <c r="S18" s="132" t="str">
        <f>IF(ISBLANK(Tbl_ResidentData[[#This Row],[Discharge '[mmm-yyyy']]]),IF(ISBLANK(Tbl_ResidentData[[#This Row],[Enrollment '[mmm-yyyy']]]),"","In Care Home"),"Discharged")</f>
        <v/>
      </c>
      <c r="T18" s="128" t="str">
        <f>IF(ISBLANK(Tbl_ResidentData[[#This Row],[Diagnosis (RAI)]]),IF(ISBLANK(Tbl_ResidentData[[#This Row],[Resident Name '[last, first']]]),"",0),IF(Tbl_ResidentData[[#This Row],[Diagnosis (RAI)]]="Other (see clinical notes)",0,1))</f>
        <v/>
      </c>
      <c r="U18" s="129" t="str">
        <f ca="1">IF(U$4&gt;NOW(),"-",IF(ISBLANK(Tbl_ResidentData[[#This Row],[Enrollment '[mmm-yyyy']]]),"-",AND((Tbl_ResidentData[[#This Row],[Enrollment '[mmm-yyyy']]]&lt;=U$4),IF(ISBLANK(Tbl_ResidentData[[#This Row],[Discharge '[mmm-yyyy']]]),TRUE,(Tbl_ResidentData[[#This Row],[Discharge '[mmm-yyyy']]]&gt;=U$4)))))</f>
        <v>-</v>
      </c>
      <c r="V18" s="121" t="str">
        <f ca="1">IF(V$4&gt;NOW(),"-",IF(ISBLANK(Tbl_ResidentData[[#This Row],[Enrollment '[mmm-yyyy']]]),"-",AND((Tbl_ResidentData[[#This Row],[Enrollment '[mmm-yyyy']]]&lt;=V$4),IF(ISBLANK(Tbl_ResidentData[[#This Row],[Discharge '[mmm-yyyy']]]),TRUE,(Tbl_ResidentData[[#This Row],[Discharge '[mmm-yyyy']]]&gt;=V$4)))))</f>
        <v>-</v>
      </c>
      <c r="W18" s="121" t="str">
        <f ca="1">IF(W$4&gt;NOW(),"-",IF(ISBLANK(Tbl_ResidentData[[#This Row],[Enrollment '[mmm-yyyy']]]),"-",AND((Tbl_ResidentData[[#This Row],[Enrollment '[mmm-yyyy']]]&lt;=W$4),IF(ISBLANK(Tbl_ResidentData[[#This Row],[Discharge '[mmm-yyyy']]]),TRUE,(Tbl_ResidentData[[#This Row],[Discharge '[mmm-yyyy']]]&gt;=W$4)))))</f>
        <v>-</v>
      </c>
      <c r="X18" s="121" t="str">
        <f ca="1">IF(X$4&gt;NOW(),"-",IF(ISBLANK(Tbl_ResidentData[[#This Row],[Enrollment '[mmm-yyyy']]]),"-",AND((Tbl_ResidentData[[#This Row],[Enrollment '[mmm-yyyy']]]&lt;=X$4),IF(ISBLANK(Tbl_ResidentData[[#This Row],[Discharge '[mmm-yyyy']]]),TRUE,(Tbl_ResidentData[[#This Row],[Discharge '[mmm-yyyy']]]&gt;=X$4)))))</f>
        <v>-</v>
      </c>
      <c r="Y18" s="121" t="str">
        <f ca="1">IF(Y$4&gt;NOW(),"-",IF(ISBLANK(Tbl_ResidentData[[#This Row],[Enrollment '[mmm-yyyy']]]),"-",AND((Tbl_ResidentData[[#This Row],[Enrollment '[mmm-yyyy']]]&lt;=Y$4),IF(ISBLANK(Tbl_ResidentData[[#This Row],[Discharge '[mmm-yyyy']]]),TRUE,(Tbl_ResidentData[[#This Row],[Discharge '[mmm-yyyy']]]&gt;=Y$4)))))</f>
        <v>-</v>
      </c>
      <c r="Z18" s="121" t="str">
        <f ca="1">IF(Z$4&gt;NOW(),"-",IF(ISBLANK(Tbl_ResidentData[[#This Row],[Enrollment '[mmm-yyyy']]]),"-",AND((Tbl_ResidentData[[#This Row],[Enrollment '[mmm-yyyy']]]&lt;=Z$4),IF(ISBLANK(Tbl_ResidentData[[#This Row],[Discharge '[mmm-yyyy']]]),TRUE,(Tbl_ResidentData[[#This Row],[Discharge '[mmm-yyyy']]]&gt;=Z$4)))))</f>
        <v>-</v>
      </c>
      <c r="AA18" s="121" t="str">
        <f ca="1">IF(AA$4&gt;NOW(),"-",IF(ISBLANK(Tbl_ResidentData[[#This Row],[Enrollment '[mmm-yyyy']]]),"-",AND((Tbl_ResidentData[[#This Row],[Enrollment '[mmm-yyyy']]]&lt;=AA$4),IF(ISBLANK(Tbl_ResidentData[[#This Row],[Discharge '[mmm-yyyy']]]),TRUE,(Tbl_ResidentData[[#This Row],[Discharge '[mmm-yyyy']]]&gt;=AA$4)))))</f>
        <v>-</v>
      </c>
      <c r="AB18" s="121" t="str">
        <f ca="1">IF(AB$4&gt;NOW(),"-",IF(ISBLANK(Tbl_ResidentData[[#This Row],[Enrollment '[mmm-yyyy']]]),"-",AND((Tbl_ResidentData[[#This Row],[Enrollment '[mmm-yyyy']]]&lt;=AB$4),IF(ISBLANK(Tbl_ResidentData[[#This Row],[Discharge '[mmm-yyyy']]]),TRUE,(Tbl_ResidentData[[#This Row],[Discharge '[mmm-yyyy']]]&gt;=AB$4)))))</f>
        <v>-</v>
      </c>
      <c r="AC18" s="121" t="str">
        <f ca="1">IF(AC$4&gt;NOW(),"-",IF(ISBLANK(Tbl_ResidentData[[#This Row],[Enrollment '[mmm-yyyy']]]),"-",AND((Tbl_ResidentData[[#This Row],[Enrollment '[mmm-yyyy']]]&lt;=AC$4),IF(ISBLANK(Tbl_ResidentData[[#This Row],[Discharge '[mmm-yyyy']]]),TRUE,(Tbl_ResidentData[[#This Row],[Discharge '[mmm-yyyy']]]&gt;=AC$4)))))</f>
        <v>-</v>
      </c>
      <c r="AD18" s="121" t="str">
        <f ca="1">IF(AD$4&gt;NOW(),"-",IF(ISBLANK(Tbl_ResidentData[[#This Row],[Enrollment '[mmm-yyyy']]]),"-",AND((Tbl_ResidentData[[#This Row],[Enrollment '[mmm-yyyy']]]&lt;=AD$4),IF(ISBLANK(Tbl_ResidentData[[#This Row],[Discharge '[mmm-yyyy']]]),TRUE,(Tbl_ResidentData[[#This Row],[Discharge '[mmm-yyyy']]]&gt;=AD$4)))))</f>
        <v>-</v>
      </c>
      <c r="AE18" s="121" t="str">
        <f ca="1">IF(AE$4&gt;NOW(),"-",IF(ISBLANK(Tbl_ResidentData[[#This Row],[Enrollment '[mmm-yyyy']]]),"-",AND((Tbl_ResidentData[[#This Row],[Enrollment '[mmm-yyyy']]]&lt;=AE$4),IF(ISBLANK(Tbl_ResidentData[[#This Row],[Discharge '[mmm-yyyy']]]),TRUE,(Tbl_ResidentData[[#This Row],[Discharge '[mmm-yyyy']]]&gt;=AE$4)))))</f>
        <v>-</v>
      </c>
      <c r="AF18" s="121" t="str">
        <f ca="1">IF(AF$4&gt;NOW(),"-",IF(ISBLANK(Tbl_ResidentData[[#This Row],[Enrollment '[mmm-yyyy']]]),"-",AND((Tbl_ResidentData[[#This Row],[Enrollment '[mmm-yyyy']]]&lt;=AF$4),IF(ISBLANK(Tbl_ResidentData[[#This Row],[Discharge '[mmm-yyyy']]]),TRUE,(Tbl_ResidentData[[#This Row],[Discharge '[mmm-yyyy']]]&gt;=AF$4)))))</f>
        <v>-</v>
      </c>
      <c r="AG18" s="121" t="str">
        <f ca="1">IF(AG$4&gt;NOW(),"-",IF(ISBLANK(Tbl_ResidentData[[#This Row],[Enrollment '[mmm-yyyy']]]),"-",AND((Tbl_ResidentData[[#This Row],[Enrollment '[mmm-yyyy']]]&lt;=AG$4),IF(ISBLANK(Tbl_ResidentData[[#This Row],[Discharge '[mmm-yyyy']]]),TRUE,(Tbl_ResidentData[[#This Row],[Discharge '[mmm-yyyy']]]&gt;=AG$4)))))</f>
        <v>-</v>
      </c>
      <c r="AH18" s="121" t="str">
        <f ca="1">IF(AH$4&gt;NOW(),"-",IF(ISBLANK(Tbl_ResidentData[[#This Row],[Enrollment '[mmm-yyyy']]]),"-",AND((Tbl_ResidentData[[#This Row],[Enrollment '[mmm-yyyy']]]&lt;=AH$4),IF(ISBLANK(Tbl_ResidentData[[#This Row],[Discharge '[mmm-yyyy']]]),TRUE,(Tbl_ResidentData[[#This Row],[Discharge '[mmm-yyyy']]]&gt;=AH$4)))))</f>
        <v>-</v>
      </c>
      <c r="AI18" s="121" t="str">
        <f ca="1">IF(AI$4&gt;NOW(),"-",IF(ISBLANK(Tbl_ResidentData[[#This Row],[Enrollment '[mmm-yyyy']]]),"-",AND((Tbl_ResidentData[[#This Row],[Enrollment '[mmm-yyyy']]]&lt;=AI$4),IF(ISBLANK(Tbl_ResidentData[[#This Row],[Discharge '[mmm-yyyy']]]),TRUE,(Tbl_ResidentData[[#This Row],[Discharge '[mmm-yyyy']]]&gt;=AI$4)))))</f>
        <v>-</v>
      </c>
      <c r="AJ18" s="121" t="str">
        <f ca="1">IF(AJ$4&gt;NOW(),"-",IF(ISBLANK(Tbl_ResidentData[[#This Row],[Enrollment '[mmm-yyyy']]]),"-",AND((Tbl_ResidentData[[#This Row],[Enrollment '[mmm-yyyy']]]&lt;=AJ$4),IF(ISBLANK(Tbl_ResidentData[[#This Row],[Discharge '[mmm-yyyy']]]),TRUE,(Tbl_ResidentData[[#This Row],[Discharge '[mmm-yyyy']]]&gt;=AJ$4)))))</f>
        <v>-</v>
      </c>
      <c r="AK18" s="121" t="str">
        <f ca="1">IF(AK$4&gt;NOW(),"-",IF(ISBLANK(Tbl_ResidentData[[#This Row],[Enrollment '[mmm-yyyy']]]),"-",AND((Tbl_ResidentData[[#This Row],[Enrollment '[mmm-yyyy']]]&lt;=AK$4),IF(ISBLANK(Tbl_ResidentData[[#This Row],[Discharge '[mmm-yyyy']]]),TRUE,(Tbl_ResidentData[[#This Row],[Discharge '[mmm-yyyy']]]&gt;=AK$4)))))</f>
        <v>-</v>
      </c>
      <c r="AL18" s="121" t="str">
        <f ca="1">IF(AL$4&gt;NOW(),"-",IF(ISBLANK(Tbl_ResidentData[[#This Row],[Enrollment '[mmm-yyyy']]]),"-",AND((Tbl_ResidentData[[#This Row],[Enrollment '[mmm-yyyy']]]&lt;=AL$4),IF(ISBLANK(Tbl_ResidentData[[#This Row],[Discharge '[mmm-yyyy']]]),TRUE,(Tbl_ResidentData[[#This Row],[Discharge '[mmm-yyyy']]]&gt;=AL$4)))))</f>
        <v>-</v>
      </c>
      <c r="AM18" s="121" t="str">
        <f ca="1">IF(AM$4&gt;NOW(),"-",IF(ISBLANK(Tbl_ResidentData[[#This Row],[Enrollment '[mmm-yyyy']]]),"-",AND((Tbl_ResidentData[[#This Row],[Enrollment '[mmm-yyyy']]]&lt;=AM$4),IF(ISBLANK(Tbl_ResidentData[[#This Row],[Discharge '[mmm-yyyy']]]),TRUE,(Tbl_ResidentData[[#This Row],[Discharge '[mmm-yyyy']]]&gt;=AM$4)))))</f>
        <v>-</v>
      </c>
      <c r="AN18" s="121" t="str">
        <f ca="1">IF(AN$4&gt;NOW(),"-",IF(ISBLANK(Tbl_ResidentData[[#This Row],[Enrollment '[mmm-yyyy']]]),"-",AND((Tbl_ResidentData[[#This Row],[Enrollment '[mmm-yyyy']]]&lt;=AN$4),IF(ISBLANK(Tbl_ResidentData[[#This Row],[Discharge '[mmm-yyyy']]]),TRUE,(Tbl_ResidentData[[#This Row],[Discharge '[mmm-yyyy']]]&gt;=AN$4)))))</f>
        <v>-</v>
      </c>
      <c r="AO18" s="121" t="str">
        <f ca="1">IF(AO$4&gt;NOW(),"-",IF(ISBLANK(Tbl_ResidentData[[#This Row],[Enrollment '[mmm-yyyy']]]),"-",AND((Tbl_ResidentData[[#This Row],[Enrollment '[mmm-yyyy']]]&lt;=AO$4),IF(ISBLANK(Tbl_ResidentData[[#This Row],[Discharge '[mmm-yyyy']]]),TRUE,(Tbl_ResidentData[[#This Row],[Discharge '[mmm-yyyy']]]&gt;=AO$4)))))</f>
        <v>-</v>
      </c>
      <c r="AP18" s="121" t="str">
        <f ca="1">IF(AP$4&gt;NOW(),"-",IF(ISBLANK(Tbl_ResidentData[[#This Row],[Enrollment '[mmm-yyyy']]]),"-",AND((Tbl_ResidentData[[#This Row],[Enrollment '[mmm-yyyy']]]&lt;=AP$4),IF(ISBLANK(Tbl_ResidentData[[#This Row],[Discharge '[mmm-yyyy']]]),TRUE,(Tbl_ResidentData[[#This Row],[Discharge '[mmm-yyyy']]]&gt;=AP$4)))))</f>
        <v>-</v>
      </c>
      <c r="AQ18" s="121" t="str">
        <f ca="1">IF(AQ$4&gt;NOW(),"-",IF(ISBLANK(Tbl_ResidentData[[#This Row],[Enrollment '[mmm-yyyy']]]),"-",AND((Tbl_ResidentData[[#This Row],[Enrollment '[mmm-yyyy']]]&lt;=AQ$4),IF(ISBLANK(Tbl_ResidentData[[#This Row],[Discharge '[mmm-yyyy']]]),TRUE,(Tbl_ResidentData[[#This Row],[Discharge '[mmm-yyyy']]]&gt;=AQ$4)))))</f>
        <v>-</v>
      </c>
      <c r="AR18" s="122" t="str">
        <f ca="1">IF(AR$4&gt;NOW(),"-",IF(ISBLANK(Tbl_ResidentData[[#This Row],[Enrollment '[mmm-yyyy']]]),"-",AND((Tbl_ResidentData[[#This Row],[Enrollment '[mmm-yyyy']]]&lt;=AR$4),IF(ISBLANK(Tbl_ResidentData[[#This Row],[Discharge '[mmm-yyyy']]]),TRUE,(Tbl_ResidentData[[#This Row],[Discharge '[mmm-yyyy']]]&gt;=AR$4)))))</f>
        <v>-</v>
      </c>
      <c r="AS1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 s="120" t="b">
        <f ca="1">AND(Tbl_ResidentData[[#This Row],[PRN Med Started]]&lt;&gt;"",Tbl_ResidentData[[#This Row],[PRN Med Started]]&lt;=NOW(),Tbl_ResidentData[[#This Row],[PRN Med Started]]&lt;=AS$4,OR(Tbl_ResidentData[[#This Row],[PRN Med Discontinued]]&gt;AS$4,ISBLANK(Tbl_ResidentData[[#This Row],[PRN Med Discontinued]])))</f>
        <v>0</v>
      </c>
      <c r="BR18" s="121" t="b">
        <f ca="1">AND(Tbl_ResidentData[[#This Row],[PRN Med Started]]&lt;&gt;"",Tbl_ResidentData[[#This Row],[PRN Med Started]]&lt;=NOW(),Tbl_ResidentData[[#This Row],[PRN Med Started]]&lt;=AT$4,OR(Tbl_ResidentData[[#This Row],[PRN Med Discontinued]]&gt;AT$4,ISBLANK(Tbl_ResidentData[[#This Row],[PRN Med Discontinued]])))</f>
        <v>0</v>
      </c>
      <c r="BS18" s="129" t="b">
        <f ca="1">AND(Tbl_ResidentData[[#This Row],[PRN Med Started]]&lt;&gt;"",Tbl_ResidentData[[#This Row],[PRN Med Started]]&lt;=NOW(),Tbl_ResidentData[[#This Row],[PRN Med Started]]&lt;=AU$4,OR(Tbl_ResidentData[[#This Row],[PRN Med Discontinued]]&gt;AU$4,ISBLANK(Tbl_ResidentData[[#This Row],[PRN Med Discontinued]])))</f>
        <v>0</v>
      </c>
      <c r="BT18" s="129" t="b">
        <f ca="1">AND(Tbl_ResidentData[[#This Row],[PRN Med Started]]&lt;&gt;"",Tbl_ResidentData[[#This Row],[PRN Med Started]]&lt;=NOW(),Tbl_ResidentData[[#This Row],[PRN Med Started]]&lt;=AV$4,OR(Tbl_ResidentData[[#This Row],[PRN Med Discontinued]]&gt;AV$4,ISBLANK(Tbl_ResidentData[[#This Row],[PRN Med Discontinued]])))</f>
        <v>0</v>
      </c>
      <c r="BU18" s="129" t="b">
        <f ca="1">AND(Tbl_ResidentData[[#This Row],[PRN Med Started]]&lt;&gt;"",Tbl_ResidentData[[#This Row],[PRN Med Started]]&lt;=NOW(),Tbl_ResidentData[[#This Row],[PRN Med Started]]&lt;=AW$4,OR(Tbl_ResidentData[[#This Row],[PRN Med Discontinued]]&gt;AW$4,ISBLANK(Tbl_ResidentData[[#This Row],[PRN Med Discontinued]])))</f>
        <v>0</v>
      </c>
      <c r="BV18" s="129" t="b">
        <f ca="1">AND(Tbl_ResidentData[[#This Row],[PRN Med Started]]&lt;&gt;"",Tbl_ResidentData[[#This Row],[PRN Med Started]]&lt;=NOW(),Tbl_ResidentData[[#This Row],[PRN Med Started]]&lt;=AX$4,OR(Tbl_ResidentData[[#This Row],[PRN Med Discontinued]]&gt;AX$4,ISBLANK(Tbl_ResidentData[[#This Row],[PRN Med Discontinued]])))</f>
        <v>0</v>
      </c>
      <c r="BW18" s="129" t="b">
        <f ca="1">AND(Tbl_ResidentData[[#This Row],[PRN Med Started]]&lt;&gt;"",Tbl_ResidentData[[#This Row],[PRN Med Started]]&lt;=NOW(),Tbl_ResidentData[[#This Row],[PRN Med Started]]&lt;=AY$4,OR(Tbl_ResidentData[[#This Row],[PRN Med Discontinued]]&gt;AY$4,ISBLANK(Tbl_ResidentData[[#This Row],[PRN Med Discontinued]])))</f>
        <v>0</v>
      </c>
      <c r="BX18" s="129" t="b">
        <f ca="1">AND(Tbl_ResidentData[[#This Row],[PRN Med Started]]&lt;&gt;"",Tbl_ResidentData[[#This Row],[PRN Med Started]]&lt;=NOW(),Tbl_ResidentData[[#This Row],[PRN Med Started]]&lt;=AZ$4,OR(Tbl_ResidentData[[#This Row],[PRN Med Discontinued]]&gt;AZ$4,ISBLANK(Tbl_ResidentData[[#This Row],[PRN Med Discontinued]])))</f>
        <v>0</v>
      </c>
      <c r="BY18" s="129" t="b">
        <f ca="1">AND(Tbl_ResidentData[[#This Row],[PRN Med Started]]&lt;&gt;"",Tbl_ResidentData[[#This Row],[PRN Med Started]]&lt;=NOW(),Tbl_ResidentData[[#This Row],[PRN Med Started]]&lt;=BA$4,OR(Tbl_ResidentData[[#This Row],[PRN Med Discontinued]]&gt;BA$4,ISBLANK(Tbl_ResidentData[[#This Row],[PRN Med Discontinued]])))</f>
        <v>0</v>
      </c>
      <c r="BZ18" s="129" t="b">
        <f ca="1">AND(Tbl_ResidentData[[#This Row],[PRN Med Started]]&lt;&gt;"",Tbl_ResidentData[[#This Row],[PRN Med Started]]&lt;=NOW(),Tbl_ResidentData[[#This Row],[PRN Med Started]]&lt;=BB$4,OR(Tbl_ResidentData[[#This Row],[PRN Med Discontinued]]&gt;BB$4,ISBLANK(Tbl_ResidentData[[#This Row],[PRN Med Discontinued]])))</f>
        <v>0</v>
      </c>
      <c r="CA18" s="129" t="b">
        <f ca="1">AND(Tbl_ResidentData[[#This Row],[PRN Med Started]]&lt;&gt;"",Tbl_ResidentData[[#This Row],[PRN Med Started]]&lt;=NOW(),Tbl_ResidentData[[#This Row],[PRN Med Started]]&lt;=BC$4,OR(Tbl_ResidentData[[#This Row],[PRN Med Discontinued]]&gt;BC$4,ISBLANK(Tbl_ResidentData[[#This Row],[PRN Med Discontinued]])))</f>
        <v>0</v>
      </c>
      <c r="CB18" s="129" t="b">
        <f ca="1">AND(Tbl_ResidentData[[#This Row],[PRN Med Started]]&lt;&gt;"",Tbl_ResidentData[[#This Row],[PRN Med Started]]&lt;=NOW(),Tbl_ResidentData[[#This Row],[PRN Med Started]]&lt;=BD$4,OR(Tbl_ResidentData[[#This Row],[PRN Med Discontinued]]&gt;BD$4,ISBLANK(Tbl_ResidentData[[#This Row],[PRN Med Discontinued]])))</f>
        <v>0</v>
      </c>
      <c r="CC18" s="129" t="b">
        <f ca="1">AND(Tbl_ResidentData[[#This Row],[PRN Med Started]]&lt;&gt;"",Tbl_ResidentData[[#This Row],[PRN Med Started]]&lt;=NOW(),Tbl_ResidentData[[#This Row],[PRN Med Started]]&lt;=BE$4,OR(Tbl_ResidentData[[#This Row],[PRN Med Discontinued]]&gt;BE$4,ISBLANK(Tbl_ResidentData[[#This Row],[PRN Med Discontinued]])))</f>
        <v>0</v>
      </c>
      <c r="CD18" s="129" t="b">
        <f ca="1">AND(Tbl_ResidentData[[#This Row],[PRN Med Started]]&lt;&gt;"",Tbl_ResidentData[[#This Row],[PRN Med Started]]&lt;=NOW(),Tbl_ResidentData[[#This Row],[PRN Med Started]]&lt;=BF$4,OR(Tbl_ResidentData[[#This Row],[PRN Med Discontinued]]&gt;BF$4,ISBLANK(Tbl_ResidentData[[#This Row],[PRN Med Discontinued]])))</f>
        <v>0</v>
      </c>
      <c r="CE18" s="129" t="b">
        <f ca="1">AND(Tbl_ResidentData[[#This Row],[PRN Med Started]]&lt;&gt;"",Tbl_ResidentData[[#This Row],[PRN Med Started]]&lt;=NOW(),Tbl_ResidentData[[#This Row],[PRN Med Started]]&lt;=BG$4,OR(Tbl_ResidentData[[#This Row],[PRN Med Discontinued]]&gt;BG$4,ISBLANK(Tbl_ResidentData[[#This Row],[PRN Med Discontinued]])))</f>
        <v>0</v>
      </c>
      <c r="CF18" s="129" t="b">
        <f ca="1">AND(Tbl_ResidentData[[#This Row],[PRN Med Started]]&lt;&gt;"",Tbl_ResidentData[[#This Row],[PRN Med Started]]&lt;=NOW(),Tbl_ResidentData[[#This Row],[PRN Med Started]]&lt;=BH$4,OR(Tbl_ResidentData[[#This Row],[PRN Med Discontinued]]&gt;BH$4,ISBLANK(Tbl_ResidentData[[#This Row],[PRN Med Discontinued]])))</f>
        <v>0</v>
      </c>
      <c r="CG18" s="129" t="b">
        <f ca="1">AND(Tbl_ResidentData[[#This Row],[PRN Med Started]]&lt;&gt;"",Tbl_ResidentData[[#This Row],[PRN Med Started]]&lt;=NOW(),Tbl_ResidentData[[#This Row],[PRN Med Started]]&lt;=BI$4,OR(Tbl_ResidentData[[#This Row],[PRN Med Discontinued]]&gt;BI$4,ISBLANK(Tbl_ResidentData[[#This Row],[PRN Med Discontinued]])))</f>
        <v>0</v>
      </c>
      <c r="CH18" s="129" t="b">
        <f ca="1">AND(Tbl_ResidentData[[#This Row],[PRN Med Started]]&lt;&gt;"",Tbl_ResidentData[[#This Row],[PRN Med Started]]&lt;=NOW(),Tbl_ResidentData[[#This Row],[PRN Med Started]]&lt;=BJ$4,OR(Tbl_ResidentData[[#This Row],[PRN Med Discontinued]]&gt;BJ$4,ISBLANK(Tbl_ResidentData[[#This Row],[PRN Med Discontinued]])))</f>
        <v>0</v>
      </c>
      <c r="CI18" s="129" t="b">
        <f ca="1">AND(Tbl_ResidentData[[#This Row],[PRN Med Started]]&lt;&gt;"",Tbl_ResidentData[[#This Row],[PRN Med Started]]&lt;=NOW(),Tbl_ResidentData[[#This Row],[PRN Med Started]]&lt;=BK$4,OR(Tbl_ResidentData[[#This Row],[PRN Med Discontinued]]&gt;BK$4,ISBLANK(Tbl_ResidentData[[#This Row],[PRN Med Discontinued]])))</f>
        <v>0</v>
      </c>
      <c r="CJ18" s="129" t="b">
        <f ca="1">AND(Tbl_ResidentData[[#This Row],[PRN Med Started]]&lt;&gt;"",Tbl_ResidentData[[#This Row],[PRN Med Started]]&lt;=NOW(),Tbl_ResidentData[[#This Row],[PRN Med Started]]&lt;=BL$4,OR(Tbl_ResidentData[[#This Row],[PRN Med Discontinued]]&gt;BL$4,ISBLANK(Tbl_ResidentData[[#This Row],[PRN Med Discontinued]])))</f>
        <v>0</v>
      </c>
      <c r="CK18" s="129" t="b">
        <f ca="1">AND(Tbl_ResidentData[[#This Row],[PRN Med Started]]&lt;&gt;"",Tbl_ResidentData[[#This Row],[PRN Med Started]]&lt;=NOW(),Tbl_ResidentData[[#This Row],[PRN Med Started]]&lt;=BM$4,OR(Tbl_ResidentData[[#This Row],[PRN Med Discontinued]]&gt;BM$4,ISBLANK(Tbl_ResidentData[[#This Row],[PRN Med Discontinued]])))</f>
        <v>0</v>
      </c>
      <c r="CL18" s="129" t="b">
        <f ca="1">AND(Tbl_ResidentData[[#This Row],[PRN Med Started]]&lt;&gt;"",Tbl_ResidentData[[#This Row],[PRN Med Started]]&lt;=NOW(),Tbl_ResidentData[[#This Row],[PRN Med Started]]&lt;=BN$4,OR(Tbl_ResidentData[[#This Row],[PRN Med Discontinued]]&gt;BN$4,ISBLANK(Tbl_ResidentData[[#This Row],[PRN Med Discontinued]])))</f>
        <v>0</v>
      </c>
      <c r="CM18" s="121" t="b">
        <f ca="1">AND(Tbl_ResidentData[[#This Row],[PRN Med Started]]&lt;&gt;"",Tbl_ResidentData[[#This Row],[PRN Med Started]]&lt;=NOW(),Tbl_ResidentData[[#This Row],[PRN Med Started]]&lt;=BO$4,OR(Tbl_ResidentData[[#This Row],[PRN Med Discontinued]]&gt;BO$4,ISBLANK(Tbl_ResidentData[[#This Row],[PRN Med Discontinued]])))</f>
        <v>0</v>
      </c>
      <c r="CN18" s="122" t="b">
        <f ca="1">AND(Tbl_ResidentData[[#This Row],[PRN Med Started]]&lt;&gt;"",Tbl_ResidentData[[#This Row],[PRN Med Started]]&lt;=NOW(),Tbl_ResidentData[[#This Row],[PRN Med Started]]&lt;=BP$4,OR(Tbl_ResidentData[[#This Row],[PRN Med Discontinued]]&gt;BP$4,ISBLANK(Tbl_ResidentData[[#This Row],[PRN Med Discontinued]])))</f>
        <v>0</v>
      </c>
      <c r="CO18" s="120">
        <f ca="1">IF(OR(Tbl_ResidentData[[#This Row],[S1]]=TRUE,Tbl_ResidentData[[#This Row],[P1]]=TRUE),1,0)</f>
        <v>0</v>
      </c>
      <c r="CP18" s="121">
        <f ca="1">IF(OR(Tbl_ResidentData[[#This Row],[S2]]=TRUE,Tbl_ResidentData[[#This Row],[P2]]=TRUE),1,0)</f>
        <v>0</v>
      </c>
      <c r="CQ18" s="121">
        <f ca="1">IF(OR(Tbl_ResidentData[[#This Row],[S3]]=TRUE,Tbl_ResidentData[[#This Row],[P3]]=TRUE),1,0)</f>
        <v>0</v>
      </c>
      <c r="CR18" s="130">
        <f ca="1">IF(OR(Tbl_ResidentData[[#This Row],[S4]]=TRUE,Tbl_ResidentData[[#This Row],[P4]]=TRUE),1,0)</f>
        <v>0</v>
      </c>
      <c r="CS18" s="130">
        <f ca="1">IF(OR(Tbl_ResidentData[[#This Row],[S5]]=TRUE,Tbl_ResidentData[[#This Row],[P5]]=TRUE),1,0)</f>
        <v>0</v>
      </c>
      <c r="CT18" s="130">
        <f ca="1">IF(OR(Tbl_ResidentData[[#This Row],[S6]]=TRUE,Tbl_ResidentData[[#This Row],[P6]]=TRUE),1,0)</f>
        <v>0</v>
      </c>
      <c r="CU18" s="130">
        <f ca="1">IF(OR(Tbl_ResidentData[[#This Row],[S7]]=TRUE,Tbl_ResidentData[[#This Row],[P7]]=TRUE),1,0)</f>
        <v>0</v>
      </c>
      <c r="CV18" s="130">
        <f ca="1">IF(OR(Tbl_ResidentData[[#This Row],[S8]]=TRUE,Tbl_ResidentData[[#This Row],[P8]]=TRUE),1,0)</f>
        <v>0</v>
      </c>
      <c r="CW18" s="130">
        <f ca="1">IF(OR(Tbl_ResidentData[[#This Row],[S9]]=TRUE,Tbl_ResidentData[[#This Row],[P9]]=TRUE),1,0)</f>
        <v>0</v>
      </c>
      <c r="CX18" s="130">
        <f ca="1">IF(OR(Tbl_ResidentData[[#This Row],[S10]]=TRUE,Tbl_ResidentData[[#This Row],[P10]]=TRUE),1,0)</f>
        <v>0</v>
      </c>
      <c r="CY18" s="130">
        <f ca="1">IF(OR(Tbl_ResidentData[[#This Row],[S11]]=TRUE,Tbl_ResidentData[[#This Row],[P11]]=TRUE),1,0)</f>
        <v>0</v>
      </c>
      <c r="CZ18" s="130">
        <f ca="1">IF(OR(Tbl_ResidentData[[#This Row],[S12]]=TRUE,Tbl_ResidentData[[#This Row],[P12]]=TRUE),1,0)</f>
        <v>0</v>
      </c>
      <c r="DA18" s="130">
        <f ca="1">IF(OR(Tbl_ResidentData[[#This Row],[S13]]=TRUE,Tbl_ResidentData[[#This Row],[P13]]=TRUE),1,0)</f>
        <v>0</v>
      </c>
      <c r="DB18" s="130">
        <f ca="1">IF(OR(Tbl_ResidentData[[#This Row],[S14]]=TRUE,Tbl_ResidentData[[#This Row],[P14]]=TRUE),1,0)</f>
        <v>0</v>
      </c>
      <c r="DC18" s="130">
        <f ca="1">IF(OR(Tbl_ResidentData[[#This Row],[S15]]=TRUE,Tbl_ResidentData[[#This Row],[P15]]=TRUE),1,0)</f>
        <v>0</v>
      </c>
      <c r="DD18" s="130">
        <f ca="1">IF(OR(Tbl_ResidentData[[#This Row],[S16]]=TRUE,Tbl_ResidentData[[#This Row],[P16]]=TRUE),1,0)</f>
        <v>0</v>
      </c>
      <c r="DE18" s="130">
        <f ca="1">IF(OR(Tbl_ResidentData[[#This Row],[S17]]=TRUE,Tbl_ResidentData[[#This Row],[P17]]=TRUE),1,0)</f>
        <v>0</v>
      </c>
      <c r="DF18" s="130">
        <f ca="1">IF(OR(Tbl_ResidentData[[#This Row],[S18]]=TRUE,Tbl_ResidentData[[#This Row],[P18]]=TRUE),1,0)</f>
        <v>0</v>
      </c>
      <c r="DG18" s="130">
        <f ca="1">IF(OR(Tbl_ResidentData[[#This Row],[S19]]=TRUE,Tbl_ResidentData[[#This Row],[P19]]=TRUE),1,0)</f>
        <v>0</v>
      </c>
      <c r="DH18" s="130">
        <f ca="1">IF(OR(Tbl_ResidentData[[#This Row],[S20]]=TRUE,Tbl_ResidentData[[#This Row],[P20]]=TRUE),1,0)</f>
        <v>0</v>
      </c>
      <c r="DI18" s="130">
        <f ca="1">IF(OR(Tbl_ResidentData[[#This Row],[S21]]=TRUE,Tbl_ResidentData[[#This Row],[P21]]=TRUE),1,0)</f>
        <v>0</v>
      </c>
      <c r="DJ18" s="130">
        <f ca="1">IF(OR(Tbl_ResidentData[[#This Row],[S22]]=TRUE,Tbl_ResidentData[[#This Row],[P22]]=TRUE),1,0)</f>
        <v>0</v>
      </c>
      <c r="DK18" s="130">
        <f ca="1">IF(OR(Tbl_ResidentData[[#This Row],[S23]]=TRUE,Tbl_ResidentData[[#This Row],[P23]]=TRUE),1,0)</f>
        <v>0</v>
      </c>
      <c r="DL18" s="130">
        <f ca="1">IF(OR(Tbl_ResidentData[[#This Row],[S24]]=TRUE,Tbl_ResidentData[[#This Row],[P24]]=TRUE),1,0)</f>
        <v>0</v>
      </c>
      <c r="DM18" s="123" t="str">
        <f ca="1">IFERROR(INDEX($CO$4:$DL$4,MATCH(TRUE,INDEX((Tbl_ResidentData[[#This Row],[Over1]:[Over24]]&lt;&gt;0),0),0)),"")</f>
        <v/>
      </c>
      <c r="DN18" s="133" t="str">
        <f>IFERROR(INDEX(Tbl_PDSAData[Last DRT],MATCH(Tbl_ResidentData[Resident Name '[last, first']],Tbl_PDSAData[Resident Name (last, first)],0)),"")</f>
        <v/>
      </c>
      <c r="DO18" s="222" t="str">
        <f>IFERROR(INDEX(Tbl_PDSAData[Last MR],MATCH(Tbl_ResidentData[Resident Name '[last, first']],Tbl_PDSAData[Resident Name (last, first)],0)),"")</f>
        <v/>
      </c>
    </row>
    <row r="19" spans="1:119" x14ac:dyDescent="0.25">
      <c r="A19" s="179"/>
      <c r="B19" s="180"/>
      <c r="C19" s="180"/>
      <c r="D19" s="218"/>
      <c r="E19" s="179"/>
      <c r="F19" s="179"/>
      <c r="G19" s="181"/>
      <c r="H19" s="375"/>
      <c r="I19" s="186"/>
      <c r="J19" s="387"/>
      <c r="K19" s="178"/>
      <c r="L19" s="388"/>
      <c r="M19" s="187"/>
      <c r="N19" s="387"/>
      <c r="O19" s="178"/>
      <c r="P19" s="388"/>
      <c r="Q19" s="395"/>
      <c r="R19" s="396"/>
      <c r="S19" s="132" t="str">
        <f>IF(ISBLANK(Tbl_ResidentData[[#This Row],[Discharge '[mmm-yyyy']]]),IF(ISBLANK(Tbl_ResidentData[[#This Row],[Enrollment '[mmm-yyyy']]]),"","In Care Home"),"Discharged")</f>
        <v/>
      </c>
      <c r="T19" s="128" t="str">
        <f>IF(ISBLANK(Tbl_ResidentData[[#This Row],[Diagnosis (RAI)]]),IF(ISBLANK(Tbl_ResidentData[[#This Row],[Resident Name '[last, first']]]),"",0),IF(Tbl_ResidentData[[#This Row],[Diagnosis (RAI)]]="Other (see clinical notes)",0,1))</f>
        <v/>
      </c>
      <c r="U19" s="129" t="str">
        <f ca="1">IF(U$4&gt;NOW(),"-",IF(ISBLANK(Tbl_ResidentData[[#This Row],[Enrollment '[mmm-yyyy']]]),"-",AND((Tbl_ResidentData[[#This Row],[Enrollment '[mmm-yyyy']]]&lt;=U$4),IF(ISBLANK(Tbl_ResidentData[[#This Row],[Discharge '[mmm-yyyy']]]),TRUE,(Tbl_ResidentData[[#This Row],[Discharge '[mmm-yyyy']]]&gt;=U$4)))))</f>
        <v>-</v>
      </c>
      <c r="V19" s="121" t="str">
        <f ca="1">IF(V$4&gt;NOW(),"-",IF(ISBLANK(Tbl_ResidentData[[#This Row],[Enrollment '[mmm-yyyy']]]),"-",AND((Tbl_ResidentData[[#This Row],[Enrollment '[mmm-yyyy']]]&lt;=V$4),IF(ISBLANK(Tbl_ResidentData[[#This Row],[Discharge '[mmm-yyyy']]]),TRUE,(Tbl_ResidentData[[#This Row],[Discharge '[mmm-yyyy']]]&gt;=V$4)))))</f>
        <v>-</v>
      </c>
      <c r="W19" s="121" t="str">
        <f ca="1">IF(W$4&gt;NOW(),"-",IF(ISBLANK(Tbl_ResidentData[[#This Row],[Enrollment '[mmm-yyyy']]]),"-",AND((Tbl_ResidentData[[#This Row],[Enrollment '[mmm-yyyy']]]&lt;=W$4),IF(ISBLANK(Tbl_ResidentData[[#This Row],[Discharge '[mmm-yyyy']]]),TRUE,(Tbl_ResidentData[[#This Row],[Discharge '[mmm-yyyy']]]&gt;=W$4)))))</f>
        <v>-</v>
      </c>
      <c r="X19" s="121" t="str">
        <f ca="1">IF(X$4&gt;NOW(),"-",IF(ISBLANK(Tbl_ResidentData[[#This Row],[Enrollment '[mmm-yyyy']]]),"-",AND((Tbl_ResidentData[[#This Row],[Enrollment '[mmm-yyyy']]]&lt;=X$4),IF(ISBLANK(Tbl_ResidentData[[#This Row],[Discharge '[mmm-yyyy']]]),TRUE,(Tbl_ResidentData[[#This Row],[Discharge '[mmm-yyyy']]]&gt;=X$4)))))</f>
        <v>-</v>
      </c>
      <c r="Y19" s="121" t="str">
        <f ca="1">IF(Y$4&gt;NOW(),"-",IF(ISBLANK(Tbl_ResidentData[[#This Row],[Enrollment '[mmm-yyyy']]]),"-",AND((Tbl_ResidentData[[#This Row],[Enrollment '[mmm-yyyy']]]&lt;=Y$4),IF(ISBLANK(Tbl_ResidentData[[#This Row],[Discharge '[mmm-yyyy']]]),TRUE,(Tbl_ResidentData[[#This Row],[Discharge '[mmm-yyyy']]]&gt;=Y$4)))))</f>
        <v>-</v>
      </c>
      <c r="Z19" s="121" t="str">
        <f ca="1">IF(Z$4&gt;NOW(),"-",IF(ISBLANK(Tbl_ResidentData[[#This Row],[Enrollment '[mmm-yyyy']]]),"-",AND((Tbl_ResidentData[[#This Row],[Enrollment '[mmm-yyyy']]]&lt;=Z$4),IF(ISBLANK(Tbl_ResidentData[[#This Row],[Discharge '[mmm-yyyy']]]),TRUE,(Tbl_ResidentData[[#This Row],[Discharge '[mmm-yyyy']]]&gt;=Z$4)))))</f>
        <v>-</v>
      </c>
      <c r="AA19" s="121" t="str">
        <f ca="1">IF(AA$4&gt;NOW(),"-",IF(ISBLANK(Tbl_ResidentData[[#This Row],[Enrollment '[mmm-yyyy']]]),"-",AND((Tbl_ResidentData[[#This Row],[Enrollment '[mmm-yyyy']]]&lt;=AA$4),IF(ISBLANK(Tbl_ResidentData[[#This Row],[Discharge '[mmm-yyyy']]]),TRUE,(Tbl_ResidentData[[#This Row],[Discharge '[mmm-yyyy']]]&gt;=AA$4)))))</f>
        <v>-</v>
      </c>
      <c r="AB19" s="121" t="str">
        <f ca="1">IF(AB$4&gt;NOW(),"-",IF(ISBLANK(Tbl_ResidentData[[#This Row],[Enrollment '[mmm-yyyy']]]),"-",AND((Tbl_ResidentData[[#This Row],[Enrollment '[mmm-yyyy']]]&lt;=AB$4),IF(ISBLANK(Tbl_ResidentData[[#This Row],[Discharge '[mmm-yyyy']]]),TRUE,(Tbl_ResidentData[[#This Row],[Discharge '[mmm-yyyy']]]&gt;=AB$4)))))</f>
        <v>-</v>
      </c>
      <c r="AC19" s="121" t="str">
        <f ca="1">IF(AC$4&gt;NOW(),"-",IF(ISBLANK(Tbl_ResidentData[[#This Row],[Enrollment '[mmm-yyyy']]]),"-",AND((Tbl_ResidentData[[#This Row],[Enrollment '[mmm-yyyy']]]&lt;=AC$4),IF(ISBLANK(Tbl_ResidentData[[#This Row],[Discharge '[mmm-yyyy']]]),TRUE,(Tbl_ResidentData[[#This Row],[Discharge '[mmm-yyyy']]]&gt;=AC$4)))))</f>
        <v>-</v>
      </c>
      <c r="AD19" s="121" t="str">
        <f ca="1">IF(AD$4&gt;NOW(),"-",IF(ISBLANK(Tbl_ResidentData[[#This Row],[Enrollment '[mmm-yyyy']]]),"-",AND((Tbl_ResidentData[[#This Row],[Enrollment '[mmm-yyyy']]]&lt;=AD$4),IF(ISBLANK(Tbl_ResidentData[[#This Row],[Discharge '[mmm-yyyy']]]),TRUE,(Tbl_ResidentData[[#This Row],[Discharge '[mmm-yyyy']]]&gt;=AD$4)))))</f>
        <v>-</v>
      </c>
      <c r="AE19" s="121" t="str">
        <f ca="1">IF(AE$4&gt;NOW(),"-",IF(ISBLANK(Tbl_ResidentData[[#This Row],[Enrollment '[mmm-yyyy']]]),"-",AND((Tbl_ResidentData[[#This Row],[Enrollment '[mmm-yyyy']]]&lt;=AE$4),IF(ISBLANK(Tbl_ResidentData[[#This Row],[Discharge '[mmm-yyyy']]]),TRUE,(Tbl_ResidentData[[#This Row],[Discharge '[mmm-yyyy']]]&gt;=AE$4)))))</f>
        <v>-</v>
      </c>
      <c r="AF19" s="121" t="str">
        <f ca="1">IF(AF$4&gt;NOW(),"-",IF(ISBLANK(Tbl_ResidentData[[#This Row],[Enrollment '[mmm-yyyy']]]),"-",AND((Tbl_ResidentData[[#This Row],[Enrollment '[mmm-yyyy']]]&lt;=AF$4),IF(ISBLANK(Tbl_ResidentData[[#This Row],[Discharge '[mmm-yyyy']]]),TRUE,(Tbl_ResidentData[[#This Row],[Discharge '[mmm-yyyy']]]&gt;=AF$4)))))</f>
        <v>-</v>
      </c>
      <c r="AG19" s="121" t="str">
        <f ca="1">IF(AG$4&gt;NOW(),"-",IF(ISBLANK(Tbl_ResidentData[[#This Row],[Enrollment '[mmm-yyyy']]]),"-",AND((Tbl_ResidentData[[#This Row],[Enrollment '[mmm-yyyy']]]&lt;=AG$4),IF(ISBLANK(Tbl_ResidentData[[#This Row],[Discharge '[mmm-yyyy']]]),TRUE,(Tbl_ResidentData[[#This Row],[Discharge '[mmm-yyyy']]]&gt;=AG$4)))))</f>
        <v>-</v>
      </c>
      <c r="AH19" s="121" t="str">
        <f ca="1">IF(AH$4&gt;NOW(),"-",IF(ISBLANK(Tbl_ResidentData[[#This Row],[Enrollment '[mmm-yyyy']]]),"-",AND((Tbl_ResidentData[[#This Row],[Enrollment '[mmm-yyyy']]]&lt;=AH$4),IF(ISBLANK(Tbl_ResidentData[[#This Row],[Discharge '[mmm-yyyy']]]),TRUE,(Tbl_ResidentData[[#This Row],[Discharge '[mmm-yyyy']]]&gt;=AH$4)))))</f>
        <v>-</v>
      </c>
      <c r="AI19" s="121" t="str">
        <f ca="1">IF(AI$4&gt;NOW(),"-",IF(ISBLANK(Tbl_ResidentData[[#This Row],[Enrollment '[mmm-yyyy']]]),"-",AND((Tbl_ResidentData[[#This Row],[Enrollment '[mmm-yyyy']]]&lt;=AI$4),IF(ISBLANK(Tbl_ResidentData[[#This Row],[Discharge '[mmm-yyyy']]]),TRUE,(Tbl_ResidentData[[#This Row],[Discharge '[mmm-yyyy']]]&gt;=AI$4)))))</f>
        <v>-</v>
      </c>
      <c r="AJ19" s="121" t="str">
        <f ca="1">IF(AJ$4&gt;NOW(),"-",IF(ISBLANK(Tbl_ResidentData[[#This Row],[Enrollment '[mmm-yyyy']]]),"-",AND((Tbl_ResidentData[[#This Row],[Enrollment '[mmm-yyyy']]]&lt;=AJ$4),IF(ISBLANK(Tbl_ResidentData[[#This Row],[Discharge '[mmm-yyyy']]]),TRUE,(Tbl_ResidentData[[#This Row],[Discharge '[mmm-yyyy']]]&gt;=AJ$4)))))</f>
        <v>-</v>
      </c>
      <c r="AK19" s="121" t="str">
        <f ca="1">IF(AK$4&gt;NOW(),"-",IF(ISBLANK(Tbl_ResidentData[[#This Row],[Enrollment '[mmm-yyyy']]]),"-",AND((Tbl_ResidentData[[#This Row],[Enrollment '[mmm-yyyy']]]&lt;=AK$4),IF(ISBLANK(Tbl_ResidentData[[#This Row],[Discharge '[mmm-yyyy']]]),TRUE,(Tbl_ResidentData[[#This Row],[Discharge '[mmm-yyyy']]]&gt;=AK$4)))))</f>
        <v>-</v>
      </c>
      <c r="AL19" s="121" t="str">
        <f ca="1">IF(AL$4&gt;NOW(),"-",IF(ISBLANK(Tbl_ResidentData[[#This Row],[Enrollment '[mmm-yyyy']]]),"-",AND((Tbl_ResidentData[[#This Row],[Enrollment '[mmm-yyyy']]]&lt;=AL$4),IF(ISBLANK(Tbl_ResidentData[[#This Row],[Discharge '[mmm-yyyy']]]),TRUE,(Tbl_ResidentData[[#This Row],[Discharge '[mmm-yyyy']]]&gt;=AL$4)))))</f>
        <v>-</v>
      </c>
      <c r="AM19" s="121" t="str">
        <f ca="1">IF(AM$4&gt;NOW(),"-",IF(ISBLANK(Tbl_ResidentData[[#This Row],[Enrollment '[mmm-yyyy']]]),"-",AND((Tbl_ResidentData[[#This Row],[Enrollment '[mmm-yyyy']]]&lt;=AM$4),IF(ISBLANK(Tbl_ResidentData[[#This Row],[Discharge '[mmm-yyyy']]]),TRUE,(Tbl_ResidentData[[#This Row],[Discharge '[mmm-yyyy']]]&gt;=AM$4)))))</f>
        <v>-</v>
      </c>
      <c r="AN19" s="121" t="str">
        <f ca="1">IF(AN$4&gt;NOW(),"-",IF(ISBLANK(Tbl_ResidentData[[#This Row],[Enrollment '[mmm-yyyy']]]),"-",AND((Tbl_ResidentData[[#This Row],[Enrollment '[mmm-yyyy']]]&lt;=AN$4),IF(ISBLANK(Tbl_ResidentData[[#This Row],[Discharge '[mmm-yyyy']]]),TRUE,(Tbl_ResidentData[[#This Row],[Discharge '[mmm-yyyy']]]&gt;=AN$4)))))</f>
        <v>-</v>
      </c>
      <c r="AO19" s="121" t="str">
        <f ca="1">IF(AO$4&gt;NOW(),"-",IF(ISBLANK(Tbl_ResidentData[[#This Row],[Enrollment '[mmm-yyyy']]]),"-",AND((Tbl_ResidentData[[#This Row],[Enrollment '[mmm-yyyy']]]&lt;=AO$4),IF(ISBLANK(Tbl_ResidentData[[#This Row],[Discharge '[mmm-yyyy']]]),TRUE,(Tbl_ResidentData[[#This Row],[Discharge '[mmm-yyyy']]]&gt;=AO$4)))))</f>
        <v>-</v>
      </c>
      <c r="AP19" s="121" t="str">
        <f ca="1">IF(AP$4&gt;NOW(),"-",IF(ISBLANK(Tbl_ResidentData[[#This Row],[Enrollment '[mmm-yyyy']]]),"-",AND((Tbl_ResidentData[[#This Row],[Enrollment '[mmm-yyyy']]]&lt;=AP$4),IF(ISBLANK(Tbl_ResidentData[[#This Row],[Discharge '[mmm-yyyy']]]),TRUE,(Tbl_ResidentData[[#This Row],[Discharge '[mmm-yyyy']]]&gt;=AP$4)))))</f>
        <v>-</v>
      </c>
      <c r="AQ19" s="121" t="str">
        <f ca="1">IF(AQ$4&gt;NOW(),"-",IF(ISBLANK(Tbl_ResidentData[[#This Row],[Enrollment '[mmm-yyyy']]]),"-",AND((Tbl_ResidentData[[#This Row],[Enrollment '[mmm-yyyy']]]&lt;=AQ$4),IF(ISBLANK(Tbl_ResidentData[[#This Row],[Discharge '[mmm-yyyy']]]),TRUE,(Tbl_ResidentData[[#This Row],[Discharge '[mmm-yyyy']]]&gt;=AQ$4)))))</f>
        <v>-</v>
      </c>
      <c r="AR19" s="122" t="str">
        <f ca="1">IF(AR$4&gt;NOW(),"-",IF(ISBLANK(Tbl_ResidentData[[#This Row],[Enrollment '[mmm-yyyy']]]),"-",AND((Tbl_ResidentData[[#This Row],[Enrollment '[mmm-yyyy']]]&lt;=AR$4),IF(ISBLANK(Tbl_ResidentData[[#This Row],[Discharge '[mmm-yyyy']]]),TRUE,(Tbl_ResidentData[[#This Row],[Discharge '[mmm-yyyy']]]&gt;=AR$4)))))</f>
        <v>-</v>
      </c>
      <c r="AS1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 s="120" t="b">
        <f ca="1">AND(Tbl_ResidentData[[#This Row],[PRN Med Started]]&lt;&gt;"",Tbl_ResidentData[[#This Row],[PRN Med Started]]&lt;=NOW(),Tbl_ResidentData[[#This Row],[PRN Med Started]]&lt;=AS$4,OR(Tbl_ResidentData[[#This Row],[PRN Med Discontinued]]&gt;AS$4,ISBLANK(Tbl_ResidentData[[#This Row],[PRN Med Discontinued]])))</f>
        <v>0</v>
      </c>
      <c r="BR19" s="121" t="b">
        <f ca="1">AND(Tbl_ResidentData[[#This Row],[PRN Med Started]]&lt;&gt;"",Tbl_ResidentData[[#This Row],[PRN Med Started]]&lt;=NOW(),Tbl_ResidentData[[#This Row],[PRN Med Started]]&lt;=AT$4,OR(Tbl_ResidentData[[#This Row],[PRN Med Discontinued]]&gt;AT$4,ISBLANK(Tbl_ResidentData[[#This Row],[PRN Med Discontinued]])))</f>
        <v>0</v>
      </c>
      <c r="BS19" s="129" t="b">
        <f ca="1">AND(Tbl_ResidentData[[#This Row],[PRN Med Started]]&lt;&gt;"",Tbl_ResidentData[[#This Row],[PRN Med Started]]&lt;=NOW(),Tbl_ResidentData[[#This Row],[PRN Med Started]]&lt;=AU$4,OR(Tbl_ResidentData[[#This Row],[PRN Med Discontinued]]&gt;AU$4,ISBLANK(Tbl_ResidentData[[#This Row],[PRN Med Discontinued]])))</f>
        <v>0</v>
      </c>
      <c r="BT19" s="129" t="b">
        <f ca="1">AND(Tbl_ResidentData[[#This Row],[PRN Med Started]]&lt;&gt;"",Tbl_ResidentData[[#This Row],[PRN Med Started]]&lt;=NOW(),Tbl_ResidentData[[#This Row],[PRN Med Started]]&lt;=AV$4,OR(Tbl_ResidentData[[#This Row],[PRN Med Discontinued]]&gt;AV$4,ISBLANK(Tbl_ResidentData[[#This Row],[PRN Med Discontinued]])))</f>
        <v>0</v>
      </c>
      <c r="BU19" s="129" t="b">
        <f ca="1">AND(Tbl_ResidentData[[#This Row],[PRN Med Started]]&lt;&gt;"",Tbl_ResidentData[[#This Row],[PRN Med Started]]&lt;=NOW(),Tbl_ResidentData[[#This Row],[PRN Med Started]]&lt;=AW$4,OR(Tbl_ResidentData[[#This Row],[PRN Med Discontinued]]&gt;AW$4,ISBLANK(Tbl_ResidentData[[#This Row],[PRN Med Discontinued]])))</f>
        <v>0</v>
      </c>
      <c r="BV19" s="129" t="b">
        <f ca="1">AND(Tbl_ResidentData[[#This Row],[PRN Med Started]]&lt;&gt;"",Tbl_ResidentData[[#This Row],[PRN Med Started]]&lt;=NOW(),Tbl_ResidentData[[#This Row],[PRN Med Started]]&lt;=AX$4,OR(Tbl_ResidentData[[#This Row],[PRN Med Discontinued]]&gt;AX$4,ISBLANK(Tbl_ResidentData[[#This Row],[PRN Med Discontinued]])))</f>
        <v>0</v>
      </c>
      <c r="BW19" s="129" t="b">
        <f ca="1">AND(Tbl_ResidentData[[#This Row],[PRN Med Started]]&lt;&gt;"",Tbl_ResidentData[[#This Row],[PRN Med Started]]&lt;=NOW(),Tbl_ResidentData[[#This Row],[PRN Med Started]]&lt;=AY$4,OR(Tbl_ResidentData[[#This Row],[PRN Med Discontinued]]&gt;AY$4,ISBLANK(Tbl_ResidentData[[#This Row],[PRN Med Discontinued]])))</f>
        <v>0</v>
      </c>
      <c r="BX19" s="129" t="b">
        <f ca="1">AND(Tbl_ResidentData[[#This Row],[PRN Med Started]]&lt;&gt;"",Tbl_ResidentData[[#This Row],[PRN Med Started]]&lt;=NOW(),Tbl_ResidentData[[#This Row],[PRN Med Started]]&lt;=AZ$4,OR(Tbl_ResidentData[[#This Row],[PRN Med Discontinued]]&gt;AZ$4,ISBLANK(Tbl_ResidentData[[#This Row],[PRN Med Discontinued]])))</f>
        <v>0</v>
      </c>
      <c r="BY19" s="129" t="b">
        <f ca="1">AND(Tbl_ResidentData[[#This Row],[PRN Med Started]]&lt;&gt;"",Tbl_ResidentData[[#This Row],[PRN Med Started]]&lt;=NOW(),Tbl_ResidentData[[#This Row],[PRN Med Started]]&lt;=BA$4,OR(Tbl_ResidentData[[#This Row],[PRN Med Discontinued]]&gt;BA$4,ISBLANK(Tbl_ResidentData[[#This Row],[PRN Med Discontinued]])))</f>
        <v>0</v>
      </c>
      <c r="BZ19" s="129" t="b">
        <f ca="1">AND(Tbl_ResidentData[[#This Row],[PRN Med Started]]&lt;&gt;"",Tbl_ResidentData[[#This Row],[PRN Med Started]]&lt;=NOW(),Tbl_ResidentData[[#This Row],[PRN Med Started]]&lt;=BB$4,OR(Tbl_ResidentData[[#This Row],[PRN Med Discontinued]]&gt;BB$4,ISBLANK(Tbl_ResidentData[[#This Row],[PRN Med Discontinued]])))</f>
        <v>0</v>
      </c>
      <c r="CA19" s="129" t="b">
        <f ca="1">AND(Tbl_ResidentData[[#This Row],[PRN Med Started]]&lt;&gt;"",Tbl_ResidentData[[#This Row],[PRN Med Started]]&lt;=NOW(),Tbl_ResidentData[[#This Row],[PRN Med Started]]&lt;=BC$4,OR(Tbl_ResidentData[[#This Row],[PRN Med Discontinued]]&gt;BC$4,ISBLANK(Tbl_ResidentData[[#This Row],[PRN Med Discontinued]])))</f>
        <v>0</v>
      </c>
      <c r="CB19" s="129" t="b">
        <f ca="1">AND(Tbl_ResidentData[[#This Row],[PRN Med Started]]&lt;&gt;"",Tbl_ResidentData[[#This Row],[PRN Med Started]]&lt;=NOW(),Tbl_ResidentData[[#This Row],[PRN Med Started]]&lt;=BD$4,OR(Tbl_ResidentData[[#This Row],[PRN Med Discontinued]]&gt;BD$4,ISBLANK(Tbl_ResidentData[[#This Row],[PRN Med Discontinued]])))</f>
        <v>0</v>
      </c>
      <c r="CC19" s="129" t="b">
        <f ca="1">AND(Tbl_ResidentData[[#This Row],[PRN Med Started]]&lt;&gt;"",Tbl_ResidentData[[#This Row],[PRN Med Started]]&lt;=NOW(),Tbl_ResidentData[[#This Row],[PRN Med Started]]&lt;=BE$4,OR(Tbl_ResidentData[[#This Row],[PRN Med Discontinued]]&gt;BE$4,ISBLANK(Tbl_ResidentData[[#This Row],[PRN Med Discontinued]])))</f>
        <v>0</v>
      </c>
      <c r="CD19" s="129" t="b">
        <f ca="1">AND(Tbl_ResidentData[[#This Row],[PRN Med Started]]&lt;&gt;"",Tbl_ResidentData[[#This Row],[PRN Med Started]]&lt;=NOW(),Tbl_ResidentData[[#This Row],[PRN Med Started]]&lt;=BF$4,OR(Tbl_ResidentData[[#This Row],[PRN Med Discontinued]]&gt;BF$4,ISBLANK(Tbl_ResidentData[[#This Row],[PRN Med Discontinued]])))</f>
        <v>0</v>
      </c>
      <c r="CE19" s="129" t="b">
        <f ca="1">AND(Tbl_ResidentData[[#This Row],[PRN Med Started]]&lt;&gt;"",Tbl_ResidentData[[#This Row],[PRN Med Started]]&lt;=NOW(),Tbl_ResidentData[[#This Row],[PRN Med Started]]&lt;=BG$4,OR(Tbl_ResidentData[[#This Row],[PRN Med Discontinued]]&gt;BG$4,ISBLANK(Tbl_ResidentData[[#This Row],[PRN Med Discontinued]])))</f>
        <v>0</v>
      </c>
      <c r="CF19" s="129" t="b">
        <f ca="1">AND(Tbl_ResidentData[[#This Row],[PRN Med Started]]&lt;&gt;"",Tbl_ResidentData[[#This Row],[PRN Med Started]]&lt;=NOW(),Tbl_ResidentData[[#This Row],[PRN Med Started]]&lt;=BH$4,OR(Tbl_ResidentData[[#This Row],[PRN Med Discontinued]]&gt;BH$4,ISBLANK(Tbl_ResidentData[[#This Row],[PRN Med Discontinued]])))</f>
        <v>0</v>
      </c>
      <c r="CG19" s="129" t="b">
        <f ca="1">AND(Tbl_ResidentData[[#This Row],[PRN Med Started]]&lt;&gt;"",Tbl_ResidentData[[#This Row],[PRN Med Started]]&lt;=NOW(),Tbl_ResidentData[[#This Row],[PRN Med Started]]&lt;=BI$4,OR(Tbl_ResidentData[[#This Row],[PRN Med Discontinued]]&gt;BI$4,ISBLANK(Tbl_ResidentData[[#This Row],[PRN Med Discontinued]])))</f>
        <v>0</v>
      </c>
      <c r="CH19" s="129" t="b">
        <f ca="1">AND(Tbl_ResidentData[[#This Row],[PRN Med Started]]&lt;&gt;"",Tbl_ResidentData[[#This Row],[PRN Med Started]]&lt;=NOW(),Tbl_ResidentData[[#This Row],[PRN Med Started]]&lt;=BJ$4,OR(Tbl_ResidentData[[#This Row],[PRN Med Discontinued]]&gt;BJ$4,ISBLANK(Tbl_ResidentData[[#This Row],[PRN Med Discontinued]])))</f>
        <v>0</v>
      </c>
      <c r="CI19" s="129" t="b">
        <f ca="1">AND(Tbl_ResidentData[[#This Row],[PRN Med Started]]&lt;&gt;"",Tbl_ResidentData[[#This Row],[PRN Med Started]]&lt;=NOW(),Tbl_ResidentData[[#This Row],[PRN Med Started]]&lt;=BK$4,OR(Tbl_ResidentData[[#This Row],[PRN Med Discontinued]]&gt;BK$4,ISBLANK(Tbl_ResidentData[[#This Row],[PRN Med Discontinued]])))</f>
        <v>0</v>
      </c>
      <c r="CJ19" s="129" t="b">
        <f ca="1">AND(Tbl_ResidentData[[#This Row],[PRN Med Started]]&lt;&gt;"",Tbl_ResidentData[[#This Row],[PRN Med Started]]&lt;=NOW(),Tbl_ResidentData[[#This Row],[PRN Med Started]]&lt;=BL$4,OR(Tbl_ResidentData[[#This Row],[PRN Med Discontinued]]&gt;BL$4,ISBLANK(Tbl_ResidentData[[#This Row],[PRN Med Discontinued]])))</f>
        <v>0</v>
      </c>
      <c r="CK19" s="129" t="b">
        <f ca="1">AND(Tbl_ResidentData[[#This Row],[PRN Med Started]]&lt;&gt;"",Tbl_ResidentData[[#This Row],[PRN Med Started]]&lt;=NOW(),Tbl_ResidentData[[#This Row],[PRN Med Started]]&lt;=BM$4,OR(Tbl_ResidentData[[#This Row],[PRN Med Discontinued]]&gt;BM$4,ISBLANK(Tbl_ResidentData[[#This Row],[PRN Med Discontinued]])))</f>
        <v>0</v>
      </c>
      <c r="CL19" s="129" t="b">
        <f ca="1">AND(Tbl_ResidentData[[#This Row],[PRN Med Started]]&lt;&gt;"",Tbl_ResidentData[[#This Row],[PRN Med Started]]&lt;=NOW(),Tbl_ResidentData[[#This Row],[PRN Med Started]]&lt;=BN$4,OR(Tbl_ResidentData[[#This Row],[PRN Med Discontinued]]&gt;BN$4,ISBLANK(Tbl_ResidentData[[#This Row],[PRN Med Discontinued]])))</f>
        <v>0</v>
      </c>
      <c r="CM19" s="121" t="b">
        <f ca="1">AND(Tbl_ResidentData[[#This Row],[PRN Med Started]]&lt;&gt;"",Tbl_ResidentData[[#This Row],[PRN Med Started]]&lt;=NOW(),Tbl_ResidentData[[#This Row],[PRN Med Started]]&lt;=BO$4,OR(Tbl_ResidentData[[#This Row],[PRN Med Discontinued]]&gt;BO$4,ISBLANK(Tbl_ResidentData[[#This Row],[PRN Med Discontinued]])))</f>
        <v>0</v>
      </c>
      <c r="CN19" s="122" t="b">
        <f ca="1">AND(Tbl_ResidentData[[#This Row],[PRN Med Started]]&lt;&gt;"",Tbl_ResidentData[[#This Row],[PRN Med Started]]&lt;=NOW(),Tbl_ResidentData[[#This Row],[PRN Med Started]]&lt;=BP$4,OR(Tbl_ResidentData[[#This Row],[PRN Med Discontinued]]&gt;BP$4,ISBLANK(Tbl_ResidentData[[#This Row],[PRN Med Discontinued]])))</f>
        <v>0</v>
      </c>
      <c r="CO19" s="120">
        <f ca="1">IF(OR(Tbl_ResidentData[[#This Row],[S1]]=TRUE,Tbl_ResidentData[[#This Row],[P1]]=TRUE),1,0)</f>
        <v>0</v>
      </c>
      <c r="CP19" s="121">
        <f ca="1">IF(OR(Tbl_ResidentData[[#This Row],[S2]]=TRUE,Tbl_ResidentData[[#This Row],[P2]]=TRUE),1,0)</f>
        <v>0</v>
      </c>
      <c r="CQ19" s="121">
        <f ca="1">IF(OR(Tbl_ResidentData[[#This Row],[S3]]=TRUE,Tbl_ResidentData[[#This Row],[P3]]=TRUE),1,0)</f>
        <v>0</v>
      </c>
      <c r="CR19" s="130">
        <f ca="1">IF(OR(Tbl_ResidentData[[#This Row],[S4]]=TRUE,Tbl_ResidentData[[#This Row],[P4]]=TRUE),1,0)</f>
        <v>0</v>
      </c>
      <c r="CS19" s="130">
        <f ca="1">IF(OR(Tbl_ResidentData[[#This Row],[S5]]=TRUE,Tbl_ResidentData[[#This Row],[P5]]=TRUE),1,0)</f>
        <v>0</v>
      </c>
      <c r="CT19" s="130">
        <f ca="1">IF(OR(Tbl_ResidentData[[#This Row],[S6]]=TRUE,Tbl_ResidentData[[#This Row],[P6]]=TRUE),1,0)</f>
        <v>0</v>
      </c>
      <c r="CU19" s="130">
        <f ca="1">IF(OR(Tbl_ResidentData[[#This Row],[S7]]=TRUE,Tbl_ResidentData[[#This Row],[P7]]=TRUE),1,0)</f>
        <v>0</v>
      </c>
      <c r="CV19" s="130">
        <f ca="1">IF(OR(Tbl_ResidentData[[#This Row],[S8]]=TRUE,Tbl_ResidentData[[#This Row],[P8]]=TRUE),1,0)</f>
        <v>0</v>
      </c>
      <c r="CW19" s="130">
        <f ca="1">IF(OR(Tbl_ResidentData[[#This Row],[S9]]=TRUE,Tbl_ResidentData[[#This Row],[P9]]=TRUE),1,0)</f>
        <v>0</v>
      </c>
      <c r="CX19" s="130">
        <f ca="1">IF(OR(Tbl_ResidentData[[#This Row],[S10]]=TRUE,Tbl_ResidentData[[#This Row],[P10]]=TRUE),1,0)</f>
        <v>0</v>
      </c>
      <c r="CY19" s="130">
        <f ca="1">IF(OR(Tbl_ResidentData[[#This Row],[S11]]=TRUE,Tbl_ResidentData[[#This Row],[P11]]=TRUE),1,0)</f>
        <v>0</v>
      </c>
      <c r="CZ19" s="130">
        <f ca="1">IF(OR(Tbl_ResidentData[[#This Row],[S12]]=TRUE,Tbl_ResidentData[[#This Row],[P12]]=TRUE),1,0)</f>
        <v>0</v>
      </c>
      <c r="DA19" s="130">
        <f ca="1">IF(OR(Tbl_ResidentData[[#This Row],[S13]]=TRUE,Tbl_ResidentData[[#This Row],[P13]]=TRUE),1,0)</f>
        <v>0</v>
      </c>
      <c r="DB19" s="130">
        <f ca="1">IF(OR(Tbl_ResidentData[[#This Row],[S14]]=TRUE,Tbl_ResidentData[[#This Row],[P14]]=TRUE),1,0)</f>
        <v>0</v>
      </c>
      <c r="DC19" s="130">
        <f ca="1">IF(OR(Tbl_ResidentData[[#This Row],[S15]]=TRUE,Tbl_ResidentData[[#This Row],[P15]]=TRUE),1,0)</f>
        <v>0</v>
      </c>
      <c r="DD19" s="130">
        <f ca="1">IF(OR(Tbl_ResidentData[[#This Row],[S16]]=TRUE,Tbl_ResidentData[[#This Row],[P16]]=TRUE),1,0)</f>
        <v>0</v>
      </c>
      <c r="DE19" s="130">
        <f ca="1">IF(OR(Tbl_ResidentData[[#This Row],[S17]]=TRUE,Tbl_ResidentData[[#This Row],[P17]]=TRUE),1,0)</f>
        <v>0</v>
      </c>
      <c r="DF19" s="130">
        <f ca="1">IF(OR(Tbl_ResidentData[[#This Row],[S18]]=TRUE,Tbl_ResidentData[[#This Row],[P18]]=TRUE),1,0)</f>
        <v>0</v>
      </c>
      <c r="DG19" s="130">
        <f ca="1">IF(OR(Tbl_ResidentData[[#This Row],[S19]]=TRUE,Tbl_ResidentData[[#This Row],[P19]]=TRUE),1,0)</f>
        <v>0</v>
      </c>
      <c r="DH19" s="130">
        <f ca="1">IF(OR(Tbl_ResidentData[[#This Row],[S20]]=TRUE,Tbl_ResidentData[[#This Row],[P20]]=TRUE),1,0)</f>
        <v>0</v>
      </c>
      <c r="DI19" s="130">
        <f ca="1">IF(OR(Tbl_ResidentData[[#This Row],[S21]]=TRUE,Tbl_ResidentData[[#This Row],[P21]]=TRUE),1,0)</f>
        <v>0</v>
      </c>
      <c r="DJ19" s="130">
        <f ca="1">IF(OR(Tbl_ResidentData[[#This Row],[S22]]=TRUE,Tbl_ResidentData[[#This Row],[P22]]=TRUE),1,0)</f>
        <v>0</v>
      </c>
      <c r="DK19" s="130">
        <f ca="1">IF(OR(Tbl_ResidentData[[#This Row],[S23]]=TRUE,Tbl_ResidentData[[#This Row],[P23]]=TRUE),1,0)</f>
        <v>0</v>
      </c>
      <c r="DL19" s="130">
        <f ca="1">IF(OR(Tbl_ResidentData[[#This Row],[S24]]=TRUE,Tbl_ResidentData[[#This Row],[P24]]=TRUE),1,0)</f>
        <v>0</v>
      </c>
      <c r="DM19" s="123" t="str">
        <f ca="1">IFERROR(INDEX($CO$4:$DL$4,MATCH(TRUE,INDEX((Tbl_ResidentData[[#This Row],[Over1]:[Over24]]&lt;&gt;0),0),0)),"")</f>
        <v/>
      </c>
      <c r="DN19" s="133" t="str">
        <f>IFERROR(INDEX(Tbl_PDSAData[Last DRT],MATCH(Tbl_ResidentData[Resident Name '[last, first']],Tbl_PDSAData[Resident Name (last, first)],0)),"")</f>
        <v/>
      </c>
      <c r="DO19" s="222" t="str">
        <f>IFERROR(INDEX(Tbl_PDSAData[Last MR],MATCH(Tbl_ResidentData[Resident Name '[last, first']],Tbl_PDSAData[Resident Name (last, first)],0)),"")</f>
        <v/>
      </c>
    </row>
    <row r="20" spans="1:119" x14ac:dyDescent="0.25">
      <c r="A20" s="179"/>
      <c r="B20" s="180"/>
      <c r="C20" s="180"/>
      <c r="D20" s="218"/>
      <c r="E20" s="179"/>
      <c r="F20" s="181"/>
      <c r="G20" s="181"/>
      <c r="H20" s="375"/>
      <c r="I20" s="185"/>
      <c r="J20" s="387"/>
      <c r="K20" s="178"/>
      <c r="L20" s="388"/>
      <c r="M20" s="185"/>
      <c r="N20" s="386"/>
      <c r="O20" s="178"/>
      <c r="P20" s="388"/>
      <c r="Q20" s="394"/>
      <c r="R20" s="388"/>
      <c r="S20" s="131" t="str">
        <f>IF(ISBLANK(Tbl_ResidentData[[#This Row],[Discharge '[mmm-yyyy']]]),IF(ISBLANK(Tbl_ResidentData[[#This Row],[Enrollment '[mmm-yyyy']]]),"","In Care Home"),"Discharged")</f>
        <v/>
      </c>
      <c r="T20" s="119" t="str">
        <f>IF(ISBLANK(Tbl_ResidentData[[#This Row],[Diagnosis (RAI)]]),IF(ISBLANK(Tbl_ResidentData[[#This Row],[Resident Name '[last, first']]]),"",0),IF(Tbl_ResidentData[[#This Row],[Diagnosis (RAI)]]="Other (see clinical notes)",0,1))</f>
        <v/>
      </c>
      <c r="U20" s="120" t="str">
        <f ca="1">IF(U$4&gt;NOW(),"-",IF(ISBLANK(Tbl_ResidentData[[#This Row],[Enrollment '[mmm-yyyy']]]),"-",AND((Tbl_ResidentData[[#This Row],[Enrollment '[mmm-yyyy']]]&lt;=U$4),IF(ISBLANK(Tbl_ResidentData[[#This Row],[Discharge '[mmm-yyyy']]]),TRUE,(Tbl_ResidentData[[#This Row],[Discharge '[mmm-yyyy']]]&gt;=U$4)))))</f>
        <v>-</v>
      </c>
      <c r="V20" s="121" t="str">
        <f ca="1">IF(V$4&gt;NOW(),"-",IF(ISBLANK(Tbl_ResidentData[[#This Row],[Enrollment '[mmm-yyyy']]]),"-",AND((Tbl_ResidentData[[#This Row],[Enrollment '[mmm-yyyy']]]&lt;=V$4),IF(ISBLANK(Tbl_ResidentData[[#This Row],[Discharge '[mmm-yyyy']]]),TRUE,(Tbl_ResidentData[[#This Row],[Discharge '[mmm-yyyy']]]&gt;=V$4)))))</f>
        <v>-</v>
      </c>
      <c r="W20" s="121" t="str">
        <f ca="1">IF(W$4&gt;NOW(),"-",IF(ISBLANK(Tbl_ResidentData[[#This Row],[Enrollment '[mmm-yyyy']]]),"-",AND((Tbl_ResidentData[[#This Row],[Enrollment '[mmm-yyyy']]]&lt;=W$4),IF(ISBLANK(Tbl_ResidentData[[#This Row],[Discharge '[mmm-yyyy']]]),TRUE,(Tbl_ResidentData[[#This Row],[Discharge '[mmm-yyyy']]]&gt;=W$4)))))</f>
        <v>-</v>
      </c>
      <c r="X20" s="121" t="str">
        <f ca="1">IF(X$4&gt;NOW(),"-",IF(ISBLANK(Tbl_ResidentData[[#This Row],[Enrollment '[mmm-yyyy']]]),"-",AND((Tbl_ResidentData[[#This Row],[Enrollment '[mmm-yyyy']]]&lt;=X$4),IF(ISBLANK(Tbl_ResidentData[[#This Row],[Discharge '[mmm-yyyy']]]),TRUE,(Tbl_ResidentData[[#This Row],[Discharge '[mmm-yyyy']]]&gt;=X$4)))))</f>
        <v>-</v>
      </c>
      <c r="Y20" s="121" t="str">
        <f ca="1">IF(Y$4&gt;NOW(),"-",IF(ISBLANK(Tbl_ResidentData[[#This Row],[Enrollment '[mmm-yyyy']]]),"-",AND((Tbl_ResidentData[[#This Row],[Enrollment '[mmm-yyyy']]]&lt;=Y$4),IF(ISBLANK(Tbl_ResidentData[[#This Row],[Discharge '[mmm-yyyy']]]),TRUE,(Tbl_ResidentData[[#This Row],[Discharge '[mmm-yyyy']]]&gt;=Y$4)))))</f>
        <v>-</v>
      </c>
      <c r="Z20" s="121" t="str">
        <f ca="1">IF(Z$4&gt;NOW(),"-",IF(ISBLANK(Tbl_ResidentData[[#This Row],[Enrollment '[mmm-yyyy']]]),"-",AND((Tbl_ResidentData[[#This Row],[Enrollment '[mmm-yyyy']]]&lt;=Z$4),IF(ISBLANK(Tbl_ResidentData[[#This Row],[Discharge '[mmm-yyyy']]]),TRUE,(Tbl_ResidentData[[#This Row],[Discharge '[mmm-yyyy']]]&gt;=Z$4)))))</f>
        <v>-</v>
      </c>
      <c r="AA20" s="121" t="str">
        <f ca="1">IF(AA$4&gt;NOW(),"-",IF(ISBLANK(Tbl_ResidentData[[#This Row],[Enrollment '[mmm-yyyy']]]),"-",AND((Tbl_ResidentData[[#This Row],[Enrollment '[mmm-yyyy']]]&lt;=AA$4),IF(ISBLANK(Tbl_ResidentData[[#This Row],[Discharge '[mmm-yyyy']]]),TRUE,(Tbl_ResidentData[[#This Row],[Discharge '[mmm-yyyy']]]&gt;=AA$4)))))</f>
        <v>-</v>
      </c>
      <c r="AB20" s="121" t="str">
        <f ca="1">IF(AB$4&gt;NOW(),"-",IF(ISBLANK(Tbl_ResidentData[[#This Row],[Enrollment '[mmm-yyyy']]]),"-",AND((Tbl_ResidentData[[#This Row],[Enrollment '[mmm-yyyy']]]&lt;=AB$4),IF(ISBLANK(Tbl_ResidentData[[#This Row],[Discharge '[mmm-yyyy']]]),TRUE,(Tbl_ResidentData[[#This Row],[Discharge '[mmm-yyyy']]]&gt;=AB$4)))))</f>
        <v>-</v>
      </c>
      <c r="AC20" s="121" t="str">
        <f ca="1">IF(AC$4&gt;NOW(),"-",IF(ISBLANK(Tbl_ResidentData[[#This Row],[Enrollment '[mmm-yyyy']]]),"-",AND((Tbl_ResidentData[[#This Row],[Enrollment '[mmm-yyyy']]]&lt;=AC$4),IF(ISBLANK(Tbl_ResidentData[[#This Row],[Discharge '[mmm-yyyy']]]),TRUE,(Tbl_ResidentData[[#This Row],[Discharge '[mmm-yyyy']]]&gt;=AC$4)))))</f>
        <v>-</v>
      </c>
      <c r="AD20" s="121" t="str">
        <f ca="1">IF(AD$4&gt;NOW(),"-",IF(ISBLANK(Tbl_ResidentData[[#This Row],[Enrollment '[mmm-yyyy']]]),"-",AND((Tbl_ResidentData[[#This Row],[Enrollment '[mmm-yyyy']]]&lt;=AD$4),IF(ISBLANK(Tbl_ResidentData[[#This Row],[Discharge '[mmm-yyyy']]]),TRUE,(Tbl_ResidentData[[#This Row],[Discharge '[mmm-yyyy']]]&gt;=AD$4)))))</f>
        <v>-</v>
      </c>
      <c r="AE20" s="121" t="str">
        <f ca="1">IF(AE$4&gt;NOW(),"-",IF(ISBLANK(Tbl_ResidentData[[#This Row],[Enrollment '[mmm-yyyy']]]),"-",AND((Tbl_ResidentData[[#This Row],[Enrollment '[mmm-yyyy']]]&lt;=AE$4),IF(ISBLANK(Tbl_ResidentData[[#This Row],[Discharge '[mmm-yyyy']]]),TRUE,(Tbl_ResidentData[[#This Row],[Discharge '[mmm-yyyy']]]&gt;=AE$4)))))</f>
        <v>-</v>
      </c>
      <c r="AF20" s="121" t="str">
        <f ca="1">IF(AF$4&gt;NOW(),"-",IF(ISBLANK(Tbl_ResidentData[[#This Row],[Enrollment '[mmm-yyyy']]]),"-",AND((Tbl_ResidentData[[#This Row],[Enrollment '[mmm-yyyy']]]&lt;=AF$4),IF(ISBLANK(Tbl_ResidentData[[#This Row],[Discharge '[mmm-yyyy']]]),TRUE,(Tbl_ResidentData[[#This Row],[Discharge '[mmm-yyyy']]]&gt;=AF$4)))))</f>
        <v>-</v>
      </c>
      <c r="AG20" s="121" t="str">
        <f ca="1">IF(AG$4&gt;NOW(),"-",IF(ISBLANK(Tbl_ResidentData[[#This Row],[Enrollment '[mmm-yyyy']]]),"-",AND((Tbl_ResidentData[[#This Row],[Enrollment '[mmm-yyyy']]]&lt;=AG$4),IF(ISBLANK(Tbl_ResidentData[[#This Row],[Discharge '[mmm-yyyy']]]),TRUE,(Tbl_ResidentData[[#This Row],[Discharge '[mmm-yyyy']]]&gt;=AG$4)))))</f>
        <v>-</v>
      </c>
      <c r="AH20" s="121" t="str">
        <f ca="1">IF(AH$4&gt;NOW(),"-",IF(ISBLANK(Tbl_ResidentData[[#This Row],[Enrollment '[mmm-yyyy']]]),"-",AND((Tbl_ResidentData[[#This Row],[Enrollment '[mmm-yyyy']]]&lt;=AH$4),IF(ISBLANK(Tbl_ResidentData[[#This Row],[Discharge '[mmm-yyyy']]]),TRUE,(Tbl_ResidentData[[#This Row],[Discharge '[mmm-yyyy']]]&gt;=AH$4)))))</f>
        <v>-</v>
      </c>
      <c r="AI20" s="121" t="str">
        <f ca="1">IF(AI$4&gt;NOW(),"-",IF(ISBLANK(Tbl_ResidentData[[#This Row],[Enrollment '[mmm-yyyy']]]),"-",AND((Tbl_ResidentData[[#This Row],[Enrollment '[mmm-yyyy']]]&lt;=AI$4),IF(ISBLANK(Tbl_ResidentData[[#This Row],[Discharge '[mmm-yyyy']]]),TRUE,(Tbl_ResidentData[[#This Row],[Discharge '[mmm-yyyy']]]&gt;=AI$4)))))</f>
        <v>-</v>
      </c>
      <c r="AJ20" s="121" t="str">
        <f ca="1">IF(AJ$4&gt;NOW(),"-",IF(ISBLANK(Tbl_ResidentData[[#This Row],[Enrollment '[mmm-yyyy']]]),"-",AND((Tbl_ResidentData[[#This Row],[Enrollment '[mmm-yyyy']]]&lt;=AJ$4),IF(ISBLANK(Tbl_ResidentData[[#This Row],[Discharge '[mmm-yyyy']]]),TRUE,(Tbl_ResidentData[[#This Row],[Discharge '[mmm-yyyy']]]&gt;=AJ$4)))))</f>
        <v>-</v>
      </c>
      <c r="AK20" s="121" t="str">
        <f ca="1">IF(AK$4&gt;NOW(),"-",IF(ISBLANK(Tbl_ResidentData[[#This Row],[Enrollment '[mmm-yyyy']]]),"-",AND((Tbl_ResidentData[[#This Row],[Enrollment '[mmm-yyyy']]]&lt;=AK$4),IF(ISBLANK(Tbl_ResidentData[[#This Row],[Discharge '[mmm-yyyy']]]),TRUE,(Tbl_ResidentData[[#This Row],[Discharge '[mmm-yyyy']]]&gt;=AK$4)))))</f>
        <v>-</v>
      </c>
      <c r="AL20" s="121" t="str">
        <f ca="1">IF(AL$4&gt;NOW(),"-",IF(ISBLANK(Tbl_ResidentData[[#This Row],[Enrollment '[mmm-yyyy']]]),"-",AND((Tbl_ResidentData[[#This Row],[Enrollment '[mmm-yyyy']]]&lt;=AL$4),IF(ISBLANK(Tbl_ResidentData[[#This Row],[Discharge '[mmm-yyyy']]]),TRUE,(Tbl_ResidentData[[#This Row],[Discharge '[mmm-yyyy']]]&gt;=AL$4)))))</f>
        <v>-</v>
      </c>
      <c r="AM20" s="121" t="str">
        <f ca="1">IF(AM$4&gt;NOW(),"-",IF(ISBLANK(Tbl_ResidentData[[#This Row],[Enrollment '[mmm-yyyy']]]),"-",AND((Tbl_ResidentData[[#This Row],[Enrollment '[mmm-yyyy']]]&lt;=AM$4),IF(ISBLANK(Tbl_ResidentData[[#This Row],[Discharge '[mmm-yyyy']]]),TRUE,(Tbl_ResidentData[[#This Row],[Discharge '[mmm-yyyy']]]&gt;=AM$4)))))</f>
        <v>-</v>
      </c>
      <c r="AN20" s="121" t="str">
        <f ca="1">IF(AN$4&gt;NOW(),"-",IF(ISBLANK(Tbl_ResidentData[[#This Row],[Enrollment '[mmm-yyyy']]]),"-",AND((Tbl_ResidentData[[#This Row],[Enrollment '[mmm-yyyy']]]&lt;=AN$4),IF(ISBLANK(Tbl_ResidentData[[#This Row],[Discharge '[mmm-yyyy']]]),TRUE,(Tbl_ResidentData[[#This Row],[Discharge '[mmm-yyyy']]]&gt;=AN$4)))))</f>
        <v>-</v>
      </c>
      <c r="AO20" s="121" t="str">
        <f ca="1">IF(AO$4&gt;NOW(),"-",IF(ISBLANK(Tbl_ResidentData[[#This Row],[Enrollment '[mmm-yyyy']]]),"-",AND((Tbl_ResidentData[[#This Row],[Enrollment '[mmm-yyyy']]]&lt;=AO$4),IF(ISBLANK(Tbl_ResidentData[[#This Row],[Discharge '[mmm-yyyy']]]),TRUE,(Tbl_ResidentData[[#This Row],[Discharge '[mmm-yyyy']]]&gt;=AO$4)))))</f>
        <v>-</v>
      </c>
      <c r="AP20" s="121" t="str">
        <f ca="1">IF(AP$4&gt;NOW(),"-",IF(ISBLANK(Tbl_ResidentData[[#This Row],[Enrollment '[mmm-yyyy']]]),"-",AND((Tbl_ResidentData[[#This Row],[Enrollment '[mmm-yyyy']]]&lt;=AP$4),IF(ISBLANK(Tbl_ResidentData[[#This Row],[Discharge '[mmm-yyyy']]]),TRUE,(Tbl_ResidentData[[#This Row],[Discharge '[mmm-yyyy']]]&gt;=AP$4)))))</f>
        <v>-</v>
      </c>
      <c r="AQ20" s="121" t="str">
        <f ca="1">IF(AQ$4&gt;NOW(),"-",IF(ISBLANK(Tbl_ResidentData[[#This Row],[Enrollment '[mmm-yyyy']]]),"-",AND((Tbl_ResidentData[[#This Row],[Enrollment '[mmm-yyyy']]]&lt;=AQ$4),IF(ISBLANK(Tbl_ResidentData[[#This Row],[Discharge '[mmm-yyyy']]]),TRUE,(Tbl_ResidentData[[#This Row],[Discharge '[mmm-yyyy']]]&gt;=AQ$4)))))</f>
        <v>-</v>
      </c>
      <c r="AR20" s="122" t="str">
        <f ca="1">IF(AR$4&gt;NOW(),"-",IF(ISBLANK(Tbl_ResidentData[[#This Row],[Enrollment '[mmm-yyyy']]]),"-",AND((Tbl_ResidentData[[#This Row],[Enrollment '[mmm-yyyy']]]&lt;=AR$4),IF(ISBLANK(Tbl_ResidentData[[#This Row],[Discharge '[mmm-yyyy']]]),TRUE,(Tbl_ResidentData[[#This Row],[Discharge '[mmm-yyyy']]]&gt;=AR$4)))))</f>
        <v>-</v>
      </c>
      <c r="AS2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2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2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2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2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2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0" s="120" t="b">
        <f ca="1">AND(Tbl_ResidentData[[#This Row],[PRN Med Started]]&lt;&gt;"",Tbl_ResidentData[[#This Row],[PRN Med Started]]&lt;=NOW(),Tbl_ResidentData[[#This Row],[PRN Med Started]]&lt;=AS$4,OR(Tbl_ResidentData[[#This Row],[PRN Med Discontinued]]&gt;AS$4,ISBLANK(Tbl_ResidentData[[#This Row],[PRN Med Discontinued]])))</f>
        <v>0</v>
      </c>
      <c r="BR20" s="121" t="b">
        <f ca="1">AND(Tbl_ResidentData[[#This Row],[PRN Med Started]]&lt;&gt;"",Tbl_ResidentData[[#This Row],[PRN Med Started]]&lt;=NOW(),Tbl_ResidentData[[#This Row],[PRN Med Started]]&lt;=AT$4,OR(Tbl_ResidentData[[#This Row],[PRN Med Discontinued]]&gt;AT$4,ISBLANK(Tbl_ResidentData[[#This Row],[PRN Med Discontinued]])))</f>
        <v>0</v>
      </c>
      <c r="BS20" s="121" t="b">
        <f ca="1">AND(Tbl_ResidentData[[#This Row],[PRN Med Started]]&lt;&gt;"",Tbl_ResidentData[[#This Row],[PRN Med Started]]&lt;=NOW(),Tbl_ResidentData[[#This Row],[PRN Med Started]]&lt;=AU$4,OR(Tbl_ResidentData[[#This Row],[PRN Med Discontinued]]&gt;AU$4,ISBLANK(Tbl_ResidentData[[#This Row],[PRN Med Discontinued]])))</f>
        <v>0</v>
      </c>
      <c r="BT20" s="121" t="b">
        <f ca="1">AND(Tbl_ResidentData[[#This Row],[PRN Med Started]]&lt;&gt;"",Tbl_ResidentData[[#This Row],[PRN Med Started]]&lt;=NOW(),Tbl_ResidentData[[#This Row],[PRN Med Started]]&lt;=AV$4,OR(Tbl_ResidentData[[#This Row],[PRN Med Discontinued]]&gt;AV$4,ISBLANK(Tbl_ResidentData[[#This Row],[PRN Med Discontinued]])))</f>
        <v>0</v>
      </c>
      <c r="BU20" s="121" t="b">
        <f ca="1">AND(Tbl_ResidentData[[#This Row],[PRN Med Started]]&lt;&gt;"",Tbl_ResidentData[[#This Row],[PRN Med Started]]&lt;=NOW(),Tbl_ResidentData[[#This Row],[PRN Med Started]]&lt;=AW$4,OR(Tbl_ResidentData[[#This Row],[PRN Med Discontinued]]&gt;AW$4,ISBLANK(Tbl_ResidentData[[#This Row],[PRN Med Discontinued]])))</f>
        <v>0</v>
      </c>
      <c r="BV20" s="121" t="b">
        <f ca="1">AND(Tbl_ResidentData[[#This Row],[PRN Med Started]]&lt;&gt;"",Tbl_ResidentData[[#This Row],[PRN Med Started]]&lt;=NOW(),Tbl_ResidentData[[#This Row],[PRN Med Started]]&lt;=AX$4,OR(Tbl_ResidentData[[#This Row],[PRN Med Discontinued]]&gt;AX$4,ISBLANK(Tbl_ResidentData[[#This Row],[PRN Med Discontinued]])))</f>
        <v>0</v>
      </c>
      <c r="BW20" s="121" t="b">
        <f ca="1">AND(Tbl_ResidentData[[#This Row],[PRN Med Started]]&lt;&gt;"",Tbl_ResidentData[[#This Row],[PRN Med Started]]&lt;=NOW(),Tbl_ResidentData[[#This Row],[PRN Med Started]]&lt;=AY$4,OR(Tbl_ResidentData[[#This Row],[PRN Med Discontinued]]&gt;AY$4,ISBLANK(Tbl_ResidentData[[#This Row],[PRN Med Discontinued]])))</f>
        <v>0</v>
      </c>
      <c r="BX20" s="121" t="b">
        <f ca="1">AND(Tbl_ResidentData[[#This Row],[PRN Med Started]]&lt;&gt;"",Tbl_ResidentData[[#This Row],[PRN Med Started]]&lt;=NOW(),Tbl_ResidentData[[#This Row],[PRN Med Started]]&lt;=AZ$4,OR(Tbl_ResidentData[[#This Row],[PRN Med Discontinued]]&gt;AZ$4,ISBLANK(Tbl_ResidentData[[#This Row],[PRN Med Discontinued]])))</f>
        <v>0</v>
      </c>
      <c r="BY20" s="121" t="b">
        <f ca="1">AND(Tbl_ResidentData[[#This Row],[PRN Med Started]]&lt;&gt;"",Tbl_ResidentData[[#This Row],[PRN Med Started]]&lt;=NOW(),Tbl_ResidentData[[#This Row],[PRN Med Started]]&lt;=BA$4,OR(Tbl_ResidentData[[#This Row],[PRN Med Discontinued]]&gt;BA$4,ISBLANK(Tbl_ResidentData[[#This Row],[PRN Med Discontinued]])))</f>
        <v>0</v>
      </c>
      <c r="BZ20" s="121" t="b">
        <f ca="1">AND(Tbl_ResidentData[[#This Row],[PRN Med Started]]&lt;&gt;"",Tbl_ResidentData[[#This Row],[PRN Med Started]]&lt;=NOW(),Tbl_ResidentData[[#This Row],[PRN Med Started]]&lt;=BB$4,OR(Tbl_ResidentData[[#This Row],[PRN Med Discontinued]]&gt;BB$4,ISBLANK(Tbl_ResidentData[[#This Row],[PRN Med Discontinued]])))</f>
        <v>0</v>
      </c>
      <c r="CA20" s="121" t="b">
        <f ca="1">AND(Tbl_ResidentData[[#This Row],[PRN Med Started]]&lt;&gt;"",Tbl_ResidentData[[#This Row],[PRN Med Started]]&lt;=NOW(),Tbl_ResidentData[[#This Row],[PRN Med Started]]&lt;=BC$4,OR(Tbl_ResidentData[[#This Row],[PRN Med Discontinued]]&gt;BC$4,ISBLANK(Tbl_ResidentData[[#This Row],[PRN Med Discontinued]])))</f>
        <v>0</v>
      </c>
      <c r="CB20" s="121" t="b">
        <f ca="1">AND(Tbl_ResidentData[[#This Row],[PRN Med Started]]&lt;&gt;"",Tbl_ResidentData[[#This Row],[PRN Med Started]]&lt;=NOW(),Tbl_ResidentData[[#This Row],[PRN Med Started]]&lt;=BD$4,OR(Tbl_ResidentData[[#This Row],[PRN Med Discontinued]]&gt;BD$4,ISBLANK(Tbl_ResidentData[[#This Row],[PRN Med Discontinued]])))</f>
        <v>0</v>
      </c>
      <c r="CC20" s="121" t="b">
        <f ca="1">AND(Tbl_ResidentData[[#This Row],[PRN Med Started]]&lt;&gt;"",Tbl_ResidentData[[#This Row],[PRN Med Started]]&lt;=NOW(),Tbl_ResidentData[[#This Row],[PRN Med Started]]&lt;=BE$4,OR(Tbl_ResidentData[[#This Row],[PRN Med Discontinued]]&gt;BE$4,ISBLANK(Tbl_ResidentData[[#This Row],[PRN Med Discontinued]])))</f>
        <v>0</v>
      </c>
      <c r="CD20" s="121" t="b">
        <f ca="1">AND(Tbl_ResidentData[[#This Row],[PRN Med Started]]&lt;&gt;"",Tbl_ResidentData[[#This Row],[PRN Med Started]]&lt;=NOW(),Tbl_ResidentData[[#This Row],[PRN Med Started]]&lt;=BF$4,OR(Tbl_ResidentData[[#This Row],[PRN Med Discontinued]]&gt;BF$4,ISBLANK(Tbl_ResidentData[[#This Row],[PRN Med Discontinued]])))</f>
        <v>0</v>
      </c>
      <c r="CE20" s="121" t="b">
        <f ca="1">AND(Tbl_ResidentData[[#This Row],[PRN Med Started]]&lt;&gt;"",Tbl_ResidentData[[#This Row],[PRN Med Started]]&lt;=NOW(),Tbl_ResidentData[[#This Row],[PRN Med Started]]&lt;=BG$4,OR(Tbl_ResidentData[[#This Row],[PRN Med Discontinued]]&gt;BG$4,ISBLANK(Tbl_ResidentData[[#This Row],[PRN Med Discontinued]])))</f>
        <v>0</v>
      </c>
      <c r="CF20" s="121" t="b">
        <f ca="1">AND(Tbl_ResidentData[[#This Row],[PRN Med Started]]&lt;&gt;"",Tbl_ResidentData[[#This Row],[PRN Med Started]]&lt;=NOW(),Tbl_ResidentData[[#This Row],[PRN Med Started]]&lt;=BH$4,OR(Tbl_ResidentData[[#This Row],[PRN Med Discontinued]]&gt;BH$4,ISBLANK(Tbl_ResidentData[[#This Row],[PRN Med Discontinued]])))</f>
        <v>0</v>
      </c>
      <c r="CG20" s="121" t="b">
        <f ca="1">AND(Tbl_ResidentData[[#This Row],[PRN Med Started]]&lt;&gt;"",Tbl_ResidentData[[#This Row],[PRN Med Started]]&lt;=NOW(),Tbl_ResidentData[[#This Row],[PRN Med Started]]&lt;=BI$4,OR(Tbl_ResidentData[[#This Row],[PRN Med Discontinued]]&gt;BI$4,ISBLANK(Tbl_ResidentData[[#This Row],[PRN Med Discontinued]])))</f>
        <v>0</v>
      </c>
      <c r="CH20" s="121" t="b">
        <f ca="1">AND(Tbl_ResidentData[[#This Row],[PRN Med Started]]&lt;&gt;"",Tbl_ResidentData[[#This Row],[PRN Med Started]]&lt;=NOW(),Tbl_ResidentData[[#This Row],[PRN Med Started]]&lt;=BJ$4,OR(Tbl_ResidentData[[#This Row],[PRN Med Discontinued]]&gt;BJ$4,ISBLANK(Tbl_ResidentData[[#This Row],[PRN Med Discontinued]])))</f>
        <v>0</v>
      </c>
      <c r="CI20" s="121" t="b">
        <f ca="1">AND(Tbl_ResidentData[[#This Row],[PRN Med Started]]&lt;&gt;"",Tbl_ResidentData[[#This Row],[PRN Med Started]]&lt;=NOW(),Tbl_ResidentData[[#This Row],[PRN Med Started]]&lt;=BK$4,OR(Tbl_ResidentData[[#This Row],[PRN Med Discontinued]]&gt;BK$4,ISBLANK(Tbl_ResidentData[[#This Row],[PRN Med Discontinued]])))</f>
        <v>0</v>
      </c>
      <c r="CJ20" s="121" t="b">
        <f ca="1">AND(Tbl_ResidentData[[#This Row],[PRN Med Started]]&lt;&gt;"",Tbl_ResidentData[[#This Row],[PRN Med Started]]&lt;=NOW(),Tbl_ResidentData[[#This Row],[PRN Med Started]]&lt;=BL$4,OR(Tbl_ResidentData[[#This Row],[PRN Med Discontinued]]&gt;BL$4,ISBLANK(Tbl_ResidentData[[#This Row],[PRN Med Discontinued]])))</f>
        <v>0</v>
      </c>
      <c r="CK20" s="121" t="b">
        <f ca="1">AND(Tbl_ResidentData[[#This Row],[PRN Med Started]]&lt;&gt;"",Tbl_ResidentData[[#This Row],[PRN Med Started]]&lt;=NOW(),Tbl_ResidentData[[#This Row],[PRN Med Started]]&lt;=BM$4,OR(Tbl_ResidentData[[#This Row],[PRN Med Discontinued]]&gt;BM$4,ISBLANK(Tbl_ResidentData[[#This Row],[PRN Med Discontinued]])))</f>
        <v>0</v>
      </c>
      <c r="CL20" s="121" t="b">
        <f ca="1">AND(Tbl_ResidentData[[#This Row],[PRN Med Started]]&lt;&gt;"",Tbl_ResidentData[[#This Row],[PRN Med Started]]&lt;=NOW(),Tbl_ResidentData[[#This Row],[PRN Med Started]]&lt;=BN$4,OR(Tbl_ResidentData[[#This Row],[PRN Med Discontinued]]&gt;BN$4,ISBLANK(Tbl_ResidentData[[#This Row],[PRN Med Discontinued]])))</f>
        <v>0</v>
      </c>
      <c r="CM20" s="121" t="b">
        <f ca="1">AND(Tbl_ResidentData[[#This Row],[PRN Med Started]]&lt;&gt;"",Tbl_ResidentData[[#This Row],[PRN Med Started]]&lt;=NOW(),Tbl_ResidentData[[#This Row],[PRN Med Started]]&lt;=BO$4,OR(Tbl_ResidentData[[#This Row],[PRN Med Discontinued]]&gt;BO$4,ISBLANK(Tbl_ResidentData[[#This Row],[PRN Med Discontinued]])))</f>
        <v>0</v>
      </c>
      <c r="CN20" s="122" t="b">
        <f ca="1">AND(Tbl_ResidentData[[#This Row],[PRN Med Started]]&lt;&gt;"",Tbl_ResidentData[[#This Row],[PRN Med Started]]&lt;=NOW(),Tbl_ResidentData[[#This Row],[PRN Med Started]]&lt;=BP$4,OR(Tbl_ResidentData[[#This Row],[PRN Med Discontinued]]&gt;BP$4,ISBLANK(Tbl_ResidentData[[#This Row],[PRN Med Discontinued]])))</f>
        <v>0</v>
      </c>
      <c r="CO20" s="120">
        <f ca="1">IF(OR(Tbl_ResidentData[[#This Row],[S1]]=TRUE,Tbl_ResidentData[[#This Row],[P1]]=TRUE),1,0)</f>
        <v>0</v>
      </c>
      <c r="CP20" s="121">
        <f ca="1">IF(OR(Tbl_ResidentData[[#This Row],[S2]]=TRUE,Tbl_ResidentData[[#This Row],[P2]]=TRUE),1,0)</f>
        <v>0</v>
      </c>
      <c r="CQ20" s="121">
        <f ca="1">IF(OR(Tbl_ResidentData[[#This Row],[S3]]=TRUE,Tbl_ResidentData[[#This Row],[P3]]=TRUE),1,0)</f>
        <v>0</v>
      </c>
      <c r="CR20" s="120">
        <f ca="1">IF(OR(Tbl_ResidentData[[#This Row],[S4]]=TRUE,Tbl_ResidentData[[#This Row],[P4]]=TRUE),1,0)</f>
        <v>0</v>
      </c>
      <c r="CS20" s="120">
        <f ca="1">IF(OR(Tbl_ResidentData[[#This Row],[S5]]=TRUE,Tbl_ResidentData[[#This Row],[P5]]=TRUE),1,0)</f>
        <v>0</v>
      </c>
      <c r="CT20" s="120">
        <f ca="1">IF(OR(Tbl_ResidentData[[#This Row],[S6]]=TRUE,Tbl_ResidentData[[#This Row],[P6]]=TRUE),1,0)</f>
        <v>0</v>
      </c>
      <c r="CU20" s="120">
        <f ca="1">IF(OR(Tbl_ResidentData[[#This Row],[S7]]=TRUE,Tbl_ResidentData[[#This Row],[P7]]=TRUE),1,0)</f>
        <v>0</v>
      </c>
      <c r="CV20" s="120">
        <f ca="1">IF(OR(Tbl_ResidentData[[#This Row],[S8]]=TRUE,Tbl_ResidentData[[#This Row],[P8]]=TRUE),1,0)</f>
        <v>0</v>
      </c>
      <c r="CW20" s="120">
        <f ca="1">IF(OR(Tbl_ResidentData[[#This Row],[S9]]=TRUE,Tbl_ResidentData[[#This Row],[P9]]=TRUE),1,0)</f>
        <v>0</v>
      </c>
      <c r="CX20" s="120">
        <f ca="1">IF(OR(Tbl_ResidentData[[#This Row],[S10]]=TRUE,Tbl_ResidentData[[#This Row],[P10]]=TRUE),1,0)</f>
        <v>0</v>
      </c>
      <c r="CY20" s="120">
        <f ca="1">IF(OR(Tbl_ResidentData[[#This Row],[S11]]=TRUE,Tbl_ResidentData[[#This Row],[P11]]=TRUE),1,0)</f>
        <v>0</v>
      </c>
      <c r="CZ20" s="120">
        <f ca="1">IF(OR(Tbl_ResidentData[[#This Row],[S12]]=TRUE,Tbl_ResidentData[[#This Row],[P12]]=TRUE),1,0)</f>
        <v>0</v>
      </c>
      <c r="DA20" s="120">
        <f ca="1">IF(OR(Tbl_ResidentData[[#This Row],[S13]]=TRUE,Tbl_ResidentData[[#This Row],[P13]]=TRUE),1,0)</f>
        <v>0</v>
      </c>
      <c r="DB20" s="120">
        <f ca="1">IF(OR(Tbl_ResidentData[[#This Row],[S14]]=TRUE,Tbl_ResidentData[[#This Row],[P14]]=TRUE),1,0)</f>
        <v>0</v>
      </c>
      <c r="DC20" s="120">
        <f ca="1">IF(OR(Tbl_ResidentData[[#This Row],[S15]]=TRUE,Tbl_ResidentData[[#This Row],[P15]]=TRUE),1,0)</f>
        <v>0</v>
      </c>
      <c r="DD20" s="120">
        <f ca="1">IF(OR(Tbl_ResidentData[[#This Row],[S16]]=TRUE,Tbl_ResidentData[[#This Row],[P16]]=TRUE),1,0)</f>
        <v>0</v>
      </c>
      <c r="DE20" s="120">
        <f ca="1">IF(OR(Tbl_ResidentData[[#This Row],[S17]]=TRUE,Tbl_ResidentData[[#This Row],[P17]]=TRUE),1,0)</f>
        <v>0</v>
      </c>
      <c r="DF20" s="120">
        <f ca="1">IF(OR(Tbl_ResidentData[[#This Row],[S18]]=TRUE,Tbl_ResidentData[[#This Row],[P18]]=TRUE),1,0)</f>
        <v>0</v>
      </c>
      <c r="DG20" s="120">
        <f ca="1">IF(OR(Tbl_ResidentData[[#This Row],[S19]]=TRUE,Tbl_ResidentData[[#This Row],[P19]]=TRUE),1,0)</f>
        <v>0</v>
      </c>
      <c r="DH20" s="120">
        <f ca="1">IF(OR(Tbl_ResidentData[[#This Row],[S20]]=TRUE,Tbl_ResidentData[[#This Row],[P20]]=TRUE),1,0)</f>
        <v>0</v>
      </c>
      <c r="DI20" s="120">
        <f ca="1">IF(OR(Tbl_ResidentData[[#This Row],[S21]]=TRUE,Tbl_ResidentData[[#This Row],[P21]]=TRUE),1,0)</f>
        <v>0</v>
      </c>
      <c r="DJ20" s="120">
        <f ca="1">IF(OR(Tbl_ResidentData[[#This Row],[S22]]=TRUE,Tbl_ResidentData[[#This Row],[P22]]=TRUE),1,0)</f>
        <v>0</v>
      </c>
      <c r="DK20" s="120">
        <f ca="1">IF(OR(Tbl_ResidentData[[#This Row],[S23]]=TRUE,Tbl_ResidentData[[#This Row],[P23]]=TRUE),1,0)</f>
        <v>0</v>
      </c>
      <c r="DL20" s="120">
        <f ca="1">IF(OR(Tbl_ResidentData[[#This Row],[S24]]=TRUE,Tbl_ResidentData[[#This Row],[P24]]=TRUE),1,0)</f>
        <v>0</v>
      </c>
      <c r="DM20" s="123" t="str">
        <f ca="1">IFERROR(INDEX($CO$4:$DL$4,MATCH(TRUE,INDEX((Tbl_ResidentData[[#This Row],[Over1]:[Over24]]&lt;&gt;0),0),0)),"")</f>
        <v/>
      </c>
      <c r="DN20" s="133" t="str">
        <f>IFERROR(INDEX(Tbl_PDSAData[Last DRT],MATCH(Tbl_ResidentData[Resident Name '[last, first']],Tbl_PDSAData[Resident Name (last, first)],0)),"")</f>
        <v/>
      </c>
      <c r="DO20" s="222" t="str">
        <f>IFERROR(INDEX(Tbl_PDSAData[Last MR],MATCH(Tbl_ResidentData[Resident Name '[last, first']],Tbl_PDSAData[Resident Name (last, first)],0)),"")</f>
        <v/>
      </c>
    </row>
    <row r="21" spans="1:119" x14ac:dyDescent="0.25">
      <c r="A21" s="179"/>
      <c r="B21" s="180"/>
      <c r="C21" s="180"/>
      <c r="D21" s="218"/>
      <c r="E21" s="179"/>
      <c r="F21" s="179"/>
      <c r="G21" s="181"/>
      <c r="H21" s="182"/>
      <c r="I21" s="186"/>
      <c r="J21" s="387"/>
      <c r="K21" s="178"/>
      <c r="L21" s="388"/>
      <c r="M21" s="187"/>
      <c r="N21" s="387"/>
      <c r="O21" s="178"/>
      <c r="P21" s="388"/>
      <c r="Q21" s="395"/>
      <c r="R21" s="396"/>
      <c r="S21" s="132" t="str">
        <f>IF(ISBLANK(Tbl_ResidentData[[#This Row],[Discharge '[mmm-yyyy']]]),IF(ISBLANK(Tbl_ResidentData[[#This Row],[Enrollment '[mmm-yyyy']]]),"","In Care Home"),"Discharged")</f>
        <v/>
      </c>
      <c r="T21" s="128" t="str">
        <f>IF(ISBLANK(Tbl_ResidentData[[#This Row],[Diagnosis (RAI)]]),IF(ISBLANK(Tbl_ResidentData[[#This Row],[Resident Name '[last, first']]]),"",0),IF(Tbl_ResidentData[[#This Row],[Diagnosis (RAI)]]="Other (see clinical notes)",0,1))</f>
        <v/>
      </c>
      <c r="U21" s="129" t="str">
        <f ca="1">IF(U$4&gt;NOW(),"-",IF(ISBLANK(Tbl_ResidentData[[#This Row],[Enrollment '[mmm-yyyy']]]),"-",AND((Tbl_ResidentData[[#This Row],[Enrollment '[mmm-yyyy']]]&lt;=U$4),IF(ISBLANK(Tbl_ResidentData[[#This Row],[Discharge '[mmm-yyyy']]]),TRUE,(Tbl_ResidentData[[#This Row],[Discharge '[mmm-yyyy']]]&gt;=U$4)))))</f>
        <v>-</v>
      </c>
      <c r="V21" s="121" t="str">
        <f ca="1">IF(V$4&gt;NOW(),"-",IF(ISBLANK(Tbl_ResidentData[[#This Row],[Enrollment '[mmm-yyyy']]]),"-",AND((Tbl_ResidentData[[#This Row],[Enrollment '[mmm-yyyy']]]&lt;=V$4),IF(ISBLANK(Tbl_ResidentData[[#This Row],[Discharge '[mmm-yyyy']]]),TRUE,(Tbl_ResidentData[[#This Row],[Discharge '[mmm-yyyy']]]&gt;=V$4)))))</f>
        <v>-</v>
      </c>
      <c r="W21" s="121" t="str">
        <f ca="1">IF(W$4&gt;NOW(),"-",IF(ISBLANK(Tbl_ResidentData[[#This Row],[Enrollment '[mmm-yyyy']]]),"-",AND((Tbl_ResidentData[[#This Row],[Enrollment '[mmm-yyyy']]]&lt;=W$4),IF(ISBLANK(Tbl_ResidentData[[#This Row],[Discharge '[mmm-yyyy']]]),TRUE,(Tbl_ResidentData[[#This Row],[Discharge '[mmm-yyyy']]]&gt;=W$4)))))</f>
        <v>-</v>
      </c>
      <c r="X21" s="121" t="str">
        <f ca="1">IF(X$4&gt;NOW(),"-",IF(ISBLANK(Tbl_ResidentData[[#This Row],[Enrollment '[mmm-yyyy']]]),"-",AND((Tbl_ResidentData[[#This Row],[Enrollment '[mmm-yyyy']]]&lt;=X$4),IF(ISBLANK(Tbl_ResidentData[[#This Row],[Discharge '[mmm-yyyy']]]),TRUE,(Tbl_ResidentData[[#This Row],[Discharge '[mmm-yyyy']]]&gt;=X$4)))))</f>
        <v>-</v>
      </c>
      <c r="Y21" s="121" t="str">
        <f ca="1">IF(Y$4&gt;NOW(),"-",IF(ISBLANK(Tbl_ResidentData[[#This Row],[Enrollment '[mmm-yyyy']]]),"-",AND((Tbl_ResidentData[[#This Row],[Enrollment '[mmm-yyyy']]]&lt;=Y$4),IF(ISBLANK(Tbl_ResidentData[[#This Row],[Discharge '[mmm-yyyy']]]),TRUE,(Tbl_ResidentData[[#This Row],[Discharge '[mmm-yyyy']]]&gt;=Y$4)))))</f>
        <v>-</v>
      </c>
      <c r="Z21" s="121" t="str">
        <f ca="1">IF(Z$4&gt;NOW(),"-",IF(ISBLANK(Tbl_ResidentData[[#This Row],[Enrollment '[mmm-yyyy']]]),"-",AND((Tbl_ResidentData[[#This Row],[Enrollment '[mmm-yyyy']]]&lt;=Z$4),IF(ISBLANK(Tbl_ResidentData[[#This Row],[Discharge '[mmm-yyyy']]]),TRUE,(Tbl_ResidentData[[#This Row],[Discharge '[mmm-yyyy']]]&gt;=Z$4)))))</f>
        <v>-</v>
      </c>
      <c r="AA21" s="121" t="str">
        <f ca="1">IF(AA$4&gt;NOW(),"-",IF(ISBLANK(Tbl_ResidentData[[#This Row],[Enrollment '[mmm-yyyy']]]),"-",AND((Tbl_ResidentData[[#This Row],[Enrollment '[mmm-yyyy']]]&lt;=AA$4),IF(ISBLANK(Tbl_ResidentData[[#This Row],[Discharge '[mmm-yyyy']]]),TRUE,(Tbl_ResidentData[[#This Row],[Discharge '[mmm-yyyy']]]&gt;=AA$4)))))</f>
        <v>-</v>
      </c>
      <c r="AB21" s="121" t="str">
        <f ca="1">IF(AB$4&gt;NOW(),"-",IF(ISBLANK(Tbl_ResidentData[[#This Row],[Enrollment '[mmm-yyyy']]]),"-",AND((Tbl_ResidentData[[#This Row],[Enrollment '[mmm-yyyy']]]&lt;=AB$4),IF(ISBLANK(Tbl_ResidentData[[#This Row],[Discharge '[mmm-yyyy']]]),TRUE,(Tbl_ResidentData[[#This Row],[Discharge '[mmm-yyyy']]]&gt;=AB$4)))))</f>
        <v>-</v>
      </c>
      <c r="AC21" s="121" t="str">
        <f ca="1">IF(AC$4&gt;NOW(),"-",IF(ISBLANK(Tbl_ResidentData[[#This Row],[Enrollment '[mmm-yyyy']]]),"-",AND((Tbl_ResidentData[[#This Row],[Enrollment '[mmm-yyyy']]]&lt;=AC$4),IF(ISBLANK(Tbl_ResidentData[[#This Row],[Discharge '[mmm-yyyy']]]),TRUE,(Tbl_ResidentData[[#This Row],[Discharge '[mmm-yyyy']]]&gt;=AC$4)))))</f>
        <v>-</v>
      </c>
      <c r="AD21" s="121" t="str">
        <f ca="1">IF(AD$4&gt;NOW(),"-",IF(ISBLANK(Tbl_ResidentData[[#This Row],[Enrollment '[mmm-yyyy']]]),"-",AND((Tbl_ResidentData[[#This Row],[Enrollment '[mmm-yyyy']]]&lt;=AD$4),IF(ISBLANK(Tbl_ResidentData[[#This Row],[Discharge '[mmm-yyyy']]]),TRUE,(Tbl_ResidentData[[#This Row],[Discharge '[mmm-yyyy']]]&gt;=AD$4)))))</f>
        <v>-</v>
      </c>
      <c r="AE21" s="121" t="str">
        <f ca="1">IF(AE$4&gt;NOW(),"-",IF(ISBLANK(Tbl_ResidentData[[#This Row],[Enrollment '[mmm-yyyy']]]),"-",AND((Tbl_ResidentData[[#This Row],[Enrollment '[mmm-yyyy']]]&lt;=AE$4),IF(ISBLANK(Tbl_ResidentData[[#This Row],[Discharge '[mmm-yyyy']]]),TRUE,(Tbl_ResidentData[[#This Row],[Discharge '[mmm-yyyy']]]&gt;=AE$4)))))</f>
        <v>-</v>
      </c>
      <c r="AF21" s="121" t="str">
        <f ca="1">IF(AF$4&gt;NOW(),"-",IF(ISBLANK(Tbl_ResidentData[[#This Row],[Enrollment '[mmm-yyyy']]]),"-",AND((Tbl_ResidentData[[#This Row],[Enrollment '[mmm-yyyy']]]&lt;=AF$4),IF(ISBLANK(Tbl_ResidentData[[#This Row],[Discharge '[mmm-yyyy']]]),TRUE,(Tbl_ResidentData[[#This Row],[Discharge '[mmm-yyyy']]]&gt;=AF$4)))))</f>
        <v>-</v>
      </c>
      <c r="AG21" s="121" t="str">
        <f ca="1">IF(AG$4&gt;NOW(),"-",IF(ISBLANK(Tbl_ResidentData[[#This Row],[Enrollment '[mmm-yyyy']]]),"-",AND((Tbl_ResidentData[[#This Row],[Enrollment '[mmm-yyyy']]]&lt;=AG$4),IF(ISBLANK(Tbl_ResidentData[[#This Row],[Discharge '[mmm-yyyy']]]),TRUE,(Tbl_ResidentData[[#This Row],[Discharge '[mmm-yyyy']]]&gt;=AG$4)))))</f>
        <v>-</v>
      </c>
      <c r="AH21" s="121" t="str">
        <f ca="1">IF(AH$4&gt;NOW(),"-",IF(ISBLANK(Tbl_ResidentData[[#This Row],[Enrollment '[mmm-yyyy']]]),"-",AND((Tbl_ResidentData[[#This Row],[Enrollment '[mmm-yyyy']]]&lt;=AH$4),IF(ISBLANK(Tbl_ResidentData[[#This Row],[Discharge '[mmm-yyyy']]]),TRUE,(Tbl_ResidentData[[#This Row],[Discharge '[mmm-yyyy']]]&gt;=AH$4)))))</f>
        <v>-</v>
      </c>
      <c r="AI21" s="121" t="str">
        <f ca="1">IF(AI$4&gt;NOW(),"-",IF(ISBLANK(Tbl_ResidentData[[#This Row],[Enrollment '[mmm-yyyy']]]),"-",AND((Tbl_ResidentData[[#This Row],[Enrollment '[mmm-yyyy']]]&lt;=AI$4),IF(ISBLANK(Tbl_ResidentData[[#This Row],[Discharge '[mmm-yyyy']]]),TRUE,(Tbl_ResidentData[[#This Row],[Discharge '[mmm-yyyy']]]&gt;=AI$4)))))</f>
        <v>-</v>
      </c>
      <c r="AJ21" s="121" t="str">
        <f ca="1">IF(AJ$4&gt;NOW(),"-",IF(ISBLANK(Tbl_ResidentData[[#This Row],[Enrollment '[mmm-yyyy']]]),"-",AND((Tbl_ResidentData[[#This Row],[Enrollment '[mmm-yyyy']]]&lt;=AJ$4),IF(ISBLANK(Tbl_ResidentData[[#This Row],[Discharge '[mmm-yyyy']]]),TRUE,(Tbl_ResidentData[[#This Row],[Discharge '[mmm-yyyy']]]&gt;=AJ$4)))))</f>
        <v>-</v>
      </c>
      <c r="AK21" s="121" t="str">
        <f ca="1">IF(AK$4&gt;NOW(),"-",IF(ISBLANK(Tbl_ResidentData[[#This Row],[Enrollment '[mmm-yyyy']]]),"-",AND((Tbl_ResidentData[[#This Row],[Enrollment '[mmm-yyyy']]]&lt;=AK$4),IF(ISBLANK(Tbl_ResidentData[[#This Row],[Discharge '[mmm-yyyy']]]),TRUE,(Tbl_ResidentData[[#This Row],[Discharge '[mmm-yyyy']]]&gt;=AK$4)))))</f>
        <v>-</v>
      </c>
      <c r="AL21" s="121" t="str">
        <f ca="1">IF(AL$4&gt;NOW(),"-",IF(ISBLANK(Tbl_ResidentData[[#This Row],[Enrollment '[mmm-yyyy']]]),"-",AND((Tbl_ResidentData[[#This Row],[Enrollment '[mmm-yyyy']]]&lt;=AL$4),IF(ISBLANK(Tbl_ResidentData[[#This Row],[Discharge '[mmm-yyyy']]]),TRUE,(Tbl_ResidentData[[#This Row],[Discharge '[mmm-yyyy']]]&gt;=AL$4)))))</f>
        <v>-</v>
      </c>
      <c r="AM21" s="121" t="str">
        <f ca="1">IF(AM$4&gt;NOW(),"-",IF(ISBLANK(Tbl_ResidentData[[#This Row],[Enrollment '[mmm-yyyy']]]),"-",AND((Tbl_ResidentData[[#This Row],[Enrollment '[mmm-yyyy']]]&lt;=AM$4),IF(ISBLANK(Tbl_ResidentData[[#This Row],[Discharge '[mmm-yyyy']]]),TRUE,(Tbl_ResidentData[[#This Row],[Discharge '[mmm-yyyy']]]&gt;=AM$4)))))</f>
        <v>-</v>
      </c>
      <c r="AN21" s="121" t="str">
        <f ca="1">IF(AN$4&gt;NOW(),"-",IF(ISBLANK(Tbl_ResidentData[[#This Row],[Enrollment '[mmm-yyyy']]]),"-",AND((Tbl_ResidentData[[#This Row],[Enrollment '[mmm-yyyy']]]&lt;=AN$4),IF(ISBLANK(Tbl_ResidentData[[#This Row],[Discharge '[mmm-yyyy']]]),TRUE,(Tbl_ResidentData[[#This Row],[Discharge '[mmm-yyyy']]]&gt;=AN$4)))))</f>
        <v>-</v>
      </c>
      <c r="AO21" s="121" t="str">
        <f ca="1">IF(AO$4&gt;NOW(),"-",IF(ISBLANK(Tbl_ResidentData[[#This Row],[Enrollment '[mmm-yyyy']]]),"-",AND((Tbl_ResidentData[[#This Row],[Enrollment '[mmm-yyyy']]]&lt;=AO$4),IF(ISBLANK(Tbl_ResidentData[[#This Row],[Discharge '[mmm-yyyy']]]),TRUE,(Tbl_ResidentData[[#This Row],[Discharge '[mmm-yyyy']]]&gt;=AO$4)))))</f>
        <v>-</v>
      </c>
      <c r="AP21" s="121" t="str">
        <f ca="1">IF(AP$4&gt;NOW(),"-",IF(ISBLANK(Tbl_ResidentData[[#This Row],[Enrollment '[mmm-yyyy']]]),"-",AND((Tbl_ResidentData[[#This Row],[Enrollment '[mmm-yyyy']]]&lt;=AP$4),IF(ISBLANK(Tbl_ResidentData[[#This Row],[Discharge '[mmm-yyyy']]]),TRUE,(Tbl_ResidentData[[#This Row],[Discharge '[mmm-yyyy']]]&gt;=AP$4)))))</f>
        <v>-</v>
      </c>
      <c r="AQ21" s="121" t="str">
        <f ca="1">IF(AQ$4&gt;NOW(),"-",IF(ISBLANK(Tbl_ResidentData[[#This Row],[Enrollment '[mmm-yyyy']]]),"-",AND((Tbl_ResidentData[[#This Row],[Enrollment '[mmm-yyyy']]]&lt;=AQ$4),IF(ISBLANK(Tbl_ResidentData[[#This Row],[Discharge '[mmm-yyyy']]]),TRUE,(Tbl_ResidentData[[#This Row],[Discharge '[mmm-yyyy']]]&gt;=AQ$4)))))</f>
        <v>-</v>
      </c>
      <c r="AR21" s="122" t="str">
        <f ca="1">IF(AR$4&gt;NOW(),"-",IF(ISBLANK(Tbl_ResidentData[[#This Row],[Enrollment '[mmm-yyyy']]]),"-",AND((Tbl_ResidentData[[#This Row],[Enrollment '[mmm-yyyy']]]&lt;=AR$4),IF(ISBLANK(Tbl_ResidentData[[#This Row],[Discharge '[mmm-yyyy']]]),TRUE,(Tbl_ResidentData[[#This Row],[Discharge '[mmm-yyyy']]]&gt;=AR$4)))))</f>
        <v>-</v>
      </c>
      <c r="AS2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21"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21"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21"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21"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21"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1"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1"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1"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1"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1"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1"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1"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1"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1"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1"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1"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1"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1"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1"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1"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1" s="120" t="b">
        <f ca="1">AND(Tbl_ResidentData[[#This Row],[PRN Med Started]]&lt;&gt;"",Tbl_ResidentData[[#This Row],[PRN Med Started]]&lt;=NOW(),Tbl_ResidentData[[#This Row],[PRN Med Started]]&lt;=AS$4,OR(Tbl_ResidentData[[#This Row],[PRN Med Discontinued]]&gt;AS$4,ISBLANK(Tbl_ResidentData[[#This Row],[PRN Med Discontinued]])))</f>
        <v>0</v>
      </c>
      <c r="BR21" s="121" t="b">
        <f ca="1">AND(Tbl_ResidentData[[#This Row],[PRN Med Started]]&lt;&gt;"",Tbl_ResidentData[[#This Row],[PRN Med Started]]&lt;=NOW(),Tbl_ResidentData[[#This Row],[PRN Med Started]]&lt;=AT$4,OR(Tbl_ResidentData[[#This Row],[PRN Med Discontinued]]&gt;AT$4,ISBLANK(Tbl_ResidentData[[#This Row],[PRN Med Discontinued]])))</f>
        <v>0</v>
      </c>
      <c r="BS21" s="129" t="b">
        <f ca="1">AND(Tbl_ResidentData[[#This Row],[PRN Med Started]]&lt;&gt;"",Tbl_ResidentData[[#This Row],[PRN Med Started]]&lt;=NOW(),Tbl_ResidentData[[#This Row],[PRN Med Started]]&lt;=AU$4,OR(Tbl_ResidentData[[#This Row],[PRN Med Discontinued]]&gt;AU$4,ISBLANK(Tbl_ResidentData[[#This Row],[PRN Med Discontinued]])))</f>
        <v>0</v>
      </c>
      <c r="BT21" s="129" t="b">
        <f ca="1">AND(Tbl_ResidentData[[#This Row],[PRN Med Started]]&lt;&gt;"",Tbl_ResidentData[[#This Row],[PRN Med Started]]&lt;=NOW(),Tbl_ResidentData[[#This Row],[PRN Med Started]]&lt;=AV$4,OR(Tbl_ResidentData[[#This Row],[PRN Med Discontinued]]&gt;AV$4,ISBLANK(Tbl_ResidentData[[#This Row],[PRN Med Discontinued]])))</f>
        <v>0</v>
      </c>
      <c r="BU21" s="129" t="b">
        <f ca="1">AND(Tbl_ResidentData[[#This Row],[PRN Med Started]]&lt;&gt;"",Tbl_ResidentData[[#This Row],[PRN Med Started]]&lt;=NOW(),Tbl_ResidentData[[#This Row],[PRN Med Started]]&lt;=AW$4,OR(Tbl_ResidentData[[#This Row],[PRN Med Discontinued]]&gt;AW$4,ISBLANK(Tbl_ResidentData[[#This Row],[PRN Med Discontinued]])))</f>
        <v>0</v>
      </c>
      <c r="BV21" s="129" t="b">
        <f ca="1">AND(Tbl_ResidentData[[#This Row],[PRN Med Started]]&lt;&gt;"",Tbl_ResidentData[[#This Row],[PRN Med Started]]&lt;=NOW(),Tbl_ResidentData[[#This Row],[PRN Med Started]]&lt;=AX$4,OR(Tbl_ResidentData[[#This Row],[PRN Med Discontinued]]&gt;AX$4,ISBLANK(Tbl_ResidentData[[#This Row],[PRN Med Discontinued]])))</f>
        <v>0</v>
      </c>
      <c r="BW21" s="129" t="b">
        <f ca="1">AND(Tbl_ResidentData[[#This Row],[PRN Med Started]]&lt;&gt;"",Tbl_ResidentData[[#This Row],[PRN Med Started]]&lt;=NOW(),Tbl_ResidentData[[#This Row],[PRN Med Started]]&lt;=AY$4,OR(Tbl_ResidentData[[#This Row],[PRN Med Discontinued]]&gt;AY$4,ISBLANK(Tbl_ResidentData[[#This Row],[PRN Med Discontinued]])))</f>
        <v>0</v>
      </c>
      <c r="BX21" s="129" t="b">
        <f ca="1">AND(Tbl_ResidentData[[#This Row],[PRN Med Started]]&lt;&gt;"",Tbl_ResidentData[[#This Row],[PRN Med Started]]&lt;=NOW(),Tbl_ResidentData[[#This Row],[PRN Med Started]]&lt;=AZ$4,OR(Tbl_ResidentData[[#This Row],[PRN Med Discontinued]]&gt;AZ$4,ISBLANK(Tbl_ResidentData[[#This Row],[PRN Med Discontinued]])))</f>
        <v>0</v>
      </c>
      <c r="BY21" s="129" t="b">
        <f ca="1">AND(Tbl_ResidentData[[#This Row],[PRN Med Started]]&lt;&gt;"",Tbl_ResidentData[[#This Row],[PRN Med Started]]&lt;=NOW(),Tbl_ResidentData[[#This Row],[PRN Med Started]]&lt;=BA$4,OR(Tbl_ResidentData[[#This Row],[PRN Med Discontinued]]&gt;BA$4,ISBLANK(Tbl_ResidentData[[#This Row],[PRN Med Discontinued]])))</f>
        <v>0</v>
      </c>
      <c r="BZ21" s="129" t="b">
        <f ca="1">AND(Tbl_ResidentData[[#This Row],[PRN Med Started]]&lt;&gt;"",Tbl_ResidentData[[#This Row],[PRN Med Started]]&lt;=NOW(),Tbl_ResidentData[[#This Row],[PRN Med Started]]&lt;=BB$4,OR(Tbl_ResidentData[[#This Row],[PRN Med Discontinued]]&gt;BB$4,ISBLANK(Tbl_ResidentData[[#This Row],[PRN Med Discontinued]])))</f>
        <v>0</v>
      </c>
      <c r="CA21" s="129" t="b">
        <f ca="1">AND(Tbl_ResidentData[[#This Row],[PRN Med Started]]&lt;&gt;"",Tbl_ResidentData[[#This Row],[PRN Med Started]]&lt;=NOW(),Tbl_ResidentData[[#This Row],[PRN Med Started]]&lt;=BC$4,OR(Tbl_ResidentData[[#This Row],[PRN Med Discontinued]]&gt;BC$4,ISBLANK(Tbl_ResidentData[[#This Row],[PRN Med Discontinued]])))</f>
        <v>0</v>
      </c>
      <c r="CB21" s="129" t="b">
        <f ca="1">AND(Tbl_ResidentData[[#This Row],[PRN Med Started]]&lt;&gt;"",Tbl_ResidentData[[#This Row],[PRN Med Started]]&lt;=NOW(),Tbl_ResidentData[[#This Row],[PRN Med Started]]&lt;=BD$4,OR(Tbl_ResidentData[[#This Row],[PRN Med Discontinued]]&gt;BD$4,ISBLANK(Tbl_ResidentData[[#This Row],[PRN Med Discontinued]])))</f>
        <v>0</v>
      </c>
      <c r="CC21" s="129" t="b">
        <f ca="1">AND(Tbl_ResidentData[[#This Row],[PRN Med Started]]&lt;&gt;"",Tbl_ResidentData[[#This Row],[PRN Med Started]]&lt;=NOW(),Tbl_ResidentData[[#This Row],[PRN Med Started]]&lt;=BE$4,OR(Tbl_ResidentData[[#This Row],[PRN Med Discontinued]]&gt;BE$4,ISBLANK(Tbl_ResidentData[[#This Row],[PRN Med Discontinued]])))</f>
        <v>0</v>
      </c>
      <c r="CD21" s="129" t="b">
        <f ca="1">AND(Tbl_ResidentData[[#This Row],[PRN Med Started]]&lt;&gt;"",Tbl_ResidentData[[#This Row],[PRN Med Started]]&lt;=NOW(),Tbl_ResidentData[[#This Row],[PRN Med Started]]&lt;=BF$4,OR(Tbl_ResidentData[[#This Row],[PRN Med Discontinued]]&gt;BF$4,ISBLANK(Tbl_ResidentData[[#This Row],[PRN Med Discontinued]])))</f>
        <v>0</v>
      </c>
      <c r="CE21" s="129" t="b">
        <f ca="1">AND(Tbl_ResidentData[[#This Row],[PRN Med Started]]&lt;&gt;"",Tbl_ResidentData[[#This Row],[PRN Med Started]]&lt;=NOW(),Tbl_ResidentData[[#This Row],[PRN Med Started]]&lt;=BG$4,OR(Tbl_ResidentData[[#This Row],[PRN Med Discontinued]]&gt;BG$4,ISBLANK(Tbl_ResidentData[[#This Row],[PRN Med Discontinued]])))</f>
        <v>0</v>
      </c>
      <c r="CF21" s="129" t="b">
        <f ca="1">AND(Tbl_ResidentData[[#This Row],[PRN Med Started]]&lt;&gt;"",Tbl_ResidentData[[#This Row],[PRN Med Started]]&lt;=NOW(),Tbl_ResidentData[[#This Row],[PRN Med Started]]&lt;=BH$4,OR(Tbl_ResidentData[[#This Row],[PRN Med Discontinued]]&gt;BH$4,ISBLANK(Tbl_ResidentData[[#This Row],[PRN Med Discontinued]])))</f>
        <v>0</v>
      </c>
      <c r="CG21" s="129" t="b">
        <f ca="1">AND(Tbl_ResidentData[[#This Row],[PRN Med Started]]&lt;&gt;"",Tbl_ResidentData[[#This Row],[PRN Med Started]]&lt;=NOW(),Tbl_ResidentData[[#This Row],[PRN Med Started]]&lt;=BI$4,OR(Tbl_ResidentData[[#This Row],[PRN Med Discontinued]]&gt;BI$4,ISBLANK(Tbl_ResidentData[[#This Row],[PRN Med Discontinued]])))</f>
        <v>0</v>
      </c>
      <c r="CH21" s="129" t="b">
        <f ca="1">AND(Tbl_ResidentData[[#This Row],[PRN Med Started]]&lt;&gt;"",Tbl_ResidentData[[#This Row],[PRN Med Started]]&lt;=NOW(),Tbl_ResidentData[[#This Row],[PRN Med Started]]&lt;=BJ$4,OR(Tbl_ResidentData[[#This Row],[PRN Med Discontinued]]&gt;BJ$4,ISBLANK(Tbl_ResidentData[[#This Row],[PRN Med Discontinued]])))</f>
        <v>0</v>
      </c>
      <c r="CI21" s="129" t="b">
        <f ca="1">AND(Tbl_ResidentData[[#This Row],[PRN Med Started]]&lt;&gt;"",Tbl_ResidentData[[#This Row],[PRN Med Started]]&lt;=NOW(),Tbl_ResidentData[[#This Row],[PRN Med Started]]&lt;=BK$4,OR(Tbl_ResidentData[[#This Row],[PRN Med Discontinued]]&gt;BK$4,ISBLANK(Tbl_ResidentData[[#This Row],[PRN Med Discontinued]])))</f>
        <v>0</v>
      </c>
      <c r="CJ21" s="129" t="b">
        <f ca="1">AND(Tbl_ResidentData[[#This Row],[PRN Med Started]]&lt;&gt;"",Tbl_ResidentData[[#This Row],[PRN Med Started]]&lt;=NOW(),Tbl_ResidentData[[#This Row],[PRN Med Started]]&lt;=BL$4,OR(Tbl_ResidentData[[#This Row],[PRN Med Discontinued]]&gt;BL$4,ISBLANK(Tbl_ResidentData[[#This Row],[PRN Med Discontinued]])))</f>
        <v>0</v>
      </c>
      <c r="CK21" s="129" t="b">
        <f ca="1">AND(Tbl_ResidentData[[#This Row],[PRN Med Started]]&lt;&gt;"",Tbl_ResidentData[[#This Row],[PRN Med Started]]&lt;=NOW(),Tbl_ResidentData[[#This Row],[PRN Med Started]]&lt;=BM$4,OR(Tbl_ResidentData[[#This Row],[PRN Med Discontinued]]&gt;BM$4,ISBLANK(Tbl_ResidentData[[#This Row],[PRN Med Discontinued]])))</f>
        <v>0</v>
      </c>
      <c r="CL21" s="129" t="b">
        <f ca="1">AND(Tbl_ResidentData[[#This Row],[PRN Med Started]]&lt;&gt;"",Tbl_ResidentData[[#This Row],[PRN Med Started]]&lt;=NOW(),Tbl_ResidentData[[#This Row],[PRN Med Started]]&lt;=BN$4,OR(Tbl_ResidentData[[#This Row],[PRN Med Discontinued]]&gt;BN$4,ISBLANK(Tbl_ResidentData[[#This Row],[PRN Med Discontinued]])))</f>
        <v>0</v>
      </c>
      <c r="CM21" s="121" t="b">
        <f ca="1">AND(Tbl_ResidentData[[#This Row],[PRN Med Started]]&lt;&gt;"",Tbl_ResidentData[[#This Row],[PRN Med Started]]&lt;=NOW(),Tbl_ResidentData[[#This Row],[PRN Med Started]]&lt;=BO$4,OR(Tbl_ResidentData[[#This Row],[PRN Med Discontinued]]&gt;BO$4,ISBLANK(Tbl_ResidentData[[#This Row],[PRN Med Discontinued]])))</f>
        <v>0</v>
      </c>
      <c r="CN21" s="122" t="b">
        <f ca="1">AND(Tbl_ResidentData[[#This Row],[PRN Med Started]]&lt;&gt;"",Tbl_ResidentData[[#This Row],[PRN Med Started]]&lt;=NOW(),Tbl_ResidentData[[#This Row],[PRN Med Started]]&lt;=BP$4,OR(Tbl_ResidentData[[#This Row],[PRN Med Discontinued]]&gt;BP$4,ISBLANK(Tbl_ResidentData[[#This Row],[PRN Med Discontinued]])))</f>
        <v>0</v>
      </c>
      <c r="CO21" s="120">
        <f ca="1">IF(OR(Tbl_ResidentData[[#This Row],[S1]]=TRUE,Tbl_ResidentData[[#This Row],[P1]]=TRUE),1,0)</f>
        <v>0</v>
      </c>
      <c r="CP21" s="121">
        <f ca="1">IF(OR(Tbl_ResidentData[[#This Row],[S2]]=TRUE,Tbl_ResidentData[[#This Row],[P2]]=TRUE),1,0)</f>
        <v>0</v>
      </c>
      <c r="CQ21" s="121">
        <f ca="1">IF(OR(Tbl_ResidentData[[#This Row],[S3]]=TRUE,Tbl_ResidentData[[#This Row],[P3]]=TRUE),1,0)</f>
        <v>0</v>
      </c>
      <c r="CR21" s="130">
        <f ca="1">IF(OR(Tbl_ResidentData[[#This Row],[S4]]=TRUE,Tbl_ResidentData[[#This Row],[P4]]=TRUE),1,0)</f>
        <v>0</v>
      </c>
      <c r="CS21" s="130">
        <f ca="1">IF(OR(Tbl_ResidentData[[#This Row],[S5]]=TRUE,Tbl_ResidentData[[#This Row],[P5]]=TRUE),1,0)</f>
        <v>0</v>
      </c>
      <c r="CT21" s="130">
        <f ca="1">IF(OR(Tbl_ResidentData[[#This Row],[S6]]=TRUE,Tbl_ResidentData[[#This Row],[P6]]=TRUE),1,0)</f>
        <v>0</v>
      </c>
      <c r="CU21" s="130">
        <f ca="1">IF(OR(Tbl_ResidentData[[#This Row],[S7]]=TRUE,Tbl_ResidentData[[#This Row],[P7]]=TRUE),1,0)</f>
        <v>0</v>
      </c>
      <c r="CV21" s="130">
        <f ca="1">IF(OR(Tbl_ResidentData[[#This Row],[S8]]=TRUE,Tbl_ResidentData[[#This Row],[P8]]=TRUE),1,0)</f>
        <v>0</v>
      </c>
      <c r="CW21" s="130">
        <f ca="1">IF(OR(Tbl_ResidentData[[#This Row],[S9]]=TRUE,Tbl_ResidentData[[#This Row],[P9]]=TRUE),1,0)</f>
        <v>0</v>
      </c>
      <c r="CX21" s="130">
        <f ca="1">IF(OR(Tbl_ResidentData[[#This Row],[S10]]=TRUE,Tbl_ResidentData[[#This Row],[P10]]=TRUE),1,0)</f>
        <v>0</v>
      </c>
      <c r="CY21" s="130">
        <f ca="1">IF(OR(Tbl_ResidentData[[#This Row],[S11]]=TRUE,Tbl_ResidentData[[#This Row],[P11]]=TRUE),1,0)</f>
        <v>0</v>
      </c>
      <c r="CZ21" s="130">
        <f ca="1">IF(OR(Tbl_ResidentData[[#This Row],[S12]]=TRUE,Tbl_ResidentData[[#This Row],[P12]]=TRUE),1,0)</f>
        <v>0</v>
      </c>
      <c r="DA21" s="130">
        <f ca="1">IF(OR(Tbl_ResidentData[[#This Row],[S13]]=TRUE,Tbl_ResidentData[[#This Row],[P13]]=TRUE),1,0)</f>
        <v>0</v>
      </c>
      <c r="DB21" s="130">
        <f ca="1">IF(OR(Tbl_ResidentData[[#This Row],[S14]]=TRUE,Tbl_ResidentData[[#This Row],[P14]]=TRUE),1,0)</f>
        <v>0</v>
      </c>
      <c r="DC21" s="130">
        <f ca="1">IF(OR(Tbl_ResidentData[[#This Row],[S15]]=TRUE,Tbl_ResidentData[[#This Row],[P15]]=TRUE),1,0)</f>
        <v>0</v>
      </c>
      <c r="DD21" s="130">
        <f ca="1">IF(OR(Tbl_ResidentData[[#This Row],[S16]]=TRUE,Tbl_ResidentData[[#This Row],[P16]]=TRUE),1,0)</f>
        <v>0</v>
      </c>
      <c r="DE21" s="130">
        <f ca="1">IF(OR(Tbl_ResidentData[[#This Row],[S17]]=TRUE,Tbl_ResidentData[[#This Row],[P17]]=TRUE),1,0)</f>
        <v>0</v>
      </c>
      <c r="DF21" s="130">
        <f ca="1">IF(OR(Tbl_ResidentData[[#This Row],[S18]]=TRUE,Tbl_ResidentData[[#This Row],[P18]]=TRUE),1,0)</f>
        <v>0</v>
      </c>
      <c r="DG21" s="130">
        <f ca="1">IF(OR(Tbl_ResidentData[[#This Row],[S19]]=TRUE,Tbl_ResidentData[[#This Row],[P19]]=TRUE),1,0)</f>
        <v>0</v>
      </c>
      <c r="DH21" s="130">
        <f ca="1">IF(OR(Tbl_ResidentData[[#This Row],[S20]]=TRUE,Tbl_ResidentData[[#This Row],[P20]]=TRUE),1,0)</f>
        <v>0</v>
      </c>
      <c r="DI21" s="130">
        <f ca="1">IF(OR(Tbl_ResidentData[[#This Row],[S21]]=TRUE,Tbl_ResidentData[[#This Row],[P21]]=TRUE),1,0)</f>
        <v>0</v>
      </c>
      <c r="DJ21" s="130">
        <f ca="1">IF(OR(Tbl_ResidentData[[#This Row],[S22]]=TRUE,Tbl_ResidentData[[#This Row],[P22]]=TRUE),1,0)</f>
        <v>0</v>
      </c>
      <c r="DK21" s="130">
        <f ca="1">IF(OR(Tbl_ResidentData[[#This Row],[S23]]=TRUE,Tbl_ResidentData[[#This Row],[P23]]=TRUE),1,0)</f>
        <v>0</v>
      </c>
      <c r="DL21" s="130">
        <f ca="1">IF(OR(Tbl_ResidentData[[#This Row],[S24]]=TRUE,Tbl_ResidentData[[#This Row],[P24]]=TRUE),1,0)</f>
        <v>0</v>
      </c>
      <c r="DM21" s="123" t="str">
        <f ca="1">IFERROR(INDEX($CO$4:$DL$4,MATCH(TRUE,INDEX((Tbl_ResidentData[[#This Row],[Over1]:[Over24]]&lt;&gt;0),0),0)),"")</f>
        <v/>
      </c>
      <c r="DN21" s="133" t="str">
        <f>IFERROR(INDEX(Tbl_PDSAData[Last DRT],MATCH(Tbl_ResidentData[Resident Name '[last, first']],Tbl_PDSAData[Resident Name (last, first)],0)),"")</f>
        <v/>
      </c>
      <c r="DO21" s="222" t="str">
        <f>IFERROR(INDEX(Tbl_PDSAData[Last MR],MATCH(Tbl_ResidentData[Resident Name '[last, first']],Tbl_PDSAData[Resident Name (last, first)],0)),"")</f>
        <v/>
      </c>
    </row>
    <row r="22" spans="1:119" x14ac:dyDescent="0.25">
      <c r="A22" s="179"/>
      <c r="B22" s="180"/>
      <c r="C22" s="180"/>
      <c r="D22" s="218"/>
      <c r="E22" s="179"/>
      <c r="F22" s="179"/>
      <c r="G22" s="181"/>
      <c r="H22" s="375"/>
      <c r="I22" s="186"/>
      <c r="J22" s="387"/>
      <c r="K22" s="178"/>
      <c r="L22" s="388"/>
      <c r="M22" s="187"/>
      <c r="N22" s="387"/>
      <c r="O22" s="178"/>
      <c r="P22" s="388"/>
      <c r="Q22" s="394"/>
      <c r="R22" s="388"/>
      <c r="S22" s="132" t="str">
        <f>IF(ISBLANK(Tbl_ResidentData[[#This Row],[Discharge '[mmm-yyyy']]]),IF(ISBLANK(Tbl_ResidentData[[#This Row],[Enrollment '[mmm-yyyy']]]),"","In Care Home"),"Discharged")</f>
        <v/>
      </c>
      <c r="T22" s="128" t="str">
        <f>IF(ISBLANK(Tbl_ResidentData[[#This Row],[Diagnosis (RAI)]]),IF(ISBLANK(Tbl_ResidentData[[#This Row],[Resident Name '[last, first']]]),"",0),IF(Tbl_ResidentData[[#This Row],[Diagnosis (RAI)]]="Other (see clinical notes)",0,1))</f>
        <v/>
      </c>
      <c r="U22" s="129" t="str">
        <f ca="1">IF(U$4&gt;NOW(),"-",IF(ISBLANK(Tbl_ResidentData[[#This Row],[Enrollment '[mmm-yyyy']]]),"-",AND((Tbl_ResidentData[[#This Row],[Enrollment '[mmm-yyyy']]]&lt;=U$4),IF(ISBLANK(Tbl_ResidentData[[#This Row],[Discharge '[mmm-yyyy']]]),TRUE,(Tbl_ResidentData[[#This Row],[Discharge '[mmm-yyyy']]]&gt;=U$4)))))</f>
        <v>-</v>
      </c>
      <c r="V22" s="121" t="str">
        <f ca="1">IF(V$4&gt;NOW(),"-",IF(ISBLANK(Tbl_ResidentData[[#This Row],[Enrollment '[mmm-yyyy']]]),"-",AND((Tbl_ResidentData[[#This Row],[Enrollment '[mmm-yyyy']]]&lt;=V$4),IF(ISBLANK(Tbl_ResidentData[[#This Row],[Discharge '[mmm-yyyy']]]),TRUE,(Tbl_ResidentData[[#This Row],[Discharge '[mmm-yyyy']]]&gt;=V$4)))))</f>
        <v>-</v>
      </c>
      <c r="W22" s="121" t="str">
        <f ca="1">IF(W$4&gt;NOW(),"-",IF(ISBLANK(Tbl_ResidentData[[#This Row],[Enrollment '[mmm-yyyy']]]),"-",AND((Tbl_ResidentData[[#This Row],[Enrollment '[mmm-yyyy']]]&lt;=W$4),IF(ISBLANK(Tbl_ResidentData[[#This Row],[Discharge '[mmm-yyyy']]]),TRUE,(Tbl_ResidentData[[#This Row],[Discharge '[mmm-yyyy']]]&gt;=W$4)))))</f>
        <v>-</v>
      </c>
      <c r="X22" s="121" t="str">
        <f ca="1">IF(X$4&gt;NOW(),"-",IF(ISBLANK(Tbl_ResidentData[[#This Row],[Enrollment '[mmm-yyyy']]]),"-",AND((Tbl_ResidentData[[#This Row],[Enrollment '[mmm-yyyy']]]&lt;=X$4),IF(ISBLANK(Tbl_ResidentData[[#This Row],[Discharge '[mmm-yyyy']]]),TRUE,(Tbl_ResidentData[[#This Row],[Discharge '[mmm-yyyy']]]&gt;=X$4)))))</f>
        <v>-</v>
      </c>
      <c r="Y22" s="121" t="str">
        <f ca="1">IF(Y$4&gt;NOW(),"-",IF(ISBLANK(Tbl_ResidentData[[#This Row],[Enrollment '[mmm-yyyy']]]),"-",AND((Tbl_ResidentData[[#This Row],[Enrollment '[mmm-yyyy']]]&lt;=Y$4),IF(ISBLANK(Tbl_ResidentData[[#This Row],[Discharge '[mmm-yyyy']]]),TRUE,(Tbl_ResidentData[[#This Row],[Discharge '[mmm-yyyy']]]&gt;=Y$4)))))</f>
        <v>-</v>
      </c>
      <c r="Z22" s="121" t="str">
        <f ca="1">IF(Z$4&gt;NOW(),"-",IF(ISBLANK(Tbl_ResidentData[[#This Row],[Enrollment '[mmm-yyyy']]]),"-",AND((Tbl_ResidentData[[#This Row],[Enrollment '[mmm-yyyy']]]&lt;=Z$4),IF(ISBLANK(Tbl_ResidentData[[#This Row],[Discharge '[mmm-yyyy']]]),TRUE,(Tbl_ResidentData[[#This Row],[Discharge '[mmm-yyyy']]]&gt;=Z$4)))))</f>
        <v>-</v>
      </c>
      <c r="AA22" s="121" t="str">
        <f ca="1">IF(AA$4&gt;NOW(),"-",IF(ISBLANK(Tbl_ResidentData[[#This Row],[Enrollment '[mmm-yyyy']]]),"-",AND((Tbl_ResidentData[[#This Row],[Enrollment '[mmm-yyyy']]]&lt;=AA$4),IF(ISBLANK(Tbl_ResidentData[[#This Row],[Discharge '[mmm-yyyy']]]),TRUE,(Tbl_ResidentData[[#This Row],[Discharge '[mmm-yyyy']]]&gt;=AA$4)))))</f>
        <v>-</v>
      </c>
      <c r="AB22" s="121" t="str">
        <f ca="1">IF(AB$4&gt;NOW(),"-",IF(ISBLANK(Tbl_ResidentData[[#This Row],[Enrollment '[mmm-yyyy']]]),"-",AND((Tbl_ResidentData[[#This Row],[Enrollment '[mmm-yyyy']]]&lt;=AB$4),IF(ISBLANK(Tbl_ResidentData[[#This Row],[Discharge '[mmm-yyyy']]]),TRUE,(Tbl_ResidentData[[#This Row],[Discharge '[mmm-yyyy']]]&gt;=AB$4)))))</f>
        <v>-</v>
      </c>
      <c r="AC22" s="121" t="str">
        <f ca="1">IF(AC$4&gt;NOW(),"-",IF(ISBLANK(Tbl_ResidentData[[#This Row],[Enrollment '[mmm-yyyy']]]),"-",AND((Tbl_ResidentData[[#This Row],[Enrollment '[mmm-yyyy']]]&lt;=AC$4),IF(ISBLANK(Tbl_ResidentData[[#This Row],[Discharge '[mmm-yyyy']]]),TRUE,(Tbl_ResidentData[[#This Row],[Discharge '[mmm-yyyy']]]&gt;=AC$4)))))</f>
        <v>-</v>
      </c>
      <c r="AD22" s="121" t="str">
        <f ca="1">IF(AD$4&gt;NOW(),"-",IF(ISBLANK(Tbl_ResidentData[[#This Row],[Enrollment '[mmm-yyyy']]]),"-",AND((Tbl_ResidentData[[#This Row],[Enrollment '[mmm-yyyy']]]&lt;=AD$4),IF(ISBLANK(Tbl_ResidentData[[#This Row],[Discharge '[mmm-yyyy']]]),TRUE,(Tbl_ResidentData[[#This Row],[Discharge '[mmm-yyyy']]]&gt;=AD$4)))))</f>
        <v>-</v>
      </c>
      <c r="AE22" s="121" t="str">
        <f ca="1">IF(AE$4&gt;NOW(),"-",IF(ISBLANK(Tbl_ResidentData[[#This Row],[Enrollment '[mmm-yyyy']]]),"-",AND((Tbl_ResidentData[[#This Row],[Enrollment '[mmm-yyyy']]]&lt;=AE$4),IF(ISBLANK(Tbl_ResidentData[[#This Row],[Discharge '[mmm-yyyy']]]),TRUE,(Tbl_ResidentData[[#This Row],[Discharge '[mmm-yyyy']]]&gt;=AE$4)))))</f>
        <v>-</v>
      </c>
      <c r="AF22" s="121" t="str">
        <f ca="1">IF(AF$4&gt;NOW(),"-",IF(ISBLANK(Tbl_ResidentData[[#This Row],[Enrollment '[mmm-yyyy']]]),"-",AND((Tbl_ResidentData[[#This Row],[Enrollment '[mmm-yyyy']]]&lt;=AF$4),IF(ISBLANK(Tbl_ResidentData[[#This Row],[Discharge '[mmm-yyyy']]]),TRUE,(Tbl_ResidentData[[#This Row],[Discharge '[mmm-yyyy']]]&gt;=AF$4)))))</f>
        <v>-</v>
      </c>
      <c r="AG22" s="121" t="str">
        <f ca="1">IF(AG$4&gt;NOW(),"-",IF(ISBLANK(Tbl_ResidentData[[#This Row],[Enrollment '[mmm-yyyy']]]),"-",AND((Tbl_ResidentData[[#This Row],[Enrollment '[mmm-yyyy']]]&lt;=AG$4),IF(ISBLANK(Tbl_ResidentData[[#This Row],[Discharge '[mmm-yyyy']]]),TRUE,(Tbl_ResidentData[[#This Row],[Discharge '[mmm-yyyy']]]&gt;=AG$4)))))</f>
        <v>-</v>
      </c>
      <c r="AH22" s="121" t="str">
        <f ca="1">IF(AH$4&gt;NOW(),"-",IF(ISBLANK(Tbl_ResidentData[[#This Row],[Enrollment '[mmm-yyyy']]]),"-",AND((Tbl_ResidentData[[#This Row],[Enrollment '[mmm-yyyy']]]&lt;=AH$4),IF(ISBLANK(Tbl_ResidentData[[#This Row],[Discharge '[mmm-yyyy']]]),TRUE,(Tbl_ResidentData[[#This Row],[Discharge '[mmm-yyyy']]]&gt;=AH$4)))))</f>
        <v>-</v>
      </c>
      <c r="AI22" s="121" t="str">
        <f ca="1">IF(AI$4&gt;NOW(),"-",IF(ISBLANK(Tbl_ResidentData[[#This Row],[Enrollment '[mmm-yyyy']]]),"-",AND((Tbl_ResidentData[[#This Row],[Enrollment '[mmm-yyyy']]]&lt;=AI$4),IF(ISBLANK(Tbl_ResidentData[[#This Row],[Discharge '[mmm-yyyy']]]),TRUE,(Tbl_ResidentData[[#This Row],[Discharge '[mmm-yyyy']]]&gt;=AI$4)))))</f>
        <v>-</v>
      </c>
      <c r="AJ22" s="121" t="str">
        <f ca="1">IF(AJ$4&gt;NOW(),"-",IF(ISBLANK(Tbl_ResidentData[[#This Row],[Enrollment '[mmm-yyyy']]]),"-",AND((Tbl_ResidentData[[#This Row],[Enrollment '[mmm-yyyy']]]&lt;=AJ$4),IF(ISBLANK(Tbl_ResidentData[[#This Row],[Discharge '[mmm-yyyy']]]),TRUE,(Tbl_ResidentData[[#This Row],[Discharge '[mmm-yyyy']]]&gt;=AJ$4)))))</f>
        <v>-</v>
      </c>
      <c r="AK22" s="121" t="str">
        <f ca="1">IF(AK$4&gt;NOW(),"-",IF(ISBLANK(Tbl_ResidentData[[#This Row],[Enrollment '[mmm-yyyy']]]),"-",AND((Tbl_ResidentData[[#This Row],[Enrollment '[mmm-yyyy']]]&lt;=AK$4),IF(ISBLANK(Tbl_ResidentData[[#This Row],[Discharge '[mmm-yyyy']]]),TRUE,(Tbl_ResidentData[[#This Row],[Discharge '[mmm-yyyy']]]&gt;=AK$4)))))</f>
        <v>-</v>
      </c>
      <c r="AL22" s="121" t="str">
        <f ca="1">IF(AL$4&gt;NOW(),"-",IF(ISBLANK(Tbl_ResidentData[[#This Row],[Enrollment '[mmm-yyyy']]]),"-",AND((Tbl_ResidentData[[#This Row],[Enrollment '[mmm-yyyy']]]&lt;=AL$4),IF(ISBLANK(Tbl_ResidentData[[#This Row],[Discharge '[mmm-yyyy']]]),TRUE,(Tbl_ResidentData[[#This Row],[Discharge '[mmm-yyyy']]]&gt;=AL$4)))))</f>
        <v>-</v>
      </c>
      <c r="AM22" s="121" t="str">
        <f ca="1">IF(AM$4&gt;NOW(),"-",IF(ISBLANK(Tbl_ResidentData[[#This Row],[Enrollment '[mmm-yyyy']]]),"-",AND((Tbl_ResidentData[[#This Row],[Enrollment '[mmm-yyyy']]]&lt;=AM$4),IF(ISBLANK(Tbl_ResidentData[[#This Row],[Discharge '[mmm-yyyy']]]),TRUE,(Tbl_ResidentData[[#This Row],[Discharge '[mmm-yyyy']]]&gt;=AM$4)))))</f>
        <v>-</v>
      </c>
      <c r="AN22" s="121" t="str">
        <f ca="1">IF(AN$4&gt;NOW(),"-",IF(ISBLANK(Tbl_ResidentData[[#This Row],[Enrollment '[mmm-yyyy']]]),"-",AND((Tbl_ResidentData[[#This Row],[Enrollment '[mmm-yyyy']]]&lt;=AN$4),IF(ISBLANK(Tbl_ResidentData[[#This Row],[Discharge '[mmm-yyyy']]]),TRUE,(Tbl_ResidentData[[#This Row],[Discharge '[mmm-yyyy']]]&gt;=AN$4)))))</f>
        <v>-</v>
      </c>
      <c r="AO22" s="121" t="str">
        <f ca="1">IF(AO$4&gt;NOW(),"-",IF(ISBLANK(Tbl_ResidentData[[#This Row],[Enrollment '[mmm-yyyy']]]),"-",AND((Tbl_ResidentData[[#This Row],[Enrollment '[mmm-yyyy']]]&lt;=AO$4),IF(ISBLANK(Tbl_ResidentData[[#This Row],[Discharge '[mmm-yyyy']]]),TRUE,(Tbl_ResidentData[[#This Row],[Discharge '[mmm-yyyy']]]&gt;=AO$4)))))</f>
        <v>-</v>
      </c>
      <c r="AP22" s="121" t="str">
        <f ca="1">IF(AP$4&gt;NOW(),"-",IF(ISBLANK(Tbl_ResidentData[[#This Row],[Enrollment '[mmm-yyyy']]]),"-",AND((Tbl_ResidentData[[#This Row],[Enrollment '[mmm-yyyy']]]&lt;=AP$4),IF(ISBLANK(Tbl_ResidentData[[#This Row],[Discharge '[mmm-yyyy']]]),TRUE,(Tbl_ResidentData[[#This Row],[Discharge '[mmm-yyyy']]]&gt;=AP$4)))))</f>
        <v>-</v>
      </c>
      <c r="AQ22" s="121" t="str">
        <f ca="1">IF(AQ$4&gt;NOW(),"-",IF(ISBLANK(Tbl_ResidentData[[#This Row],[Enrollment '[mmm-yyyy']]]),"-",AND((Tbl_ResidentData[[#This Row],[Enrollment '[mmm-yyyy']]]&lt;=AQ$4),IF(ISBLANK(Tbl_ResidentData[[#This Row],[Discharge '[mmm-yyyy']]]),TRUE,(Tbl_ResidentData[[#This Row],[Discharge '[mmm-yyyy']]]&gt;=AQ$4)))))</f>
        <v>-</v>
      </c>
      <c r="AR22" s="122" t="str">
        <f ca="1">IF(AR$4&gt;NOW(),"-",IF(ISBLANK(Tbl_ResidentData[[#This Row],[Enrollment '[mmm-yyyy']]]),"-",AND((Tbl_ResidentData[[#This Row],[Enrollment '[mmm-yyyy']]]&lt;=AR$4),IF(ISBLANK(Tbl_ResidentData[[#This Row],[Discharge '[mmm-yyyy']]]),TRUE,(Tbl_ResidentData[[#This Row],[Discharge '[mmm-yyyy']]]&gt;=AR$4)))))</f>
        <v>-</v>
      </c>
      <c r="AS2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22"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22"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22"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22"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22"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2"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2"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2"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2"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2"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2"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2"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2"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2"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2"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2"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2"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2"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2"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2"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2" s="120" t="b">
        <f ca="1">AND(Tbl_ResidentData[[#This Row],[PRN Med Started]]&lt;&gt;"",Tbl_ResidentData[[#This Row],[PRN Med Started]]&lt;=NOW(),Tbl_ResidentData[[#This Row],[PRN Med Started]]&lt;=AS$4,OR(Tbl_ResidentData[[#This Row],[PRN Med Discontinued]]&gt;AS$4,ISBLANK(Tbl_ResidentData[[#This Row],[PRN Med Discontinued]])))</f>
        <v>0</v>
      </c>
      <c r="BR22" s="121" t="b">
        <f ca="1">AND(Tbl_ResidentData[[#This Row],[PRN Med Started]]&lt;&gt;"",Tbl_ResidentData[[#This Row],[PRN Med Started]]&lt;=NOW(),Tbl_ResidentData[[#This Row],[PRN Med Started]]&lt;=AT$4,OR(Tbl_ResidentData[[#This Row],[PRN Med Discontinued]]&gt;AT$4,ISBLANK(Tbl_ResidentData[[#This Row],[PRN Med Discontinued]])))</f>
        <v>0</v>
      </c>
      <c r="BS22" s="129" t="b">
        <f ca="1">AND(Tbl_ResidentData[[#This Row],[PRN Med Started]]&lt;&gt;"",Tbl_ResidentData[[#This Row],[PRN Med Started]]&lt;=NOW(),Tbl_ResidentData[[#This Row],[PRN Med Started]]&lt;=AU$4,OR(Tbl_ResidentData[[#This Row],[PRN Med Discontinued]]&gt;AU$4,ISBLANK(Tbl_ResidentData[[#This Row],[PRN Med Discontinued]])))</f>
        <v>0</v>
      </c>
      <c r="BT22" s="129" t="b">
        <f ca="1">AND(Tbl_ResidentData[[#This Row],[PRN Med Started]]&lt;&gt;"",Tbl_ResidentData[[#This Row],[PRN Med Started]]&lt;=NOW(),Tbl_ResidentData[[#This Row],[PRN Med Started]]&lt;=AV$4,OR(Tbl_ResidentData[[#This Row],[PRN Med Discontinued]]&gt;AV$4,ISBLANK(Tbl_ResidentData[[#This Row],[PRN Med Discontinued]])))</f>
        <v>0</v>
      </c>
      <c r="BU22" s="129" t="b">
        <f ca="1">AND(Tbl_ResidentData[[#This Row],[PRN Med Started]]&lt;&gt;"",Tbl_ResidentData[[#This Row],[PRN Med Started]]&lt;=NOW(),Tbl_ResidentData[[#This Row],[PRN Med Started]]&lt;=AW$4,OR(Tbl_ResidentData[[#This Row],[PRN Med Discontinued]]&gt;AW$4,ISBLANK(Tbl_ResidentData[[#This Row],[PRN Med Discontinued]])))</f>
        <v>0</v>
      </c>
      <c r="BV22" s="129" t="b">
        <f ca="1">AND(Tbl_ResidentData[[#This Row],[PRN Med Started]]&lt;&gt;"",Tbl_ResidentData[[#This Row],[PRN Med Started]]&lt;=NOW(),Tbl_ResidentData[[#This Row],[PRN Med Started]]&lt;=AX$4,OR(Tbl_ResidentData[[#This Row],[PRN Med Discontinued]]&gt;AX$4,ISBLANK(Tbl_ResidentData[[#This Row],[PRN Med Discontinued]])))</f>
        <v>0</v>
      </c>
      <c r="BW22" s="129" t="b">
        <f ca="1">AND(Tbl_ResidentData[[#This Row],[PRN Med Started]]&lt;&gt;"",Tbl_ResidentData[[#This Row],[PRN Med Started]]&lt;=NOW(),Tbl_ResidentData[[#This Row],[PRN Med Started]]&lt;=AY$4,OR(Tbl_ResidentData[[#This Row],[PRN Med Discontinued]]&gt;AY$4,ISBLANK(Tbl_ResidentData[[#This Row],[PRN Med Discontinued]])))</f>
        <v>0</v>
      </c>
      <c r="BX22" s="129" t="b">
        <f ca="1">AND(Tbl_ResidentData[[#This Row],[PRN Med Started]]&lt;&gt;"",Tbl_ResidentData[[#This Row],[PRN Med Started]]&lt;=NOW(),Tbl_ResidentData[[#This Row],[PRN Med Started]]&lt;=AZ$4,OR(Tbl_ResidentData[[#This Row],[PRN Med Discontinued]]&gt;AZ$4,ISBLANK(Tbl_ResidentData[[#This Row],[PRN Med Discontinued]])))</f>
        <v>0</v>
      </c>
      <c r="BY22" s="129" t="b">
        <f ca="1">AND(Tbl_ResidentData[[#This Row],[PRN Med Started]]&lt;&gt;"",Tbl_ResidentData[[#This Row],[PRN Med Started]]&lt;=NOW(),Tbl_ResidentData[[#This Row],[PRN Med Started]]&lt;=BA$4,OR(Tbl_ResidentData[[#This Row],[PRN Med Discontinued]]&gt;BA$4,ISBLANK(Tbl_ResidentData[[#This Row],[PRN Med Discontinued]])))</f>
        <v>0</v>
      </c>
      <c r="BZ22" s="129" t="b">
        <f ca="1">AND(Tbl_ResidentData[[#This Row],[PRN Med Started]]&lt;&gt;"",Tbl_ResidentData[[#This Row],[PRN Med Started]]&lt;=NOW(),Tbl_ResidentData[[#This Row],[PRN Med Started]]&lt;=BB$4,OR(Tbl_ResidentData[[#This Row],[PRN Med Discontinued]]&gt;BB$4,ISBLANK(Tbl_ResidentData[[#This Row],[PRN Med Discontinued]])))</f>
        <v>0</v>
      </c>
      <c r="CA22" s="129" t="b">
        <f ca="1">AND(Tbl_ResidentData[[#This Row],[PRN Med Started]]&lt;&gt;"",Tbl_ResidentData[[#This Row],[PRN Med Started]]&lt;=NOW(),Tbl_ResidentData[[#This Row],[PRN Med Started]]&lt;=BC$4,OR(Tbl_ResidentData[[#This Row],[PRN Med Discontinued]]&gt;BC$4,ISBLANK(Tbl_ResidentData[[#This Row],[PRN Med Discontinued]])))</f>
        <v>0</v>
      </c>
      <c r="CB22" s="129" t="b">
        <f ca="1">AND(Tbl_ResidentData[[#This Row],[PRN Med Started]]&lt;&gt;"",Tbl_ResidentData[[#This Row],[PRN Med Started]]&lt;=NOW(),Tbl_ResidentData[[#This Row],[PRN Med Started]]&lt;=BD$4,OR(Tbl_ResidentData[[#This Row],[PRN Med Discontinued]]&gt;BD$4,ISBLANK(Tbl_ResidentData[[#This Row],[PRN Med Discontinued]])))</f>
        <v>0</v>
      </c>
      <c r="CC22" s="129" t="b">
        <f ca="1">AND(Tbl_ResidentData[[#This Row],[PRN Med Started]]&lt;&gt;"",Tbl_ResidentData[[#This Row],[PRN Med Started]]&lt;=NOW(),Tbl_ResidentData[[#This Row],[PRN Med Started]]&lt;=BE$4,OR(Tbl_ResidentData[[#This Row],[PRN Med Discontinued]]&gt;BE$4,ISBLANK(Tbl_ResidentData[[#This Row],[PRN Med Discontinued]])))</f>
        <v>0</v>
      </c>
      <c r="CD22" s="129" t="b">
        <f ca="1">AND(Tbl_ResidentData[[#This Row],[PRN Med Started]]&lt;&gt;"",Tbl_ResidentData[[#This Row],[PRN Med Started]]&lt;=NOW(),Tbl_ResidentData[[#This Row],[PRN Med Started]]&lt;=BF$4,OR(Tbl_ResidentData[[#This Row],[PRN Med Discontinued]]&gt;BF$4,ISBLANK(Tbl_ResidentData[[#This Row],[PRN Med Discontinued]])))</f>
        <v>0</v>
      </c>
      <c r="CE22" s="129" t="b">
        <f ca="1">AND(Tbl_ResidentData[[#This Row],[PRN Med Started]]&lt;&gt;"",Tbl_ResidentData[[#This Row],[PRN Med Started]]&lt;=NOW(),Tbl_ResidentData[[#This Row],[PRN Med Started]]&lt;=BG$4,OR(Tbl_ResidentData[[#This Row],[PRN Med Discontinued]]&gt;BG$4,ISBLANK(Tbl_ResidentData[[#This Row],[PRN Med Discontinued]])))</f>
        <v>0</v>
      </c>
      <c r="CF22" s="129" t="b">
        <f ca="1">AND(Tbl_ResidentData[[#This Row],[PRN Med Started]]&lt;&gt;"",Tbl_ResidentData[[#This Row],[PRN Med Started]]&lt;=NOW(),Tbl_ResidentData[[#This Row],[PRN Med Started]]&lt;=BH$4,OR(Tbl_ResidentData[[#This Row],[PRN Med Discontinued]]&gt;BH$4,ISBLANK(Tbl_ResidentData[[#This Row],[PRN Med Discontinued]])))</f>
        <v>0</v>
      </c>
      <c r="CG22" s="129" t="b">
        <f ca="1">AND(Tbl_ResidentData[[#This Row],[PRN Med Started]]&lt;&gt;"",Tbl_ResidentData[[#This Row],[PRN Med Started]]&lt;=NOW(),Tbl_ResidentData[[#This Row],[PRN Med Started]]&lt;=BI$4,OR(Tbl_ResidentData[[#This Row],[PRN Med Discontinued]]&gt;BI$4,ISBLANK(Tbl_ResidentData[[#This Row],[PRN Med Discontinued]])))</f>
        <v>0</v>
      </c>
      <c r="CH22" s="129" t="b">
        <f ca="1">AND(Tbl_ResidentData[[#This Row],[PRN Med Started]]&lt;&gt;"",Tbl_ResidentData[[#This Row],[PRN Med Started]]&lt;=NOW(),Tbl_ResidentData[[#This Row],[PRN Med Started]]&lt;=BJ$4,OR(Tbl_ResidentData[[#This Row],[PRN Med Discontinued]]&gt;BJ$4,ISBLANK(Tbl_ResidentData[[#This Row],[PRN Med Discontinued]])))</f>
        <v>0</v>
      </c>
      <c r="CI22" s="129" t="b">
        <f ca="1">AND(Tbl_ResidentData[[#This Row],[PRN Med Started]]&lt;&gt;"",Tbl_ResidentData[[#This Row],[PRN Med Started]]&lt;=NOW(),Tbl_ResidentData[[#This Row],[PRN Med Started]]&lt;=BK$4,OR(Tbl_ResidentData[[#This Row],[PRN Med Discontinued]]&gt;BK$4,ISBLANK(Tbl_ResidentData[[#This Row],[PRN Med Discontinued]])))</f>
        <v>0</v>
      </c>
      <c r="CJ22" s="129" t="b">
        <f ca="1">AND(Tbl_ResidentData[[#This Row],[PRN Med Started]]&lt;&gt;"",Tbl_ResidentData[[#This Row],[PRN Med Started]]&lt;=NOW(),Tbl_ResidentData[[#This Row],[PRN Med Started]]&lt;=BL$4,OR(Tbl_ResidentData[[#This Row],[PRN Med Discontinued]]&gt;BL$4,ISBLANK(Tbl_ResidentData[[#This Row],[PRN Med Discontinued]])))</f>
        <v>0</v>
      </c>
      <c r="CK22" s="129" t="b">
        <f ca="1">AND(Tbl_ResidentData[[#This Row],[PRN Med Started]]&lt;&gt;"",Tbl_ResidentData[[#This Row],[PRN Med Started]]&lt;=NOW(),Tbl_ResidentData[[#This Row],[PRN Med Started]]&lt;=BM$4,OR(Tbl_ResidentData[[#This Row],[PRN Med Discontinued]]&gt;BM$4,ISBLANK(Tbl_ResidentData[[#This Row],[PRN Med Discontinued]])))</f>
        <v>0</v>
      </c>
      <c r="CL22" s="129" t="b">
        <f ca="1">AND(Tbl_ResidentData[[#This Row],[PRN Med Started]]&lt;&gt;"",Tbl_ResidentData[[#This Row],[PRN Med Started]]&lt;=NOW(),Tbl_ResidentData[[#This Row],[PRN Med Started]]&lt;=BN$4,OR(Tbl_ResidentData[[#This Row],[PRN Med Discontinued]]&gt;BN$4,ISBLANK(Tbl_ResidentData[[#This Row],[PRN Med Discontinued]])))</f>
        <v>0</v>
      </c>
      <c r="CM22" s="121" t="b">
        <f ca="1">AND(Tbl_ResidentData[[#This Row],[PRN Med Started]]&lt;&gt;"",Tbl_ResidentData[[#This Row],[PRN Med Started]]&lt;=NOW(),Tbl_ResidentData[[#This Row],[PRN Med Started]]&lt;=BO$4,OR(Tbl_ResidentData[[#This Row],[PRN Med Discontinued]]&gt;BO$4,ISBLANK(Tbl_ResidentData[[#This Row],[PRN Med Discontinued]])))</f>
        <v>0</v>
      </c>
      <c r="CN22" s="122" t="b">
        <f ca="1">AND(Tbl_ResidentData[[#This Row],[PRN Med Started]]&lt;&gt;"",Tbl_ResidentData[[#This Row],[PRN Med Started]]&lt;=NOW(),Tbl_ResidentData[[#This Row],[PRN Med Started]]&lt;=BP$4,OR(Tbl_ResidentData[[#This Row],[PRN Med Discontinued]]&gt;BP$4,ISBLANK(Tbl_ResidentData[[#This Row],[PRN Med Discontinued]])))</f>
        <v>0</v>
      </c>
      <c r="CO22" s="120">
        <f ca="1">IF(OR(Tbl_ResidentData[[#This Row],[S1]]=TRUE,Tbl_ResidentData[[#This Row],[P1]]=TRUE),1,0)</f>
        <v>0</v>
      </c>
      <c r="CP22" s="121">
        <f ca="1">IF(OR(Tbl_ResidentData[[#This Row],[S2]]=TRUE,Tbl_ResidentData[[#This Row],[P2]]=TRUE),1,0)</f>
        <v>0</v>
      </c>
      <c r="CQ22" s="121">
        <f ca="1">IF(OR(Tbl_ResidentData[[#This Row],[S3]]=TRUE,Tbl_ResidentData[[#This Row],[P3]]=TRUE),1,0)</f>
        <v>0</v>
      </c>
      <c r="CR22" s="130">
        <f ca="1">IF(OR(Tbl_ResidentData[[#This Row],[S4]]=TRUE,Tbl_ResidentData[[#This Row],[P4]]=TRUE),1,0)</f>
        <v>0</v>
      </c>
      <c r="CS22" s="130">
        <f ca="1">IF(OR(Tbl_ResidentData[[#This Row],[S5]]=TRUE,Tbl_ResidentData[[#This Row],[P5]]=TRUE),1,0)</f>
        <v>0</v>
      </c>
      <c r="CT22" s="130">
        <f ca="1">IF(OR(Tbl_ResidentData[[#This Row],[S6]]=TRUE,Tbl_ResidentData[[#This Row],[P6]]=TRUE),1,0)</f>
        <v>0</v>
      </c>
      <c r="CU22" s="130">
        <f ca="1">IF(OR(Tbl_ResidentData[[#This Row],[S7]]=TRUE,Tbl_ResidentData[[#This Row],[P7]]=TRUE),1,0)</f>
        <v>0</v>
      </c>
      <c r="CV22" s="130">
        <f ca="1">IF(OR(Tbl_ResidentData[[#This Row],[S8]]=TRUE,Tbl_ResidentData[[#This Row],[P8]]=TRUE),1,0)</f>
        <v>0</v>
      </c>
      <c r="CW22" s="130">
        <f ca="1">IF(OR(Tbl_ResidentData[[#This Row],[S9]]=TRUE,Tbl_ResidentData[[#This Row],[P9]]=TRUE),1,0)</f>
        <v>0</v>
      </c>
      <c r="CX22" s="130">
        <f ca="1">IF(OR(Tbl_ResidentData[[#This Row],[S10]]=TRUE,Tbl_ResidentData[[#This Row],[P10]]=TRUE),1,0)</f>
        <v>0</v>
      </c>
      <c r="CY22" s="130">
        <f ca="1">IF(OR(Tbl_ResidentData[[#This Row],[S11]]=TRUE,Tbl_ResidentData[[#This Row],[P11]]=TRUE),1,0)</f>
        <v>0</v>
      </c>
      <c r="CZ22" s="130">
        <f ca="1">IF(OR(Tbl_ResidentData[[#This Row],[S12]]=TRUE,Tbl_ResidentData[[#This Row],[P12]]=TRUE),1,0)</f>
        <v>0</v>
      </c>
      <c r="DA22" s="130">
        <f ca="1">IF(OR(Tbl_ResidentData[[#This Row],[S13]]=TRUE,Tbl_ResidentData[[#This Row],[P13]]=TRUE),1,0)</f>
        <v>0</v>
      </c>
      <c r="DB22" s="130">
        <f ca="1">IF(OR(Tbl_ResidentData[[#This Row],[S14]]=TRUE,Tbl_ResidentData[[#This Row],[P14]]=TRUE),1,0)</f>
        <v>0</v>
      </c>
      <c r="DC22" s="130">
        <f ca="1">IF(OR(Tbl_ResidentData[[#This Row],[S15]]=TRUE,Tbl_ResidentData[[#This Row],[P15]]=TRUE),1,0)</f>
        <v>0</v>
      </c>
      <c r="DD22" s="130">
        <f ca="1">IF(OR(Tbl_ResidentData[[#This Row],[S16]]=TRUE,Tbl_ResidentData[[#This Row],[P16]]=TRUE),1,0)</f>
        <v>0</v>
      </c>
      <c r="DE22" s="130">
        <f ca="1">IF(OR(Tbl_ResidentData[[#This Row],[S17]]=TRUE,Tbl_ResidentData[[#This Row],[P17]]=TRUE),1,0)</f>
        <v>0</v>
      </c>
      <c r="DF22" s="130">
        <f ca="1">IF(OR(Tbl_ResidentData[[#This Row],[S18]]=TRUE,Tbl_ResidentData[[#This Row],[P18]]=TRUE),1,0)</f>
        <v>0</v>
      </c>
      <c r="DG22" s="130">
        <f ca="1">IF(OR(Tbl_ResidentData[[#This Row],[S19]]=TRUE,Tbl_ResidentData[[#This Row],[P19]]=TRUE),1,0)</f>
        <v>0</v>
      </c>
      <c r="DH22" s="130">
        <f ca="1">IF(OR(Tbl_ResidentData[[#This Row],[S20]]=TRUE,Tbl_ResidentData[[#This Row],[P20]]=TRUE),1,0)</f>
        <v>0</v>
      </c>
      <c r="DI22" s="130">
        <f ca="1">IF(OR(Tbl_ResidentData[[#This Row],[S21]]=TRUE,Tbl_ResidentData[[#This Row],[P21]]=TRUE),1,0)</f>
        <v>0</v>
      </c>
      <c r="DJ22" s="130">
        <f ca="1">IF(OR(Tbl_ResidentData[[#This Row],[S22]]=TRUE,Tbl_ResidentData[[#This Row],[P22]]=TRUE),1,0)</f>
        <v>0</v>
      </c>
      <c r="DK22" s="130">
        <f ca="1">IF(OR(Tbl_ResidentData[[#This Row],[S23]]=TRUE,Tbl_ResidentData[[#This Row],[P23]]=TRUE),1,0)</f>
        <v>0</v>
      </c>
      <c r="DL22" s="130">
        <f ca="1">IF(OR(Tbl_ResidentData[[#This Row],[S24]]=TRUE,Tbl_ResidentData[[#This Row],[P24]]=TRUE),1,0)</f>
        <v>0</v>
      </c>
      <c r="DM22" s="123" t="str">
        <f ca="1">IFERROR(INDEX($CO$4:$DL$4,MATCH(TRUE,INDEX((Tbl_ResidentData[[#This Row],[Over1]:[Over24]]&lt;&gt;0),0),0)),"")</f>
        <v/>
      </c>
      <c r="DN22" s="133" t="str">
        <f>IFERROR(INDEX(Tbl_PDSAData[Last DRT],MATCH(Tbl_ResidentData[Resident Name '[last, first']],Tbl_PDSAData[Resident Name (last, first)],0)),"")</f>
        <v/>
      </c>
      <c r="DO22" s="222" t="str">
        <f>IFERROR(INDEX(Tbl_PDSAData[Last MR],MATCH(Tbl_ResidentData[Resident Name '[last, first']],Tbl_PDSAData[Resident Name (last, first)],0)),"")</f>
        <v/>
      </c>
    </row>
    <row r="23" spans="1:119" x14ac:dyDescent="0.25">
      <c r="A23" s="179"/>
      <c r="B23" s="180"/>
      <c r="C23" s="180"/>
      <c r="D23" s="218"/>
      <c r="E23" s="179"/>
      <c r="F23" s="179"/>
      <c r="G23" s="181"/>
      <c r="H23" s="375"/>
      <c r="I23" s="186"/>
      <c r="J23" s="387"/>
      <c r="K23" s="178"/>
      <c r="L23" s="388"/>
      <c r="M23" s="187"/>
      <c r="N23" s="387"/>
      <c r="O23" s="178"/>
      <c r="P23" s="388"/>
      <c r="Q23" s="395"/>
      <c r="R23" s="396"/>
      <c r="S23" s="132" t="str">
        <f>IF(ISBLANK(Tbl_ResidentData[[#This Row],[Discharge '[mmm-yyyy']]]),IF(ISBLANK(Tbl_ResidentData[[#This Row],[Enrollment '[mmm-yyyy']]]),"","In Care Home"),"Discharged")</f>
        <v/>
      </c>
      <c r="T23" s="128" t="str">
        <f>IF(ISBLANK(Tbl_ResidentData[[#This Row],[Diagnosis (RAI)]]),IF(ISBLANK(Tbl_ResidentData[[#This Row],[Resident Name '[last, first']]]),"",0),IF(Tbl_ResidentData[[#This Row],[Diagnosis (RAI)]]="Other (see clinical notes)",0,1))</f>
        <v/>
      </c>
      <c r="U23" s="129" t="str">
        <f ca="1">IF(U$4&gt;NOW(),"-",IF(ISBLANK(Tbl_ResidentData[[#This Row],[Enrollment '[mmm-yyyy']]]),"-",AND((Tbl_ResidentData[[#This Row],[Enrollment '[mmm-yyyy']]]&lt;=U$4),IF(ISBLANK(Tbl_ResidentData[[#This Row],[Discharge '[mmm-yyyy']]]),TRUE,(Tbl_ResidentData[[#This Row],[Discharge '[mmm-yyyy']]]&gt;=U$4)))))</f>
        <v>-</v>
      </c>
      <c r="V23" s="121" t="str">
        <f ca="1">IF(V$4&gt;NOW(),"-",IF(ISBLANK(Tbl_ResidentData[[#This Row],[Enrollment '[mmm-yyyy']]]),"-",AND((Tbl_ResidentData[[#This Row],[Enrollment '[mmm-yyyy']]]&lt;=V$4),IF(ISBLANK(Tbl_ResidentData[[#This Row],[Discharge '[mmm-yyyy']]]),TRUE,(Tbl_ResidentData[[#This Row],[Discharge '[mmm-yyyy']]]&gt;=V$4)))))</f>
        <v>-</v>
      </c>
      <c r="W23" s="121" t="str">
        <f ca="1">IF(W$4&gt;NOW(),"-",IF(ISBLANK(Tbl_ResidentData[[#This Row],[Enrollment '[mmm-yyyy']]]),"-",AND((Tbl_ResidentData[[#This Row],[Enrollment '[mmm-yyyy']]]&lt;=W$4),IF(ISBLANK(Tbl_ResidentData[[#This Row],[Discharge '[mmm-yyyy']]]),TRUE,(Tbl_ResidentData[[#This Row],[Discharge '[mmm-yyyy']]]&gt;=W$4)))))</f>
        <v>-</v>
      </c>
      <c r="X23" s="121" t="str">
        <f ca="1">IF(X$4&gt;NOW(),"-",IF(ISBLANK(Tbl_ResidentData[[#This Row],[Enrollment '[mmm-yyyy']]]),"-",AND((Tbl_ResidentData[[#This Row],[Enrollment '[mmm-yyyy']]]&lt;=X$4),IF(ISBLANK(Tbl_ResidentData[[#This Row],[Discharge '[mmm-yyyy']]]),TRUE,(Tbl_ResidentData[[#This Row],[Discharge '[mmm-yyyy']]]&gt;=X$4)))))</f>
        <v>-</v>
      </c>
      <c r="Y23" s="121" t="str">
        <f ca="1">IF(Y$4&gt;NOW(),"-",IF(ISBLANK(Tbl_ResidentData[[#This Row],[Enrollment '[mmm-yyyy']]]),"-",AND((Tbl_ResidentData[[#This Row],[Enrollment '[mmm-yyyy']]]&lt;=Y$4),IF(ISBLANK(Tbl_ResidentData[[#This Row],[Discharge '[mmm-yyyy']]]),TRUE,(Tbl_ResidentData[[#This Row],[Discharge '[mmm-yyyy']]]&gt;=Y$4)))))</f>
        <v>-</v>
      </c>
      <c r="Z23" s="121" t="str">
        <f ca="1">IF(Z$4&gt;NOW(),"-",IF(ISBLANK(Tbl_ResidentData[[#This Row],[Enrollment '[mmm-yyyy']]]),"-",AND((Tbl_ResidentData[[#This Row],[Enrollment '[mmm-yyyy']]]&lt;=Z$4),IF(ISBLANK(Tbl_ResidentData[[#This Row],[Discharge '[mmm-yyyy']]]),TRUE,(Tbl_ResidentData[[#This Row],[Discharge '[mmm-yyyy']]]&gt;=Z$4)))))</f>
        <v>-</v>
      </c>
      <c r="AA23" s="121" t="str">
        <f ca="1">IF(AA$4&gt;NOW(),"-",IF(ISBLANK(Tbl_ResidentData[[#This Row],[Enrollment '[mmm-yyyy']]]),"-",AND((Tbl_ResidentData[[#This Row],[Enrollment '[mmm-yyyy']]]&lt;=AA$4),IF(ISBLANK(Tbl_ResidentData[[#This Row],[Discharge '[mmm-yyyy']]]),TRUE,(Tbl_ResidentData[[#This Row],[Discharge '[mmm-yyyy']]]&gt;=AA$4)))))</f>
        <v>-</v>
      </c>
      <c r="AB23" s="121" t="str">
        <f ca="1">IF(AB$4&gt;NOW(),"-",IF(ISBLANK(Tbl_ResidentData[[#This Row],[Enrollment '[mmm-yyyy']]]),"-",AND((Tbl_ResidentData[[#This Row],[Enrollment '[mmm-yyyy']]]&lt;=AB$4),IF(ISBLANK(Tbl_ResidentData[[#This Row],[Discharge '[mmm-yyyy']]]),TRUE,(Tbl_ResidentData[[#This Row],[Discharge '[mmm-yyyy']]]&gt;=AB$4)))))</f>
        <v>-</v>
      </c>
      <c r="AC23" s="121" t="str">
        <f ca="1">IF(AC$4&gt;NOW(),"-",IF(ISBLANK(Tbl_ResidentData[[#This Row],[Enrollment '[mmm-yyyy']]]),"-",AND((Tbl_ResidentData[[#This Row],[Enrollment '[mmm-yyyy']]]&lt;=AC$4),IF(ISBLANK(Tbl_ResidentData[[#This Row],[Discharge '[mmm-yyyy']]]),TRUE,(Tbl_ResidentData[[#This Row],[Discharge '[mmm-yyyy']]]&gt;=AC$4)))))</f>
        <v>-</v>
      </c>
      <c r="AD23" s="121" t="str">
        <f ca="1">IF(AD$4&gt;NOW(),"-",IF(ISBLANK(Tbl_ResidentData[[#This Row],[Enrollment '[mmm-yyyy']]]),"-",AND((Tbl_ResidentData[[#This Row],[Enrollment '[mmm-yyyy']]]&lt;=AD$4),IF(ISBLANK(Tbl_ResidentData[[#This Row],[Discharge '[mmm-yyyy']]]),TRUE,(Tbl_ResidentData[[#This Row],[Discharge '[mmm-yyyy']]]&gt;=AD$4)))))</f>
        <v>-</v>
      </c>
      <c r="AE23" s="121" t="str">
        <f ca="1">IF(AE$4&gt;NOW(),"-",IF(ISBLANK(Tbl_ResidentData[[#This Row],[Enrollment '[mmm-yyyy']]]),"-",AND((Tbl_ResidentData[[#This Row],[Enrollment '[mmm-yyyy']]]&lt;=AE$4),IF(ISBLANK(Tbl_ResidentData[[#This Row],[Discharge '[mmm-yyyy']]]),TRUE,(Tbl_ResidentData[[#This Row],[Discharge '[mmm-yyyy']]]&gt;=AE$4)))))</f>
        <v>-</v>
      </c>
      <c r="AF23" s="121" t="str">
        <f ca="1">IF(AF$4&gt;NOW(),"-",IF(ISBLANK(Tbl_ResidentData[[#This Row],[Enrollment '[mmm-yyyy']]]),"-",AND((Tbl_ResidentData[[#This Row],[Enrollment '[mmm-yyyy']]]&lt;=AF$4),IF(ISBLANK(Tbl_ResidentData[[#This Row],[Discharge '[mmm-yyyy']]]),TRUE,(Tbl_ResidentData[[#This Row],[Discharge '[mmm-yyyy']]]&gt;=AF$4)))))</f>
        <v>-</v>
      </c>
      <c r="AG23" s="121" t="str">
        <f ca="1">IF(AG$4&gt;NOW(),"-",IF(ISBLANK(Tbl_ResidentData[[#This Row],[Enrollment '[mmm-yyyy']]]),"-",AND((Tbl_ResidentData[[#This Row],[Enrollment '[mmm-yyyy']]]&lt;=AG$4),IF(ISBLANK(Tbl_ResidentData[[#This Row],[Discharge '[mmm-yyyy']]]),TRUE,(Tbl_ResidentData[[#This Row],[Discharge '[mmm-yyyy']]]&gt;=AG$4)))))</f>
        <v>-</v>
      </c>
      <c r="AH23" s="121" t="str">
        <f ca="1">IF(AH$4&gt;NOW(),"-",IF(ISBLANK(Tbl_ResidentData[[#This Row],[Enrollment '[mmm-yyyy']]]),"-",AND((Tbl_ResidentData[[#This Row],[Enrollment '[mmm-yyyy']]]&lt;=AH$4),IF(ISBLANK(Tbl_ResidentData[[#This Row],[Discharge '[mmm-yyyy']]]),TRUE,(Tbl_ResidentData[[#This Row],[Discharge '[mmm-yyyy']]]&gt;=AH$4)))))</f>
        <v>-</v>
      </c>
      <c r="AI23" s="121" t="str">
        <f ca="1">IF(AI$4&gt;NOW(),"-",IF(ISBLANK(Tbl_ResidentData[[#This Row],[Enrollment '[mmm-yyyy']]]),"-",AND((Tbl_ResidentData[[#This Row],[Enrollment '[mmm-yyyy']]]&lt;=AI$4),IF(ISBLANK(Tbl_ResidentData[[#This Row],[Discharge '[mmm-yyyy']]]),TRUE,(Tbl_ResidentData[[#This Row],[Discharge '[mmm-yyyy']]]&gt;=AI$4)))))</f>
        <v>-</v>
      </c>
      <c r="AJ23" s="121" t="str">
        <f ca="1">IF(AJ$4&gt;NOW(),"-",IF(ISBLANK(Tbl_ResidentData[[#This Row],[Enrollment '[mmm-yyyy']]]),"-",AND((Tbl_ResidentData[[#This Row],[Enrollment '[mmm-yyyy']]]&lt;=AJ$4),IF(ISBLANK(Tbl_ResidentData[[#This Row],[Discharge '[mmm-yyyy']]]),TRUE,(Tbl_ResidentData[[#This Row],[Discharge '[mmm-yyyy']]]&gt;=AJ$4)))))</f>
        <v>-</v>
      </c>
      <c r="AK23" s="121" t="str">
        <f ca="1">IF(AK$4&gt;NOW(),"-",IF(ISBLANK(Tbl_ResidentData[[#This Row],[Enrollment '[mmm-yyyy']]]),"-",AND((Tbl_ResidentData[[#This Row],[Enrollment '[mmm-yyyy']]]&lt;=AK$4),IF(ISBLANK(Tbl_ResidentData[[#This Row],[Discharge '[mmm-yyyy']]]),TRUE,(Tbl_ResidentData[[#This Row],[Discharge '[mmm-yyyy']]]&gt;=AK$4)))))</f>
        <v>-</v>
      </c>
      <c r="AL23" s="121" t="str">
        <f ca="1">IF(AL$4&gt;NOW(),"-",IF(ISBLANK(Tbl_ResidentData[[#This Row],[Enrollment '[mmm-yyyy']]]),"-",AND((Tbl_ResidentData[[#This Row],[Enrollment '[mmm-yyyy']]]&lt;=AL$4),IF(ISBLANK(Tbl_ResidentData[[#This Row],[Discharge '[mmm-yyyy']]]),TRUE,(Tbl_ResidentData[[#This Row],[Discharge '[mmm-yyyy']]]&gt;=AL$4)))))</f>
        <v>-</v>
      </c>
      <c r="AM23" s="121" t="str">
        <f ca="1">IF(AM$4&gt;NOW(),"-",IF(ISBLANK(Tbl_ResidentData[[#This Row],[Enrollment '[mmm-yyyy']]]),"-",AND((Tbl_ResidentData[[#This Row],[Enrollment '[mmm-yyyy']]]&lt;=AM$4),IF(ISBLANK(Tbl_ResidentData[[#This Row],[Discharge '[mmm-yyyy']]]),TRUE,(Tbl_ResidentData[[#This Row],[Discharge '[mmm-yyyy']]]&gt;=AM$4)))))</f>
        <v>-</v>
      </c>
      <c r="AN23" s="121" t="str">
        <f ca="1">IF(AN$4&gt;NOW(),"-",IF(ISBLANK(Tbl_ResidentData[[#This Row],[Enrollment '[mmm-yyyy']]]),"-",AND((Tbl_ResidentData[[#This Row],[Enrollment '[mmm-yyyy']]]&lt;=AN$4),IF(ISBLANK(Tbl_ResidentData[[#This Row],[Discharge '[mmm-yyyy']]]),TRUE,(Tbl_ResidentData[[#This Row],[Discharge '[mmm-yyyy']]]&gt;=AN$4)))))</f>
        <v>-</v>
      </c>
      <c r="AO23" s="121" t="str">
        <f ca="1">IF(AO$4&gt;NOW(),"-",IF(ISBLANK(Tbl_ResidentData[[#This Row],[Enrollment '[mmm-yyyy']]]),"-",AND((Tbl_ResidentData[[#This Row],[Enrollment '[mmm-yyyy']]]&lt;=AO$4),IF(ISBLANK(Tbl_ResidentData[[#This Row],[Discharge '[mmm-yyyy']]]),TRUE,(Tbl_ResidentData[[#This Row],[Discharge '[mmm-yyyy']]]&gt;=AO$4)))))</f>
        <v>-</v>
      </c>
      <c r="AP23" s="121" t="str">
        <f ca="1">IF(AP$4&gt;NOW(),"-",IF(ISBLANK(Tbl_ResidentData[[#This Row],[Enrollment '[mmm-yyyy']]]),"-",AND((Tbl_ResidentData[[#This Row],[Enrollment '[mmm-yyyy']]]&lt;=AP$4),IF(ISBLANK(Tbl_ResidentData[[#This Row],[Discharge '[mmm-yyyy']]]),TRUE,(Tbl_ResidentData[[#This Row],[Discharge '[mmm-yyyy']]]&gt;=AP$4)))))</f>
        <v>-</v>
      </c>
      <c r="AQ23" s="121" t="str">
        <f ca="1">IF(AQ$4&gt;NOW(),"-",IF(ISBLANK(Tbl_ResidentData[[#This Row],[Enrollment '[mmm-yyyy']]]),"-",AND((Tbl_ResidentData[[#This Row],[Enrollment '[mmm-yyyy']]]&lt;=AQ$4),IF(ISBLANK(Tbl_ResidentData[[#This Row],[Discharge '[mmm-yyyy']]]),TRUE,(Tbl_ResidentData[[#This Row],[Discharge '[mmm-yyyy']]]&gt;=AQ$4)))))</f>
        <v>-</v>
      </c>
      <c r="AR23" s="122" t="str">
        <f ca="1">IF(AR$4&gt;NOW(),"-",IF(ISBLANK(Tbl_ResidentData[[#This Row],[Enrollment '[mmm-yyyy']]]),"-",AND((Tbl_ResidentData[[#This Row],[Enrollment '[mmm-yyyy']]]&lt;=AR$4),IF(ISBLANK(Tbl_ResidentData[[#This Row],[Discharge '[mmm-yyyy']]]),TRUE,(Tbl_ResidentData[[#This Row],[Discharge '[mmm-yyyy']]]&gt;=AR$4)))))</f>
        <v>-</v>
      </c>
      <c r="AS2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23"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23"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23"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23"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23"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3"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3"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3"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3"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3"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3"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3"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3"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3"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3"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3"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3"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3"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3"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3"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3" s="120" t="b">
        <f ca="1">AND(Tbl_ResidentData[[#This Row],[PRN Med Started]]&lt;&gt;"",Tbl_ResidentData[[#This Row],[PRN Med Started]]&lt;=NOW(),Tbl_ResidentData[[#This Row],[PRN Med Started]]&lt;=AS$4,OR(Tbl_ResidentData[[#This Row],[PRN Med Discontinued]]&gt;AS$4,ISBLANK(Tbl_ResidentData[[#This Row],[PRN Med Discontinued]])))</f>
        <v>0</v>
      </c>
      <c r="BR23" s="121" t="b">
        <f ca="1">AND(Tbl_ResidentData[[#This Row],[PRN Med Started]]&lt;&gt;"",Tbl_ResidentData[[#This Row],[PRN Med Started]]&lt;=NOW(),Tbl_ResidentData[[#This Row],[PRN Med Started]]&lt;=AT$4,OR(Tbl_ResidentData[[#This Row],[PRN Med Discontinued]]&gt;AT$4,ISBLANK(Tbl_ResidentData[[#This Row],[PRN Med Discontinued]])))</f>
        <v>0</v>
      </c>
      <c r="BS23" s="129" t="b">
        <f ca="1">AND(Tbl_ResidentData[[#This Row],[PRN Med Started]]&lt;&gt;"",Tbl_ResidentData[[#This Row],[PRN Med Started]]&lt;=NOW(),Tbl_ResidentData[[#This Row],[PRN Med Started]]&lt;=AU$4,OR(Tbl_ResidentData[[#This Row],[PRN Med Discontinued]]&gt;AU$4,ISBLANK(Tbl_ResidentData[[#This Row],[PRN Med Discontinued]])))</f>
        <v>0</v>
      </c>
      <c r="BT23" s="129" t="b">
        <f ca="1">AND(Tbl_ResidentData[[#This Row],[PRN Med Started]]&lt;&gt;"",Tbl_ResidentData[[#This Row],[PRN Med Started]]&lt;=NOW(),Tbl_ResidentData[[#This Row],[PRN Med Started]]&lt;=AV$4,OR(Tbl_ResidentData[[#This Row],[PRN Med Discontinued]]&gt;AV$4,ISBLANK(Tbl_ResidentData[[#This Row],[PRN Med Discontinued]])))</f>
        <v>0</v>
      </c>
      <c r="BU23" s="129" t="b">
        <f ca="1">AND(Tbl_ResidentData[[#This Row],[PRN Med Started]]&lt;&gt;"",Tbl_ResidentData[[#This Row],[PRN Med Started]]&lt;=NOW(),Tbl_ResidentData[[#This Row],[PRN Med Started]]&lt;=AW$4,OR(Tbl_ResidentData[[#This Row],[PRN Med Discontinued]]&gt;AW$4,ISBLANK(Tbl_ResidentData[[#This Row],[PRN Med Discontinued]])))</f>
        <v>0</v>
      </c>
      <c r="BV23" s="129" t="b">
        <f ca="1">AND(Tbl_ResidentData[[#This Row],[PRN Med Started]]&lt;&gt;"",Tbl_ResidentData[[#This Row],[PRN Med Started]]&lt;=NOW(),Tbl_ResidentData[[#This Row],[PRN Med Started]]&lt;=AX$4,OR(Tbl_ResidentData[[#This Row],[PRN Med Discontinued]]&gt;AX$4,ISBLANK(Tbl_ResidentData[[#This Row],[PRN Med Discontinued]])))</f>
        <v>0</v>
      </c>
      <c r="BW23" s="129" t="b">
        <f ca="1">AND(Tbl_ResidentData[[#This Row],[PRN Med Started]]&lt;&gt;"",Tbl_ResidentData[[#This Row],[PRN Med Started]]&lt;=NOW(),Tbl_ResidentData[[#This Row],[PRN Med Started]]&lt;=AY$4,OR(Tbl_ResidentData[[#This Row],[PRN Med Discontinued]]&gt;AY$4,ISBLANK(Tbl_ResidentData[[#This Row],[PRN Med Discontinued]])))</f>
        <v>0</v>
      </c>
      <c r="BX23" s="129" t="b">
        <f ca="1">AND(Tbl_ResidentData[[#This Row],[PRN Med Started]]&lt;&gt;"",Tbl_ResidentData[[#This Row],[PRN Med Started]]&lt;=NOW(),Tbl_ResidentData[[#This Row],[PRN Med Started]]&lt;=AZ$4,OR(Tbl_ResidentData[[#This Row],[PRN Med Discontinued]]&gt;AZ$4,ISBLANK(Tbl_ResidentData[[#This Row],[PRN Med Discontinued]])))</f>
        <v>0</v>
      </c>
      <c r="BY23" s="129" t="b">
        <f ca="1">AND(Tbl_ResidentData[[#This Row],[PRN Med Started]]&lt;&gt;"",Tbl_ResidentData[[#This Row],[PRN Med Started]]&lt;=NOW(),Tbl_ResidentData[[#This Row],[PRN Med Started]]&lt;=BA$4,OR(Tbl_ResidentData[[#This Row],[PRN Med Discontinued]]&gt;BA$4,ISBLANK(Tbl_ResidentData[[#This Row],[PRN Med Discontinued]])))</f>
        <v>0</v>
      </c>
      <c r="BZ23" s="129" t="b">
        <f ca="1">AND(Tbl_ResidentData[[#This Row],[PRN Med Started]]&lt;&gt;"",Tbl_ResidentData[[#This Row],[PRN Med Started]]&lt;=NOW(),Tbl_ResidentData[[#This Row],[PRN Med Started]]&lt;=BB$4,OR(Tbl_ResidentData[[#This Row],[PRN Med Discontinued]]&gt;BB$4,ISBLANK(Tbl_ResidentData[[#This Row],[PRN Med Discontinued]])))</f>
        <v>0</v>
      </c>
      <c r="CA23" s="129" t="b">
        <f ca="1">AND(Tbl_ResidentData[[#This Row],[PRN Med Started]]&lt;&gt;"",Tbl_ResidentData[[#This Row],[PRN Med Started]]&lt;=NOW(),Tbl_ResidentData[[#This Row],[PRN Med Started]]&lt;=BC$4,OR(Tbl_ResidentData[[#This Row],[PRN Med Discontinued]]&gt;BC$4,ISBLANK(Tbl_ResidentData[[#This Row],[PRN Med Discontinued]])))</f>
        <v>0</v>
      </c>
      <c r="CB23" s="129" t="b">
        <f ca="1">AND(Tbl_ResidentData[[#This Row],[PRN Med Started]]&lt;&gt;"",Tbl_ResidentData[[#This Row],[PRN Med Started]]&lt;=NOW(),Tbl_ResidentData[[#This Row],[PRN Med Started]]&lt;=BD$4,OR(Tbl_ResidentData[[#This Row],[PRN Med Discontinued]]&gt;BD$4,ISBLANK(Tbl_ResidentData[[#This Row],[PRN Med Discontinued]])))</f>
        <v>0</v>
      </c>
      <c r="CC23" s="129" t="b">
        <f ca="1">AND(Tbl_ResidentData[[#This Row],[PRN Med Started]]&lt;&gt;"",Tbl_ResidentData[[#This Row],[PRN Med Started]]&lt;=NOW(),Tbl_ResidentData[[#This Row],[PRN Med Started]]&lt;=BE$4,OR(Tbl_ResidentData[[#This Row],[PRN Med Discontinued]]&gt;BE$4,ISBLANK(Tbl_ResidentData[[#This Row],[PRN Med Discontinued]])))</f>
        <v>0</v>
      </c>
      <c r="CD23" s="129" t="b">
        <f ca="1">AND(Tbl_ResidentData[[#This Row],[PRN Med Started]]&lt;&gt;"",Tbl_ResidentData[[#This Row],[PRN Med Started]]&lt;=NOW(),Tbl_ResidentData[[#This Row],[PRN Med Started]]&lt;=BF$4,OR(Tbl_ResidentData[[#This Row],[PRN Med Discontinued]]&gt;BF$4,ISBLANK(Tbl_ResidentData[[#This Row],[PRN Med Discontinued]])))</f>
        <v>0</v>
      </c>
      <c r="CE23" s="129" t="b">
        <f ca="1">AND(Tbl_ResidentData[[#This Row],[PRN Med Started]]&lt;&gt;"",Tbl_ResidentData[[#This Row],[PRN Med Started]]&lt;=NOW(),Tbl_ResidentData[[#This Row],[PRN Med Started]]&lt;=BG$4,OR(Tbl_ResidentData[[#This Row],[PRN Med Discontinued]]&gt;BG$4,ISBLANK(Tbl_ResidentData[[#This Row],[PRN Med Discontinued]])))</f>
        <v>0</v>
      </c>
      <c r="CF23" s="129" t="b">
        <f ca="1">AND(Tbl_ResidentData[[#This Row],[PRN Med Started]]&lt;&gt;"",Tbl_ResidentData[[#This Row],[PRN Med Started]]&lt;=NOW(),Tbl_ResidentData[[#This Row],[PRN Med Started]]&lt;=BH$4,OR(Tbl_ResidentData[[#This Row],[PRN Med Discontinued]]&gt;BH$4,ISBLANK(Tbl_ResidentData[[#This Row],[PRN Med Discontinued]])))</f>
        <v>0</v>
      </c>
      <c r="CG23" s="129" t="b">
        <f ca="1">AND(Tbl_ResidentData[[#This Row],[PRN Med Started]]&lt;&gt;"",Tbl_ResidentData[[#This Row],[PRN Med Started]]&lt;=NOW(),Tbl_ResidentData[[#This Row],[PRN Med Started]]&lt;=BI$4,OR(Tbl_ResidentData[[#This Row],[PRN Med Discontinued]]&gt;BI$4,ISBLANK(Tbl_ResidentData[[#This Row],[PRN Med Discontinued]])))</f>
        <v>0</v>
      </c>
      <c r="CH23" s="129" t="b">
        <f ca="1">AND(Tbl_ResidentData[[#This Row],[PRN Med Started]]&lt;&gt;"",Tbl_ResidentData[[#This Row],[PRN Med Started]]&lt;=NOW(),Tbl_ResidentData[[#This Row],[PRN Med Started]]&lt;=BJ$4,OR(Tbl_ResidentData[[#This Row],[PRN Med Discontinued]]&gt;BJ$4,ISBLANK(Tbl_ResidentData[[#This Row],[PRN Med Discontinued]])))</f>
        <v>0</v>
      </c>
      <c r="CI23" s="129" t="b">
        <f ca="1">AND(Tbl_ResidentData[[#This Row],[PRN Med Started]]&lt;&gt;"",Tbl_ResidentData[[#This Row],[PRN Med Started]]&lt;=NOW(),Tbl_ResidentData[[#This Row],[PRN Med Started]]&lt;=BK$4,OR(Tbl_ResidentData[[#This Row],[PRN Med Discontinued]]&gt;BK$4,ISBLANK(Tbl_ResidentData[[#This Row],[PRN Med Discontinued]])))</f>
        <v>0</v>
      </c>
      <c r="CJ23" s="129" t="b">
        <f ca="1">AND(Tbl_ResidentData[[#This Row],[PRN Med Started]]&lt;&gt;"",Tbl_ResidentData[[#This Row],[PRN Med Started]]&lt;=NOW(),Tbl_ResidentData[[#This Row],[PRN Med Started]]&lt;=BL$4,OR(Tbl_ResidentData[[#This Row],[PRN Med Discontinued]]&gt;BL$4,ISBLANK(Tbl_ResidentData[[#This Row],[PRN Med Discontinued]])))</f>
        <v>0</v>
      </c>
      <c r="CK23" s="129" t="b">
        <f ca="1">AND(Tbl_ResidentData[[#This Row],[PRN Med Started]]&lt;&gt;"",Tbl_ResidentData[[#This Row],[PRN Med Started]]&lt;=NOW(),Tbl_ResidentData[[#This Row],[PRN Med Started]]&lt;=BM$4,OR(Tbl_ResidentData[[#This Row],[PRN Med Discontinued]]&gt;BM$4,ISBLANK(Tbl_ResidentData[[#This Row],[PRN Med Discontinued]])))</f>
        <v>0</v>
      </c>
      <c r="CL23" s="129" t="b">
        <f ca="1">AND(Tbl_ResidentData[[#This Row],[PRN Med Started]]&lt;&gt;"",Tbl_ResidentData[[#This Row],[PRN Med Started]]&lt;=NOW(),Tbl_ResidentData[[#This Row],[PRN Med Started]]&lt;=BN$4,OR(Tbl_ResidentData[[#This Row],[PRN Med Discontinued]]&gt;BN$4,ISBLANK(Tbl_ResidentData[[#This Row],[PRN Med Discontinued]])))</f>
        <v>0</v>
      </c>
      <c r="CM23" s="121" t="b">
        <f ca="1">AND(Tbl_ResidentData[[#This Row],[PRN Med Started]]&lt;&gt;"",Tbl_ResidentData[[#This Row],[PRN Med Started]]&lt;=NOW(),Tbl_ResidentData[[#This Row],[PRN Med Started]]&lt;=BO$4,OR(Tbl_ResidentData[[#This Row],[PRN Med Discontinued]]&gt;BO$4,ISBLANK(Tbl_ResidentData[[#This Row],[PRN Med Discontinued]])))</f>
        <v>0</v>
      </c>
      <c r="CN23" s="122" t="b">
        <f ca="1">AND(Tbl_ResidentData[[#This Row],[PRN Med Started]]&lt;&gt;"",Tbl_ResidentData[[#This Row],[PRN Med Started]]&lt;=NOW(),Tbl_ResidentData[[#This Row],[PRN Med Started]]&lt;=BP$4,OR(Tbl_ResidentData[[#This Row],[PRN Med Discontinued]]&gt;BP$4,ISBLANK(Tbl_ResidentData[[#This Row],[PRN Med Discontinued]])))</f>
        <v>0</v>
      </c>
      <c r="CO23" s="120">
        <f ca="1">IF(OR(Tbl_ResidentData[[#This Row],[S1]]=TRUE,Tbl_ResidentData[[#This Row],[P1]]=TRUE),1,0)</f>
        <v>0</v>
      </c>
      <c r="CP23" s="121">
        <f ca="1">IF(OR(Tbl_ResidentData[[#This Row],[S2]]=TRUE,Tbl_ResidentData[[#This Row],[P2]]=TRUE),1,0)</f>
        <v>0</v>
      </c>
      <c r="CQ23" s="121">
        <f ca="1">IF(OR(Tbl_ResidentData[[#This Row],[S3]]=TRUE,Tbl_ResidentData[[#This Row],[P3]]=TRUE),1,0)</f>
        <v>0</v>
      </c>
      <c r="CR23" s="130">
        <f ca="1">IF(OR(Tbl_ResidentData[[#This Row],[S4]]=TRUE,Tbl_ResidentData[[#This Row],[P4]]=TRUE),1,0)</f>
        <v>0</v>
      </c>
      <c r="CS23" s="130">
        <f ca="1">IF(OR(Tbl_ResidentData[[#This Row],[S5]]=TRUE,Tbl_ResidentData[[#This Row],[P5]]=TRUE),1,0)</f>
        <v>0</v>
      </c>
      <c r="CT23" s="130">
        <f ca="1">IF(OR(Tbl_ResidentData[[#This Row],[S6]]=TRUE,Tbl_ResidentData[[#This Row],[P6]]=TRUE),1,0)</f>
        <v>0</v>
      </c>
      <c r="CU23" s="130">
        <f ca="1">IF(OR(Tbl_ResidentData[[#This Row],[S7]]=TRUE,Tbl_ResidentData[[#This Row],[P7]]=TRUE),1,0)</f>
        <v>0</v>
      </c>
      <c r="CV23" s="130">
        <f ca="1">IF(OR(Tbl_ResidentData[[#This Row],[S8]]=TRUE,Tbl_ResidentData[[#This Row],[P8]]=TRUE),1,0)</f>
        <v>0</v>
      </c>
      <c r="CW23" s="130">
        <f ca="1">IF(OR(Tbl_ResidentData[[#This Row],[S9]]=TRUE,Tbl_ResidentData[[#This Row],[P9]]=TRUE),1,0)</f>
        <v>0</v>
      </c>
      <c r="CX23" s="130">
        <f ca="1">IF(OR(Tbl_ResidentData[[#This Row],[S10]]=TRUE,Tbl_ResidentData[[#This Row],[P10]]=TRUE),1,0)</f>
        <v>0</v>
      </c>
      <c r="CY23" s="130">
        <f ca="1">IF(OR(Tbl_ResidentData[[#This Row],[S11]]=TRUE,Tbl_ResidentData[[#This Row],[P11]]=TRUE),1,0)</f>
        <v>0</v>
      </c>
      <c r="CZ23" s="130">
        <f ca="1">IF(OR(Tbl_ResidentData[[#This Row],[S12]]=TRUE,Tbl_ResidentData[[#This Row],[P12]]=TRUE),1,0)</f>
        <v>0</v>
      </c>
      <c r="DA23" s="130">
        <f ca="1">IF(OR(Tbl_ResidentData[[#This Row],[S13]]=TRUE,Tbl_ResidentData[[#This Row],[P13]]=TRUE),1,0)</f>
        <v>0</v>
      </c>
      <c r="DB23" s="130">
        <f ca="1">IF(OR(Tbl_ResidentData[[#This Row],[S14]]=TRUE,Tbl_ResidentData[[#This Row],[P14]]=TRUE),1,0)</f>
        <v>0</v>
      </c>
      <c r="DC23" s="130">
        <f ca="1">IF(OR(Tbl_ResidentData[[#This Row],[S15]]=TRUE,Tbl_ResidentData[[#This Row],[P15]]=TRUE),1,0)</f>
        <v>0</v>
      </c>
      <c r="DD23" s="130">
        <f ca="1">IF(OR(Tbl_ResidentData[[#This Row],[S16]]=TRUE,Tbl_ResidentData[[#This Row],[P16]]=TRUE),1,0)</f>
        <v>0</v>
      </c>
      <c r="DE23" s="130">
        <f ca="1">IF(OR(Tbl_ResidentData[[#This Row],[S17]]=TRUE,Tbl_ResidentData[[#This Row],[P17]]=TRUE),1,0)</f>
        <v>0</v>
      </c>
      <c r="DF23" s="130">
        <f ca="1">IF(OR(Tbl_ResidentData[[#This Row],[S18]]=TRUE,Tbl_ResidentData[[#This Row],[P18]]=TRUE),1,0)</f>
        <v>0</v>
      </c>
      <c r="DG23" s="130">
        <f ca="1">IF(OR(Tbl_ResidentData[[#This Row],[S19]]=TRUE,Tbl_ResidentData[[#This Row],[P19]]=TRUE),1,0)</f>
        <v>0</v>
      </c>
      <c r="DH23" s="130">
        <f ca="1">IF(OR(Tbl_ResidentData[[#This Row],[S20]]=TRUE,Tbl_ResidentData[[#This Row],[P20]]=TRUE),1,0)</f>
        <v>0</v>
      </c>
      <c r="DI23" s="130">
        <f ca="1">IF(OR(Tbl_ResidentData[[#This Row],[S21]]=TRUE,Tbl_ResidentData[[#This Row],[P21]]=TRUE),1,0)</f>
        <v>0</v>
      </c>
      <c r="DJ23" s="130">
        <f ca="1">IF(OR(Tbl_ResidentData[[#This Row],[S22]]=TRUE,Tbl_ResidentData[[#This Row],[P22]]=TRUE),1,0)</f>
        <v>0</v>
      </c>
      <c r="DK23" s="130">
        <f ca="1">IF(OR(Tbl_ResidentData[[#This Row],[S23]]=TRUE,Tbl_ResidentData[[#This Row],[P23]]=TRUE),1,0)</f>
        <v>0</v>
      </c>
      <c r="DL23" s="130">
        <f ca="1">IF(OR(Tbl_ResidentData[[#This Row],[S24]]=TRUE,Tbl_ResidentData[[#This Row],[P24]]=TRUE),1,0)</f>
        <v>0</v>
      </c>
      <c r="DM23" s="123" t="str">
        <f ca="1">IFERROR(INDEX($CO$4:$DL$4,MATCH(TRUE,INDEX((Tbl_ResidentData[[#This Row],[Over1]:[Over24]]&lt;&gt;0),0),0)),"")</f>
        <v/>
      </c>
      <c r="DN23" s="133" t="str">
        <f>IFERROR(INDEX(Tbl_PDSAData[Last DRT],MATCH(Tbl_ResidentData[Resident Name '[last, first']],Tbl_PDSAData[Resident Name (last, first)],0)),"")</f>
        <v/>
      </c>
      <c r="DO23" s="222" t="str">
        <f>IFERROR(INDEX(Tbl_PDSAData[Last MR],MATCH(Tbl_ResidentData[Resident Name '[last, first']],Tbl_PDSAData[Resident Name (last, first)],0)),"")</f>
        <v/>
      </c>
    </row>
    <row r="24" spans="1:119" x14ac:dyDescent="0.25">
      <c r="A24" s="179"/>
      <c r="B24" s="180"/>
      <c r="C24" s="180"/>
      <c r="D24" s="218"/>
      <c r="E24" s="179"/>
      <c r="F24" s="179"/>
      <c r="G24" s="181"/>
      <c r="H24" s="182"/>
      <c r="I24" s="186"/>
      <c r="J24" s="387"/>
      <c r="K24" s="178"/>
      <c r="L24" s="388"/>
      <c r="M24" s="187"/>
      <c r="N24" s="387"/>
      <c r="O24" s="178"/>
      <c r="P24" s="388"/>
      <c r="Q24" s="394"/>
      <c r="R24" s="388"/>
      <c r="S24" s="132" t="str">
        <f>IF(ISBLANK(Tbl_ResidentData[[#This Row],[Discharge '[mmm-yyyy']]]),IF(ISBLANK(Tbl_ResidentData[[#This Row],[Enrollment '[mmm-yyyy']]]),"","In Care Home"),"Discharged")</f>
        <v/>
      </c>
      <c r="T24" s="128" t="str">
        <f>IF(ISBLANK(Tbl_ResidentData[[#This Row],[Diagnosis (RAI)]]),IF(ISBLANK(Tbl_ResidentData[[#This Row],[Resident Name '[last, first']]]),"",0),IF(Tbl_ResidentData[[#This Row],[Diagnosis (RAI)]]="Other (see clinical notes)",0,1))</f>
        <v/>
      </c>
      <c r="U24" s="129" t="str">
        <f ca="1">IF(U$4&gt;NOW(),"-",IF(ISBLANK(Tbl_ResidentData[[#This Row],[Enrollment '[mmm-yyyy']]]),"-",AND((Tbl_ResidentData[[#This Row],[Enrollment '[mmm-yyyy']]]&lt;=U$4),IF(ISBLANK(Tbl_ResidentData[[#This Row],[Discharge '[mmm-yyyy']]]),TRUE,(Tbl_ResidentData[[#This Row],[Discharge '[mmm-yyyy']]]&gt;=U$4)))))</f>
        <v>-</v>
      </c>
      <c r="V24" s="121" t="str">
        <f ca="1">IF(V$4&gt;NOW(),"-",IF(ISBLANK(Tbl_ResidentData[[#This Row],[Enrollment '[mmm-yyyy']]]),"-",AND((Tbl_ResidentData[[#This Row],[Enrollment '[mmm-yyyy']]]&lt;=V$4),IF(ISBLANK(Tbl_ResidentData[[#This Row],[Discharge '[mmm-yyyy']]]),TRUE,(Tbl_ResidentData[[#This Row],[Discharge '[mmm-yyyy']]]&gt;=V$4)))))</f>
        <v>-</v>
      </c>
      <c r="W24" s="121" t="str">
        <f ca="1">IF(W$4&gt;NOW(),"-",IF(ISBLANK(Tbl_ResidentData[[#This Row],[Enrollment '[mmm-yyyy']]]),"-",AND((Tbl_ResidentData[[#This Row],[Enrollment '[mmm-yyyy']]]&lt;=W$4),IF(ISBLANK(Tbl_ResidentData[[#This Row],[Discharge '[mmm-yyyy']]]),TRUE,(Tbl_ResidentData[[#This Row],[Discharge '[mmm-yyyy']]]&gt;=W$4)))))</f>
        <v>-</v>
      </c>
      <c r="X24" s="121" t="str">
        <f ca="1">IF(X$4&gt;NOW(),"-",IF(ISBLANK(Tbl_ResidentData[[#This Row],[Enrollment '[mmm-yyyy']]]),"-",AND((Tbl_ResidentData[[#This Row],[Enrollment '[mmm-yyyy']]]&lt;=X$4),IF(ISBLANK(Tbl_ResidentData[[#This Row],[Discharge '[mmm-yyyy']]]),TRUE,(Tbl_ResidentData[[#This Row],[Discharge '[mmm-yyyy']]]&gt;=X$4)))))</f>
        <v>-</v>
      </c>
      <c r="Y24" s="121" t="str">
        <f ca="1">IF(Y$4&gt;NOW(),"-",IF(ISBLANK(Tbl_ResidentData[[#This Row],[Enrollment '[mmm-yyyy']]]),"-",AND((Tbl_ResidentData[[#This Row],[Enrollment '[mmm-yyyy']]]&lt;=Y$4),IF(ISBLANK(Tbl_ResidentData[[#This Row],[Discharge '[mmm-yyyy']]]),TRUE,(Tbl_ResidentData[[#This Row],[Discharge '[mmm-yyyy']]]&gt;=Y$4)))))</f>
        <v>-</v>
      </c>
      <c r="Z24" s="121" t="str">
        <f ca="1">IF(Z$4&gt;NOW(),"-",IF(ISBLANK(Tbl_ResidentData[[#This Row],[Enrollment '[mmm-yyyy']]]),"-",AND((Tbl_ResidentData[[#This Row],[Enrollment '[mmm-yyyy']]]&lt;=Z$4),IF(ISBLANK(Tbl_ResidentData[[#This Row],[Discharge '[mmm-yyyy']]]),TRUE,(Tbl_ResidentData[[#This Row],[Discharge '[mmm-yyyy']]]&gt;=Z$4)))))</f>
        <v>-</v>
      </c>
      <c r="AA24" s="121" t="str">
        <f ca="1">IF(AA$4&gt;NOW(),"-",IF(ISBLANK(Tbl_ResidentData[[#This Row],[Enrollment '[mmm-yyyy']]]),"-",AND((Tbl_ResidentData[[#This Row],[Enrollment '[mmm-yyyy']]]&lt;=AA$4),IF(ISBLANK(Tbl_ResidentData[[#This Row],[Discharge '[mmm-yyyy']]]),TRUE,(Tbl_ResidentData[[#This Row],[Discharge '[mmm-yyyy']]]&gt;=AA$4)))))</f>
        <v>-</v>
      </c>
      <c r="AB24" s="121" t="str">
        <f ca="1">IF(AB$4&gt;NOW(),"-",IF(ISBLANK(Tbl_ResidentData[[#This Row],[Enrollment '[mmm-yyyy']]]),"-",AND((Tbl_ResidentData[[#This Row],[Enrollment '[mmm-yyyy']]]&lt;=AB$4),IF(ISBLANK(Tbl_ResidentData[[#This Row],[Discharge '[mmm-yyyy']]]),TRUE,(Tbl_ResidentData[[#This Row],[Discharge '[mmm-yyyy']]]&gt;=AB$4)))))</f>
        <v>-</v>
      </c>
      <c r="AC24" s="121" t="str">
        <f ca="1">IF(AC$4&gt;NOW(),"-",IF(ISBLANK(Tbl_ResidentData[[#This Row],[Enrollment '[mmm-yyyy']]]),"-",AND((Tbl_ResidentData[[#This Row],[Enrollment '[mmm-yyyy']]]&lt;=AC$4),IF(ISBLANK(Tbl_ResidentData[[#This Row],[Discharge '[mmm-yyyy']]]),TRUE,(Tbl_ResidentData[[#This Row],[Discharge '[mmm-yyyy']]]&gt;=AC$4)))))</f>
        <v>-</v>
      </c>
      <c r="AD24" s="121" t="str">
        <f ca="1">IF(AD$4&gt;NOW(),"-",IF(ISBLANK(Tbl_ResidentData[[#This Row],[Enrollment '[mmm-yyyy']]]),"-",AND((Tbl_ResidentData[[#This Row],[Enrollment '[mmm-yyyy']]]&lt;=AD$4),IF(ISBLANK(Tbl_ResidentData[[#This Row],[Discharge '[mmm-yyyy']]]),TRUE,(Tbl_ResidentData[[#This Row],[Discharge '[mmm-yyyy']]]&gt;=AD$4)))))</f>
        <v>-</v>
      </c>
      <c r="AE24" s="121" t="str">
        <f ca="1">IF(AE$4&gt;NOW(),"-",IF(ISBLANK(Tbl_ResidentData[[#This Row],[Enrollment '[mmm-yyyy']]]),"-",AND((Tbl_ResidentData[[#This Row],[Enrollment '[mmm-yyyy']]]&lt;=AE$4),IF(ISBLANK(Tbl_ResidentData[[#This Row],[Discharge '[mmm-yyyy']]]),TRUE,(Tbl_ResidentData[[#This Row],[Discharge '[mmm-yyyy']]]&gt;=AE$4)))))</f>
        <v>-</v>
      </c>
      <c r="AF24" s="121" t="str">
        <f ca="1">IF(AF$4&gt;NOW(),"-",IF(ISBLANK(Tbl_ResidentData[[#This Row],[Enrollment '[mmm-yyyy']]]),"-",AND((Tbl_ResidentData[[#This Row],[Enrollment '[mmm-yyyy']]]&lt;=AF$4),IF(ISBLANK(Tbl_ResidentData[[#This Row],[Discharge '[mmm-yyyy']]]),TRUE,(Tbl_ResidentData[[#This Row],[Discharge '[mmm-yyyy']]]&gt;=AF$4)))))</f>
        <v>-</v>
      </c>
      <c r="AG24" s="121" t="str">
        <f ca="1">IF(AG$4&gt;NOW(),"-",IF(ISBLANK(Tbl_ResidentData[[#This Row],[Enrollment '[mmm-yyyy']]]),"-",AND((Tbl_ResidentData[[#This Row],[Enrollment '[mmm-yyyy']]]&lt;=AG$4),IF(ISBLANK(Tbl_ResidentData[[#This Row],[Discharge '[mmm-yyyy']]]),TRUE,(Tbl_ResidentData[[#This Row],[Discharge '[mmm-yyyy']]]&gt;=AG$4)))))</f>
        <v>-</v>
      </c>
      <c r="AH24" s="121" t="str">
        <f ca="1">IF(AH$4&gt;NOW(),"-",IF(ISBLANK(Tbl_ResidentData[[#This Row],[Enrollment '[mmm-yyyy']]]),"-",AND((Tbl_ResidentData[[#This Row],[Enrollment '[mmm-yyyy']]]&lt;=AH$4),IF(ISBLANK(Tbl_ResidentData[[#This Row],[Discharge '[mmm-yyyy']]]),TRUE,(Tbl_ResidentData[[#This Row],[Discharge '[mmm-yyyy']]]&gt;=AH$4)))))</f>
        <v>-</v>
      </c>
      <c r="AI24" s="121" t="str">
        <f ca="1">IF(AI$4&gt;NOW(),"-",IF(ISBLANK(Tbl_ResidentData[[#This Row],[Enrollment '[mmm-yyyy']]]),"-",AND((Tbl_ResidentData[[#This Row],[Enrollment '[mmm-yyyy']]]&lt;=AI$4),IF(ISBLANK(Tbl_ResidentData[[#This Row],[Discharge '[mmm-yyyy']]]),TRUE,(Tbl_ResidentData[[#This Row],[Discharge '[mmm-yyyy']]]&gt;=AI$4)))))</f>
        <v>-</v>
      </c>
      <c r="AJ24" s="121" t="str">
        <f ca="1">IF(AJ$4&gt;NOW(),"-",IF(ISBLANK(Tbl_ResidentData[[#This Row],[Enrollment '[mmm-yyyy']]]),"-",AND((Tbl_ResidentData[[#This Row],[Enrollment '[mmm-yyyy']]]&lt;=AJ$4),IF(ISBLANK(Tbl_ResidentData[[#This Row],[Discharge '[mmm-yyyy']]]),TRUE,(Tbl_ResidentData[[#This Row],[Discharge '[mmm-yyyy']]]&gt;=AJ$4)))))</f>
        <v>-</v>
      </c>
      <c r="AK24" s="121" t="str">
        <f ca="1">IF(AK$4&gt;NOW(),"-",IF(ISBLANK(Tbl_ResidentData[[#This Row],[Enrollment '[mmm-yyyy']]]),"-",AND((Tbl_ResidentData[[#This Row],[Enrollment '[mmm-yyyy']]]&lt;=AK$4),IF(ISBLANK(Tbl_ResidentData[[#This Row],[Discharge '[mmm-yyyy']]]),TRUE,(Tbl_ResidentData[[#This Row],[Discharge '[mmm-yyyy']]]&gt;=AK$4)))))</f>
        <v>-</v>
      </c>
      <c r="AL24" s="121" t="str">
        <f ca="1">IF(AL$4&gt;NOW(),"-",IF(ISBLANK(Tbl_ResidentData[[#This Row],[Enrollment '[mmm-yyyy']]]),"-",AND((Tbl_ResidentData[[#This Row],[Enrollment '[mmm-yyyy']]]&lt;=AL$4),IF(ISBLANK(Tbl_ResidentData[[#This Row],[Discharge '[mmm-yyyy']]]),TRUE,(Tbl_ResidentData[[#This Row],[Discharge '[mmm-yyyy']]]&gt;=AL$4)))))</f>
        <v>-</v>
      </c>
      <c r="AM24" s="121" t="str">
        <f ca="1">IF(AM$4&gt;NOW(),"-",IF(ISBLANK(Tbl_ResidentData[[#This Row],[Enrollment '[mmm-yyyy']]]),"-",AND((Tbl_ResidentData[[#This Row],[Enrollment '[mmm-yyyy']]]&lt;=AM$4),IF(ISBLANK(Tbl_ResidentData[[#This Row],[Discharge '[mmm-yyyy']]]),TRUE,(Tbl_ResidentData[[#This Row],[Discharge '[mmm-yyyy']]]&gt;=AM$4)))))</f>
        <v>-</v>
      </c>
      <c r="AN24" s="121" t="str">
        <f ca="1">IF(AN$4&gt;NOW(),"-",IF(ISBLANK(Tbl_ResidentData[[#This Row],[Enrollment '[mmm-yyyy']]]),"-",AND((Tbl_ResidentData[[#This Row],[Enrollment '[mmm-yyyy']]]&lt;=AN$4),IF(ISBLANK(Tbl_ResidentData[[#This Row],[Discharge '[mmm-yyyy']]]),TRUE,(Tbl_ResidentData[[#This Row],[Discharge '[mmm-yyyy']]]&gt;=AN$4)))))</f>
        <v>-</v>
      </c>
      <c r="AO24" s="121" t="str">
        <f ca="1">IF(AO$4&gt;NOW(),"-",IF(ISBLANK(Tbl_ResidentData[[#This Row],[Enrollment '[mmm-yyyy']]]),"-",AND((Tbl_ResidentData[[#This Row],[Enrollment '[mmm-yyyy']]]&lt;=AO$4),IF(ISBLANK(Tbl_ResidentData[[#This Row],[Discharge '[mmm-yyyy']]]),TRUE,(Tbl_ResidentData[[#This Row],[Discharge '[mmm-yyyy']]]&gt;=AO$4)))))</f>
        <v>-</v>
      </c>
      <c r="AP24" s="121" t="str">
        <f ca="1">IF(AP$4&gt;NOW(),"-",IF(ISBLANK(Tbl_ResidentData[[#This Row],[Enrollment '[mmm-yyyy']]]),"-",AND((Tbl_ResidentData[[#This Row],[Enrollment '[mmm-yyyy']]]&lt;=AP$4),IF(ISBLANK(Tbl_ResidentData[[#This Row],[Discharge '[mmm-yyyy']]]),TRUE,(Tbl_ResidentData[[#This Row],[Discharge '[mmm-yyyy']]]&gt;=AP$4)))))</f>
        <v>-</v>
      </c>
      <c r="AQ24" s="121" t="str">
        <f ca="1">IF(AQ$4&gt;NOW(),"-",IF(ISBLANK(Tbl_ResidentData[[#This Row],[Enrollment '[mmm-yyyy']]]),"-",AND((Tbl_ResidentData[[#This Row],[Enrollment '[mmm-yyyy']]]&lt;=AQ$4),IF(ISBLANK(Tbl_ResidentData[[#This Row],[Discharge '[mmm-yyyy']]]),TRUE,(Tbl_ResidentData[[#This Row],[Discharge '[mmm-yyyy']]]&gt;=AQ$4)))))</f>
        <v>-</v>
      </c>
      <c r="AR24" s="122" t="str">
        <f ca="1">IF(AR$4&gt;NOW(),"-",IF(ISBLANK(Tbl_ResidentData[[#This Row],[Enrollment '[mmm-yyyy']]]),"-",AND((Tbl_ResidentData[[#This Row],[Enrollment '[mmm-yyyy']]]&lt;=AR$4),IF(ISBLANK(Tbl_ResidentData[[#This Row],[Discharge '[mmm-yyyy']]]),TRUE,(Tbl_ResidentData[[#This Row],[Discharge '[mmm-yyyy']]]&gt;=AR$4)))))</f>
        <v>-</v>
      </c>
      <c r="AS2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24"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24"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24"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24"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24"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4"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4"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4"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4"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4"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4"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4"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4"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4"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4"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4"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4"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4"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4"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4"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4" s="120" t="b">
        <f ca="1">AND(Tbl_ResidentData[[#This Row],[PRN Med Started]]&lt;&gt;"",Tbl_ResidentData[[#This Row],[PRN Med Started]]&lt;=NOW(),Tbl_ResidentData[[#This Row],[PRN Med Started]]&lt;=AS$4,OR(Tbl_ResidentData[[#This Row],[PRN Med Discontinued]]&gt;AS$4,ISBLANK(Tbl_ResidentData[[#This Row],[PRN Med Discontinued]])))</f>
        <v>0</v>
      </c>
      <c r="BR24" s="121" t="b">
        <f ca="1">AND(Tbl_ResidentData[[#This Row],[PRN Med Started]]&lt;&gt;"",Tbl_ResidentData[[#This Row],[PRN Med Started]]&lt;=NOW(),Tbl_ResidentData[[#This Row],[PRN Med Started]]&lt;=AT$4,OR(Tbl_ResidentData[[#This Row],[PRN Med Discontinued]]&gt;AT$4,ISBLANK(Tbl_ResidentData[[#This Row],[PRN Med Discontinued]])))</f>
        <v>0</v>
      </c>
      <c r="BS24" s="129" t="b">
        <f ca="1">AND(Tbl_ResidentData[[#This Row],[PRN Med Started]]&lt;&gt;"",Tbl_ResidentData[[#This Row],[PRN Med Started]]&lt;=NOW(),Tbl_ResidentData[[#This Row],[PRN Med Started]]&lt;=AU$4,OR(Tbl_ResidentData[[#This Row],[PRN Med Discontinued]]&gt;AU$4,ISBLANK(Tbl_ResidentData[[#This Row],[PRN Med Discontinued]])))</f>
        <v>0</v>
      </c>
      <c r="BT24" s="129" t="b">
        <f ca="1">AND(Tbl_ResidentData[[#This Row],[PRN Med Started]]&lt;&gt;"",Tbl_ResidentData[[#This Row],[PRN Med Started]]&lt;=NOW(),Tbl_ResidentData[[#This Row],[PRN Med Started]]&lt;=AV$4,OR(Tbl_ResidentData[[#This Row],[PRN Med Discontinued]]&gt;AV$4,ISBLANK(Tbl_ResidentData[[#This Row],[PRN Med Discontinued]])))</f>
        <v>0</v>
      </c>
      <c r="BU24" s="129" t="b">
        <f ca="1">AND(Tbl_ResidentData[[#This Row],[PRN Med Started]]&lt;&gt;"",Tbl_ResidentData[[#This Row],[PRN Med Started]]&lt;=NOW(),Tbl_ResidentData[[#This Row],[PRN Med Started]]&lt;=AW$4,OR(Tbl_ResidentData[[#This Row],[PRN Med Discontinued]]&gt;AW$4,ISBLANK(Tbl_ResidentData[[#This Row],[PRN Med Discontinued]])))</f>
        <v>0</v>
      </c>
      <c r="BV24" s="129" t="b">
        <f ca="1">AND(Tbl_ResidentData[[#This Row],[PRN Med Started]]&lt;&gt;"",Tbl_ResidentData[[#This Row],[PRN Med Started]]&lt;=NOW(),Tbl_ResidentData[[#This Row],[PRN Med Started]]&lt;=AX$4,OR(Tbl_ResidentData[[#This Row],[PRN Med Discontinued]]&gt;AX$4,ISBLANK(Tbl_ResidentData[[#This Row],[PRN Med Discontinued]])))</f>
        <v>0</v>
      </c>
      <c r="BW24" s="129" t="b">
        <f ca="1">AND(Tbl_ResidentData[[#This Row],[PRN Med Started]]&lt;&gt;"",Tbl_ResidentData[[#This Row],[PRN Med Started]]&lt;=NOW(),Tbl_ResidentData[[#This Row],[PRN Med Started]]&lt;=AY$4,OR(Tbl_ResidentData[[#This Row],[PRN Med Discontinued]]&gt;AY$4,ISBLANK(Tbl_ResidentData[[#This Row],[PRN Med Discontinued]])))</f>
        <v>0</v>
      </c>
      <c r="BX24" s="129" t="b">
        <f ca="1">AND(Tbl_ResidentData[[#This Row],[PRN Med Started]]&lt;&gt;"",Tbl_ResidentData[[#This Row],[PRN Med Started]]&lt;=NOW(),Tbl_ResidentData[[#This Row],[PRN Med Started]]&lt;=AZ$4,OR(Tbl_ResidentData[[#This Row],[PRN Med Discontinued]]&gt;AZ$4,ISBLANK(Tbl_ResidentData[[#This Row],[PRN Med Discontinued]])))</f>
        <v>0</v>
      </c>
      <c r="BY24" s="129" t="b">
        <f ca="1">AND(Tbl_ResidentData[[#This Row],[PRN Med Started]]&lt;&gt;"",Tbl_ResidentData[[#This Row],[PRN Med Started]]&lt;=NOW(),Tbl_ResidentData[[#This Row],[PRN Med Started]]&lt;=BA$4,OR(Tbl_ResidentData[[#This Row],[PRN Med Discontinued]]&gt;BA$4,ISBLANK(Tbl_ResidentData[[#This Row],[PRN Med Discontinued]])))</f>
        <v>0</v>
      </c>
      <c r="BZ24" s="129" t="b">
        <f ca="1">AND(Tbl_ResidentData[[#This Row],[PRN Med Started]]&lt;&gt;"",Tbl_ResidentData[[#This Row],[PRN Med Started]]&lt;=NOW(),Tbl_ResidentData[[#This Row],[PRN Med Started]]&lt;=BB$4,OR(Tbl_ResidentData[[#This Row],[PRN Med Discontinued]]&gt;BB$4,ISBLANK(Tbl_ResidentData[[#This Row],[PRN Med Discontinued]])))</f>
        <v>0</v>
      </c>
      <c r="CA24" s="129" t="b">
        <f ca="1">AND(Tbl_ResidentData[[#This Row],[PRN Med Started]]&lt;&gt;"",Tbl_ResidentData[[#This Row],[PRN Med Started]]&lt;=NOW(),Tbl_ResidentData[[#This Row],[PRN Med Started]]&lt;=BC$4,OR(Tbl_ResidentData[[#This Row],[PRN Med Discontinued]]&gt;BC$4,ISBLANK(Tbl_ResidentData[[#This Row],[PRN Med Discontinued]])))</f>
        <v>0</v>
      </c>
      <c r="CB24" s="129" t="b">
        <f ca="1">AND(Tbl_ResidentData[[#This Row],[PRN Med Started]]&lt;&gt;"",Tbl_ResidentData[[#This Row],[PRN Med Started]]&lt;=NOW(),Tbl_ResidentData[[#This Row],[PRN Med Started]]&lt;=BD$4,OR(Tbl_ResidentData[[#This Row],[PRN Med Discontinued]]&gt;BD$4,ISBLANK(Tbl_ResidentData[[#This Row],[PRN Med Discontinued]])))</f>
        <v>0</v>
      </c>
      <c r="CC24" s="129" t="b">
        <f ca="1">AND(Tbl_ResidentData[[#This Row],[PRN Med Started]]&lt;&gt;"",Tbl_ResidentData[[#This Row],[PRN Med Started]]&lt;=NOW(),Tbl_ResidentData[[#This Row],[PRN Med Started]]&lt;=BE$4,OR(Tbl_ResidentData[[#This Row],[PRN Med Discontinued]]&gt;BE$4,ISBLANK(Tbl_ResidentData[[#This Row],[PRN Med Discontinued]])))</f>
        <v>0</v>
      </c>
      <c r="CD24" s="129" t="b">
        <f ca="1">AND(Tbl_ResidentData[[#This Row],[PRN Med Started]]&lt;&gt;"",Tbl_ResidentData[[#This Row],[PRN Med Started]]&lt;=NOW(),Tbl_ResidentData[[#This Row],[PRN Med Started]]&lt;=BF$4,OR(Tbl_ResidentData[[#This Row],[PRN Med Discontinued]]&gt;BF$4,ISBLANK(Tbl_ResidentData[[#This Row],[PRN Med Discontinued]])))</f>
        <v>0</v>
      </c>
      <c r="CE24" s="129" t="b">
        <f ca="1">AND(Tbl_ResidentData[[#This Row],[PRN Med Started]]&lt;&gt;"",Tbl_ResidentData[[#This Row],[PRN Med Started]]&lt;=NOW(),Tbl_ResidentData[[#This Row],[PRN Med Started]]&lt;=BG$4,OR(Tbl_ResidentData[[#This Row],[PRN Med Discontinued]]&gt;BG$4,ISBLANK(Tbl_ResidentData[[#This Row],[PRN Med Discontinued]])))</f>
        <v>0</v>
      </c>
      <c r="CF24" s="129" t="b">
        <f ca="1">AND(Tbl_ResidentData[[#This Row],[PRN Med Started]]&lt;&gt;"",Tbl_ResidentData[[#This Row],[PRN Med Started]]&lt;=NOW(),Tbl_ResidentData[[#This Row],[PRN Med Started]]&lt;=BH$4,OR(Tbl_ResidentData[[#This Row],[PRN Med Discontinued]]&gt;BH$4,ISBLANK(Tbl_ResidentData[[#This Row],[PRN Med Discontinued]])))</f>
        <v>0</v>
      </c>
      <c r="CG24" s="129" t="b">
        <f ca="1">AND(Tbl_ResidentData[[#This Row],[PRN Med Started]]&lt;&gt;"",Tbl_ResidentData[[#This Row],[PRN Med Started]]&lt;=NOW(),Tbl_ResidentData[[#This Row],[PRN Med Started]]&lt;=BI$4,OR(Tbl_ResidentData[[#This Row],[PRN Med Discontinued]]&gt;BI$4,ISBLANK(Tbl_ResidentData[[#This Row],[PRN Med Discontinued]])))</f>
        <v>0</v>
      </c>
      <c r="CH24" s="129" t="b">
        <f ca="1">AND(Tbl_ResidentData[[#This Row],[PRN Med Started]]&lt;&gt;"",Tbl_ResidentData[[#This Row],[PRN Med Started]]&lt;=NOW(),Tbl_ResidentData[[#This Row],[PRN Med Started]]&lt;=BJ$4,OR(Tbl_ResidentData[[#This Row],[PRN Med Discontinued]]&gt;BJ$4,ISBLANK(Tbl_ResidentData[[#This Row],[PRN Med Discontinued]])))</f>
        <v>0</v>
      </c>
      <c r="CI24" s="129" t="b">
        <f ca="1">AND(Tbl_ResidentData[[#This Row],[PRN Med Started]]&lt;&gt;"",Tbl_ResidentData[[#This Row],[PRN Med Started]]&lt;=NOW(),Tbl_ResidentData[[#This Row],[PRN Med Started]]&lt;=BK$4,OR(Tbl_ResidentData[[#This Row],[PRN Med Discontinued]]&gt;BK$4,ISBLANK(Tbl_ResidentData[[#This Row],[PRN Med Discontinued]])))</f>
        <v>0</v>
      </c>
      <c r="CJ24" s="129" t="b">
        <f ca="1">AND(Tbl_ResidentData[[#This Row],[PRN Med Started]]&lt;&gt;"",Tbl_ResidentData[[#This Row],[PRN Med Started]]&lt;=NOW(),Tbl_ResidentData[[#This Row],[PRN Med Started]]&lt;=BL$4,OR(Tbl_ResidentData[[#This Row],[PRN Med Discontinued]]&gt;BL$4,ISBLANK(Tbl_ResidentData[[#This Row],[PRN Med Discontinued]])))</f>
        <v>0</v>
      </c>
      <c r="CK24" s="129" t="b">
        <f ca="1">AND(Tbl_ResidentData[[#This Row],[PRN Med Started]]&lt;&gt;"",Tbl_ResidentData[[#This Row],[PRN Med Started]]&lt;=NOW(),Tbl_ResidentData[[#This Row],[PRN Med Started]]&lt;=BM$4,OR(Tbl_ResidentData[[#This Row],[PRN Med Discontinued]]&gt;BM$4,ISBLANK(Tbl_ResidentData[[#This Row],[PRN Med Discontinued]])))</f>
        <v>0</v>
      </c>
      <c r="CL24" s="129" t="b">
        <f ca="1">AND(Tbl_ResidentData[[#This Row],[PRN Med Started]]&lt;&gt;"",Tbl_ResidentData[[#This Row],[PRN Med Started]]&lt;=NOW(),Tbl_ResidentData[[#This Row],[PRN Med Started]]&lt;=BN$4,OR(Tbl_ResidentData[[#This Row],[PRN Med Discontinued]]&gt;BN$4,ISBLANK(Tbl_ResidentData[[#This Row],[PRN Med Discontinued]])))</f>
        <v>0</v>
      </c>
      <c r="CM24" s="121" t="b">
        <f ca="1">AND(Tbl_ResidentData[[#This Row],[PRN Med Started]]&lt;&gt;"",Tbl_ResidentData[[#This Row],[PRN Med Started]]&lt;=NOW(),Tbl_ResidentData[[#This Row],[PRN Med Started]]&lt;=BO$4,OR(Tbl_ResidentData[[#This Row],[PRN Med Discontinued]]&gt;BO$4,ISBLANK(Tbl_ResidentData[[#This Row],[PRN Med Discontinued]])))</f>
        <v>0</v>
      </c>
      <c r="CN24" s="122" t="b">
        <f ca="1">AND(Tbl_ResidentData[[#This Row],[PRN Med Started]]&lt;&gt;"",Tbl_ResidentData[[#This Row],[PRN Med Started]]&lt;=NOW(),Tbl_ResidentData[[#This Row],[PRN Med Started]]&lt;=BP$4,OR(Tbl_ResidentData[[#This Row],[PRN Med Discontinued]]&gt;BP$4,ISBLANK(Tbl_ResidentData[[#This Row],[PRN Med Discontinued]])))</f>
        <v>0</v>
      </c>
      <c r="CO24" s="120">
        <f ca="1">IF(OR(Tbl_ResidentData[[#This Row],[S1]]=TRUE,Tbl_ResidentData[[#This Row],[P1]]=TRUE),1,0)</f>
        <v>0</v>
      </c>
      <c r="CP24" s="121">
        <f ca="1">IF(OR(Tbl_ResidentData[[#This Row],[S2]]=TRUE,Tbl_ResidentData[[#This Row],[P2]]=TRUE),1,0)</f>
        <v>0</v>
      </c>
      <c r="CQ24" s="121">
        <f ca="1">IF(OR(Tbl_ResidentData[[#This Row],[S3]]=TRUE,Tbl_ResidentData[[#This Row],[P3]]=TRUE),1,0)</f>
        <v>0</v>
      </c>
      <c r="CR24" s="130">
        <f ca="1">IF(OR(Tbl_ResidentData[[#This Row],[S4]]=TRUE,Tbl_ResidentData[[#This Row],[P4]]=TRUE),1,0)</f>
        <v>0</v>
      </c>
      <c r="CS24" s="130">
        <f ca="1">IF(OR(Tbl_ResidentData[[#This Row],[S5]]=TRUE,Tbl_ResidentData[[#This Row],[P5]]=TRUE),1,0)</f>
        <v>0</v>
      </c>
      <c r="CT24" s="130">
        <f ca="1">IF(OR(Tbl_ResidentData[[#This Row],[S6]]=TRUE,Tbl_ResidentData[[#This Row],[P6]]=TRUE),1,0)</f>
        <v>0</v>
      </c>
      <c r="CU24" s="130">
        <f ca="1">IF(OR(Tbl_ResidentData[[#This Row],[S7]]=TRUE,Tbl_ResidentData[[#This Row],[P7]]=TRUE),1,0)</f>
        <v>0</v>
      </c>
      <c r="CV24" s="130">
        <f ca="1">IF(OR(Tbl_ResidentData[[#This Row],[S8]]=TRUE,Tbl_ResidentData[[#This Row],[P8]]=TRUE),1,0)</f>
        <v>0</v>
      </c>
      <c r="CW24" s="130">
        <f ca="1">IF(OR(Tbl_ResidentData[[#This Row],[S9]]=TRUE,Tbl_ResidentData[[#This Row],[P9]]=TRUE),1,0)</f>
        <v>0</v>
      </c>
      <c r="CX24" s="130">
        <f ca="1">IF(OR(Tbl_ResidentData[[#This Row],[S10]]=TRUE,Tbl_ResidentData[[#This Row],[P10]]=TRUE),1,0)</f>
        <v>0</v>
      </c>
      <c r="CY24" s="130">
        <f ca="1">IF(OR(Tbl_ResidentData[[#This Row],[S11]]=TRUE,Tbl_ResidentData[[#This Row],[P11]]=TRUE),1,0)</f>
        <v>0</v>
      </c>
      <c r="CZ24" s="130">
        <f ca="1">IF(OR(Tbl_ResidentData[[#This Row],[S12]]=TRUE,Tbl_ResidentData[[#This Row],[P12]]=TRUE),1,0)</f>
        <v>0</v>
      </c>
      <c r="DA24" s="130">
        <f ca="1">IF(OR(Tbl_ResidentData[[#This Row],[S13]]=TRUE,Tbl_ResidentData[[#This Row],[P13]]=TRUE),1,0)</f>
        <v>0</v>
      </c>
      <c r="DB24" s="130">
        <f ca="1">IF(OR(Tbl_ResidentData[[#This Row],[S14]]=TRUE,Tbl_ResidentData[[#This Row],[P14]]=TRUE),1,0)</f>
        <v>0</v>
      </c>
      <c r="DC24" s="130">
        <f ca="1">IF(OR(Tbl_ResidentData[[#This Row],[S15]]=TRUE,Tbl_ResidentData[[#This Row],[P15]]=TRUE),1,0)</f>
        <v>0</v>
      </c>
      <c r="DD24" s="130">
        <f ca="1">IF(OR(Tbl_ResidentData[[#This Row],[S16]]=TRUE,Tbl_ResidentData[[#This Row],[P16]]=TRUE),1,0)</f>
        <v>0</v>
      </c>
      <c r="DE24" s="130">
        <f ca="1">IF(OR(Tbl_ResidentData[[#This Row],[S17]]=TRUE,Tbl_ResidentData[[#This Row],[P17]]=TRUE),1,0)</f>
        <v>0</v>
      </c>
      <c r="DF24" s="130">
        <f ca="1">IF(OR(Tbl_ResidentData[[#This Row],[S18]]=TRUE,Tbl_ResidentData[[#This Row],[P18]]=TRUE),1,0)</f>
        <v>0</v>
      </c>
      <c r="DG24" s="130">
        <f ca="1">IF(OR(Tbl_ResidentData[[#This Row],[S19]]=TRUE,Tbl_ResidentData[[#This Row],[P19]]=TRUE),1,0)</f>
        <v>0</v>
      </c>
      <c r="DH24" s="130">
        <f ca="1">IF(OR(Tbl_ResidentData[[#This Row],[S20]]=TRUE,Tbl_ResidentData[[#This Row],[P20]]=TRUE),1,0)</f>
        <v>0</v>
      </c>
      <c r="DI24" s="130">
        <f ca="1">IF(OR(Tbl_ResidentData[[#This Row],[S21]]=TRUE,Tbl_ResidentData[[#This Row],[P21]]=TRUE),1,0)</f>
        <v>0</v>
      </c>
      <c r="DJ24" s="130">
        <f ca="1">IF(OR(Tbl_ResidentData[[#This Row],[S22]]=TRUE,Tbl_ResidentData[[#This Row],[P22]]=TRUE),1,0)</f>
        <v>0</v>
      </c>
      <c r="DK24" s="130">
        <f ca="1">IF(OR(Tbl_ResidentData[[#This Row],[S23]]=TRUE,Tbl_ResidentData[[#This Row],[P23]]=TRUE),1,0)</f>
        <v>0</v>
      </c>
      <c r="DL24" s="130">
        <f ca="1">IF(OR(Tbl_ResidentData[[#This Row],[S24]]=TRUE,Tbl_ResidentData[[#This Row],[P24]]=TRUE),1,0)</f>
        <v>0</v>
      </c>
      <c r="DM24" s="123" t="str">
        <f ca="1">IFERROR(INDEX($CO$4:$DL$4,MATCH(TRUE,INDEX((Tbl_ResidentData[[#This Row],[Over1]:[Over24]]&lt;&gt;0),0),0)),"")</f>
        <v/>
      </c>
      <c r="DN24" s="133" t="str">
        <f>IFERROR(INDEX(Tbl_PDSAData[Last DRT],MATCH(Tbl_ResidentData[Resident Name '[last, first']],Tbl_PDSAData[Resident Name (last, first)],0)),"")</f>
        <v/>
      </c>
      <c r="DO24" s="222" t="str">
        <f>IFERROR(INDEX(Tbl_PDSAData[Last MR],MATCH(Tbl_ResidentData[Resident Name '[last, first']],Tbl_PDSAData[Resident Name (last, first)],0)),"")</f>
        <v/>
      </c>
    </row>
    <row r="25" spans="1:119" x14ac:dyDescent="0.25">
      <c r="A25" s="179"/>
      <c r="B25" s="180"/>
      <c r="C25" s="180"/>
      <c r="D25" s="218"/>
      <c r="E25" s="179"/>
      <c r="F25" s="181"/>
      <c r="G25" s="181"/>
      <c r="H25" s="375"/>
      <c r="I25" s="186"/>
      <c r="J25" s="387"/>
      <c r="K25" s="178"/>
      <c r="L25" s="388"/>
      <c r="M25" s="187"/>
      <c r="N25" s="387"/>
      <c r="O25" s="178"/>
      <c r="P25" s="388"/>
      <c r="Q25" s="395"/>
      <c r="R25" s="396"/>
      <c r="S25" s="132" t="str">
        <f>IF(ISBLANK(Tbl_ResidentData[[#This Row],[Discharge '[mmm-yyyy']]]),IF(ISBLANK(Tbl_ResidentData[[#This Row],[Enrollment '[mmm-yyyy']]]),"","In Care Home"),"Discharged")</f>
        <v/>
      </c>
      <c r="T25" s="128" t="str">
        <f>IF(ISBLANK(Tbl_ResidentData[[#This Row],[Diagnosis (RAI)]]),IF(ISBLANK(Tbl_ResidentData[[#This Row],[Resident Name '[last, first']]]),"",0),IF(Tbl_ResidentData[[#This Row],[Diagnosis (RAI)]]="Other (see clinical notes)",0,1))</f>
        <v/>
      </c>
      <c r="U25" s="129" t="str">
        <f ca="1">IF(U$4&gt;NOW(),"-",IF(ISBLANK(Tbl_ResidentData[[#This Row],[Enrollment '[mmm-yyyy']]]),"-",AND((Tbl_ResidentData[[#This Row],[Enrollment '[mmm-yyyy']]]&lt;=U$4),IF(ISBLANK(Tbl_ResidentData[[#This Row],[Discharge '[mmm-yyyy']]]),TRUE,(Tbl_ResidentData[[#This Row],[Discharge '[mmm-yyyy']]]&gt;=U$4)))))</f>
        <v>-</v>
      </c>
      <c r="V25" s="121" t="str">
        <f ca="1">IF(V$4&gt;NOW(),"-",IF(ISBLANK(Tbl_ResidentData[[#This Row],[Enrollment '[mmm-yyyy']]]),"-",AND((Tbl_ResidentData[[#This Row],[Enrollment '[mmm-yyyy']]]&lt;=V$4),IF(ISBLANK(Tbl_ResidentData[[#This Row],[Discharge '[mmm-yyyy']]]),TRUE,(Tbl_ResidentData[[#This Row],[Discharge '[mmm-yyyy']]]&gt;=V$4)))))</f>
        <v>-</v>
      </c>
      <c r="W25" s="121" t="str">
        <f ca="1">IF(W$4&gt;NOW(),"-",IF(ISBLANK(Tbl_ResidentData[[#This Row],[Enrollment '[mmm-yyyy']]]),"-",AND((Tbl_ResidentData[[#This Row],[Enrollment '[mmm-yyyy']]]&lt;=W$4),IF(ISBLANK(Tbl_ResidentData[[#This Row],[Discharge '[mmm-yyyy']]]),TRUE,(Tbl_ResidentData[[#This Row],[Discharge '[mmm-yyyy']]]&gt;=W$4)))))</f>
        <v>-</v>
      </c>
      <c r="X25" s="121" t="str">
        <f ca="1">IF(X$4&gt;NOW(),"-",IF(ISBLANK(Tbl_ResidentData[[#This Row],[Enrollment '[mmm-yyyy']]]),"-",AND((Tbl_ResidentData[[#This Row],[Enrollment '[mmm-yyyy']]]&lt;=X$4),IF(ISBLANK(Tbl_ResidentData[[#This Row],[Discharge '[mmm-yyyy']]]),TRUE,(Tbl_ResidentData[[#This Row],[Discharge '[mmm-yyyy']]]&gt;=X$4)))))</f>
        <v>-</v>
      </c>
      <c r="Y25" s="121" t="str">
        <f ca="1">IF(Y$4&gt;NOW(),"-",IF(ISBLANK(Tbl_ResidentData[[#This Row],[Enrollment '[mmm-yyyy']]]),"-",AND((Tbl_ResidentData[[#This Row],[Enrollment '[mmm-yyyy']]]&lt;=Y$4),IF(ISBLANK(Tbl_ResidentData[[#This Row],[Discharge '[mmm-yyyy']]]),TRUE,(Tbl_ResidentData[[#This Row],[Discharge '[mmm-yyyy']]]&gt;=Y$4)))))</f>
        <v>-</v>
      </c>
      <c r="Z25" s="121" t="str">
        <f ca="1">IF(Z$4&gt;NOW(),"-",IF(ISBLANK(Tbl_ResidentData[[#This Row],[Enrollment '[mmm-yyyy']]]),"-",AND((Tbl_ResidentData[[#This Row],[Enrollment '[mmm-yyyy']]]&lt;=Z$4),IF(ISBLANK(Tbl_ResidentData[[#This Row],[Discharge '[mmm-yyyy']]]),TRUE,(Tbl_ResidentData[[#This Row],[Discharge '[mmm-yyyy']]]&gt;=Z$4)))))</f>
        <v>-</v>
      </c>
      <c r="AA25" s="121" t="str">
        <f ca="1">IF(AA$4&gt;NOW(),"-",IF(ISBLANK(Tbl_ResidentData[[#This Row],[Enrollment '[mmm-yyyy']]]),"-",AND((Tbl_ResidentData[[#This Row],[Enrollment '[mmm-yyyy']]]&lt;=AA$4),IF(ISBLANK(Tbl_ResidentData[[#This Row],[Discharge '[mmm-yyyy']]]),TRUE,(Tbl_ResidentData[[#This Row],[Discharge '[mmm-yyyy']]]&gt;=AA$4)))))</f>
        <v>-</v>
      </c>
      <c r="AB25" s="121" t="str">
        <f ca="1">IF(AB$4&gt;NOW(),"-",IF(ISBLANK(Tbl_ResidentData[[#This Row],[Enrollment '[mmm-yyyy']]]),"-",AND((Tbl_ResidentData[[#This Row],[Enrollment '[mmm-yyyy']]]&lt;=AB$4),IF(ISBLANK(Tbl_ResidentData[[#This Row],[Discharge '[mmm-yyyy']]]),TRUE,(Tbl_ResidentData[[#This Row],[Discharge '[mmm-yyyy']]]&gt;=AB$4)))))</f>
        <v>-</v>
      </c>
      <c r="AC25" s="121" t="str">
        <f ca="1">IF(AC$4&gt;NOW(),"-",IF(ISBLANK(Tbl_ResidentData[[#This Row],[Enrollment '[mmm-yyyy']]]),"-",AND((Tbl_ResidentData[[#This Row],[Enrollment '[mmm-yyyy']]]&lt;=AC$4),IF(ISBLANK(Tbl_ResidentData[[#This Row],[Discharge '[mmm-yyyy']]]),TRUE,(Tbl_ResidentData[[#This Row],[Discharge '[mmm-yyyy']]]&gt;=AC$4)))))</f>
        <v>-</v>
      </c>
      <c r="AD25" s="121" t="str">
        <f ca="1">IF(AD$4&gt;NOW(),"-",IF(ISBLANK(Tbl_ResidentData[[#This Row],[Enrollment '[mmm-yyyy']]]),"-",AND((Tbl_ResidentData[[#This Row],[Enrollment '[mmm-yyyy']]]&lt;=AD$4),IF(ISBLANK(Tbl_ResidentData[[#This Row],[Discharge '[mmm-yyyy']]]),TRUE,(Tbl_ResidentData[[#This Row],[Discharge '[mmm-yyyy']]]&gt;=AD$4)))))</f>
        <v>-</v>
      </c>
      <c r="AE25" s="121" t="str">
        <f ca="1">IF(AE$4&gt;NOW(),"-",IF(ISBLANK(Tbl_ResidentData[[#This Row],[Enrollment '[mmm-yyyy']]]),"-",AND((Tbl_ResidentData[[#This Row],[Enrollment '[mmm-yyyy']]]&lt;=AE$4),IF(ISBLANK(Tbl_ResidentData[[#This Row],[Discharge '[mmm-yyyy']]]),TRUE,(Tbl_ResidentData[[#This Row],[Discharge '[mmm-yyyy']]]&gt;=AE$4)))))</f>
        <v>-</v>
      </c>
      <c r="AF25" s="121" t="str">
        <f ca="1">IF(AF$4&gt;NOW(),"-",IF(ISBLANK(Tbl_ResidentData[[#This Row],[Enrollment '[mmm-yyyy']]]),"-",AND((Tbl_ResidentData[[#This Row],[Enrollment '[mmm-yyyy']]]&lt;=AF$4),IF(ISBLANK(Tbl_ResidentData[[#This Row],[Discharge '[mmm-yyyy']]]),TRUE,(Tbl_ResidentData[[#This Row],[Discharge '[mmm-yyyy']]]&gt;=AF$4)))))</f>
        <v>-</v>
      </c>
      <c r="AG25" s="121" t="str">
        <f ca="1">IF(AG$4&gt;NOW(),"-",IF(ISBLANK(Tbl_ResidentData[[#This Row],[Enrollment '[mmm-yyyy']]]),"-",AND((Tbl_ResidentData[[#This Row],[Enrollment '[mmm-yyyy']]]&lt;=AG$4),IF(ISBLANK(Tbl_ResidentData[[#This Row],[Discharge '[mmm-yyyy']]]),TRUE,(Tbl_ResidentData[[#This Row],[Discharge '[mmm-yyyy']]]&gt;=AG$4)))))</f>
        <v>-</v>
      </c>
      <c r="AH25" s="121" t="str">
        <f ca="1">IF(AH$4&gt;NOW(),"-",IF(ISBLANK(Tbl_ResidentData[[#This Row],[Enrollment '[mmm-yyyy']]]),"-",AND((Tbl_ResidentData[[#This Row],[Enrollment '[mmm-yyyy']]]&lt;=AH$4),IF(ISBLANK(Tbl_ResidentData[[#This Row],[Discharge '[mmm-yyyy']]]),TRUE,(Tbl_ResidentData[[#This Row],[Discharge '[mmm-yyyy']]]&gt;=AH$4)))))</f>
        <v>-</v>
      </c>
      <c r="AI25" s="121" t="str">
        <f ca="1">IF(AI$4&gt;NOW(),"-",IF(ISBLANK(Tbl_ResidentData[[#This Row],[Enrollment '[mmm-yyyy']]]),"-",AND((Tbl_ResidentData[[#This Row],[Enrollment '[mmm-yyyy']]]&lt;=AI$4),IF(ISBLANK(Tbl_ResidentData[[#This Row],[Discharge '[mmm-yyyy']]]),TRUE,(Tbl_ResidentData[[#This Row],[Discharge '[mmm-yyyy']]]&gt;=AI$4)))))</f>
        <v>-</v>
      </c>
      <c r="AJ25" s="121" t="str">
        <f ca="1">IF(AJ$4&gt;NOW(),"-",IF(ISBLANK(Tbl_ResidentData[[#This Row],[Enrollment '[mmm-yyyy']]]),"-",AND((Tbl_ResidentData[[#This Row],[Enrollment '[mmm-yyyy']]]&lt;=AJ$4),IF(ISBLANK(Tbl_ResidentData[[#This Row],[Discharge '[mmm-yyyy']]]),TRUE,(Tbl_ResidentData[[#This Row],[Discharge '[mmm-yyyy']]]&gt;=AJ$4)))))</f>
        <v>-</v>
      </c>
      <c r="AK25" s="121" t="str">
        <f ca="1">IF(AK$4&gt;NOW(),"-",IF(ISBLANK(Tbl_ResidentData[[#This Row],[Enrollment '[mmm-yyyy']]]),"-",AND((Tbl_ResidentData[[#This Row],[Enrollment '[mmm-yyyy']]]&lt;=AK$4),IF(ISBLANK(Tbl_ResidentData[[#This Row],[Discharge '[mmm-yyyy']]]),TRUE,(Tbl_ResidentData[[#This Row],[Discharge '[mmm-yyyy']]]&gt;=AK$4)))))</f>
        <v>-</v>
      </c>
      <c r="AL25" s="121" t="str">
        <f ca="1">IF(AL$4&gt;NOW(),"-",IF(ISBLANK(Tbl_ResidentData[[#This Row],[Enrollment '[mmm-yyyy']]]),"-",AND((Tbl_ResidentData[[#This Row],[Enrollment '[mmm-yyyy']]]&lt;=AL$4),IF(ISBLANK(Tbl_ResidentData[[#This Row],[Discharge '[mmm-yyyy']]]),TRUE,(Tbl_ResidentData[[#This Row],[Discharge '[mmm-yyyy']]]&gt;=AL$4)))))</f>
        <v>-</v>
      </c>
      <c r="AM25" s="121" t="str">
        <f ca="1">IF(AM$4&gt;NOW(),"-",IF(ISBLANK(Tbl_ResidentData[[#This Row],[Enrollment '[mmm-yyyy']]]),"-",AND((Tbl_ResidentData[[#This Row],[Enrollment '[mmm-yyyy']]]&lt;=AM$4),IF(ISBLANK(Tbl_ResidentData[[#This Row],[Discharge '[mmm-yyyy']]]),TRUE,(Tbl_ResidentData[[#This Row],[Discharge '[mmm-yyyy']]]&gt;=AM$4)))))</f>
        <v>-</v>
      </c>
      <c r="AN25" s="121" t="str">
        <f ca="1">IF(AN$4&gt;NOW(),"-",IF(ISBLANK(Tbl_ResidentData[[#This Row],[Enrollment '[mmm-yyyy']]]),"-",AND((Tbl_ResidentData[[#This Row],[Enrollment '[mmm-yyyy']]]&lt;=AN$4),IF(ISBLANK(Tbl_ResidentData[[#This Row],[Discharge '[mmm-yyyy']]]),TRUE,(Tbl_ResidentData[[#This Row],[Discharge '[mmm-yyyy']]]&gt;=AN$4)))))</f>
        <v>-</v>
      </c>
      <c r="AO25" s="121" t="str">
        <f ca="1">IF(AO$4&gt;NOW(),"-",IF(ISBLANK(Tbl_ResidentData[[#This Row],[Enrollment '[mmm-yyyy']]]),"-",AND((Tbl_ResidentData[[#This Row],[Enrollment '[mmm-yyyy']]]&lt;=AO$4),IF(ISBLANK(Tbl_ResidentData[[#This Row],[Discharge '[mmm-yyyy']]]),TRUE,(Tbl_ResidentData[[#This Row],[Discharge '[mmm-yyyy']]]&gt;=AO$4)))))</f>
        <v>-</v>
      </c>
      <c r="AP25" s="121" t="str">
        <f ca="1">IF(AP$4&gt;NOW(),"-",IF(ISBLANK(Tbl_ResidentData[[#This Row],[Enrollment '[mmm-yyyy']]]),"-",AND((Tbl_ResidentData[[#This Row],[Enrollment '[mmm-yyyy']]]&lt;=AP$4),IF(ISBLANK(Tbl_ResidentData[[#This Row],[Discharge '[mmm-yyyy']]]),TRUE,(Tbl_ResidentData[[#This Row],[Discharge '[mmm-yyyy']]]&gt;=AP$4)))))</f>
        <v>-</v>
      </c>
      <c r="AQ25" s="121" t="str">
        <f ca="1">IF(AQ$4&gt;NOW(),"-",IF(ISBLANK(Tbl_ResidentData[[#This Row],[Enrollment '[mmm-yyyy']]]),"-",AND((Tbl_ResidentData[[#This Row],[Enrollment '[mmm-yyyy']]]&lt;=AQ$4),IF(ISBLANK(Tbl_ResidentData[[#This Row],[Discharge '[mmm-yyyy']]]),TRUE,(Tbl_ResidentData[[#This Row],[Discharge '[mmm-yyyy']]]&gt;=AQ$4)))))</f>
        <v>-</v>
      </c>
      <c r="AR25" s="122" t="str">
        <f ca="1">IF(AR$4&gt;NOW(),"-",IF(ISBLANK(Tbl_ResidentData[[#This Row],[Enrollment '[mmm-yyyy']]]),"-",AND((Tbl_ResidentData[[#This Row],[Enrollment '[mmm-yyyy']]]&lt;=AR$4),IF(ISBLANK(Tbl_ResidentData[[#This Row],[Discharge '[mmm-yyyy']]]),TRUE,(Tbl_ResidentData[[#This Row],[Discharge '[mmm-yyyy']]]&gt;=AR$4)))))</f>
        <v>-</v>
      </c>
      <c r="AS2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25"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25"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25"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25"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25"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5"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5"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5"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5"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5"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5"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5"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5"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5"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5"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5"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5"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5"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5"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5"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5" s="120" t="b">
        <f ca="1">AND(Tbl_ResidentData[[#This Row],[PRN Med Started]]&lt;&gt;"",Tbl_ResidentData[[#This Row],[PRN Med Started]]&lt;=NOW(),Tbl_ResidentData[[#This Row],[PRN Med Started]]&lt;=AS$4,OR(Tbl_ResidentData[[#This Row],[PRN Med Discontinued]]&gt;AS$4,ISBLANK(Tbl_ResidentData[[#This Row],[PRN Med Discontinued]])))</f>
        <v>0</v>
      </c>
      <c r="BR25" s="121" t="b">
        <f ca="1">AND(Tbl_ResidentData[[#This Row],[PRN Med Started]]&lt;&gt;"",Tbl_ResidentData[[#This Row],[PRN Med Started]]&lt;=NOW(),Tbl_ResidentData[[#This Row],[PRN Med Started]]&lt;=AT$4,OR(Tbl_ResidentData[[#This Row],[PRN Med Discontinued]]&gt;AT$4,ISBLANK(Tbl_ResidentData[[#This Row],[PRN Med Discontinued]])))</f>
        <v>0</v>
      </c>
      <c r="BS25" s="129" t="b">
        <f ca="1">AND(Tbl_ResidentData[[#This Row],[PRN Med Started]]&lt;&gt;"",Tbl_ResidentData[[#This Row],[PRN Med Started]]&lt;=NOW(),Tbl_ResidentData[[#This Row],[PRN Med Started]]&lt;=AU$4,OR(Tbl_ResidentData[[#This Row],[PRN Med Discontinued]]&gt;AU$4,ISBLANK(Tbl_ResidentData[[#This Row],[PRN Med Discontinued]])))</f>
        <v>0</v>
      </c>
      <c r="BT25" s="129" t="b">
        <f ca="1">AND(Tbl_ResidentData[[#This Row],[PRN Med Started]]&lt;&gt;"",Tbl_ResidentData[[#This Row],[PRN Med Started]]&lt;=NOW(),Tbl_ResidentData[[#This Row],[PRN Med Started]]&lt;=AV$4,OR(Tbl_ResidentData[[#This Row],[PRN Med Discontinued]]&gt;AV$4,ISBLANK(Tbl_ResidentData[[#This Row],[PRN Med Discontinued]])))</f>
        <v>0</v>
      </c>
      <c r="BU25" s="129" t="b">
        <f ca="1">AND(Tbl_ResidentData[[#This Row],[PRN Med Started]]&lt;&gt;"",Tbl_ResidentData[[#This Row],[PRN Med Started]]&lt;=NOW(),Tbl_ResidentData[[#This Row],[PRN Med Started]]&lt;=AW$4,OR(Tbl_ResidentData[[#This Row],[PRN Med Discontinued]]&gt;AW$4,ISBLANK(Tbl_ResidentData[[#This Row],[PRN Med Discontinued]])))</f>
        <v>0</v>
      </c>
      <c r="BV25" s="129" t="b">
        <f ca="1">AND(Tbl_ResidentData[[#This Row],[PRN Med Started]]&lt;&gt;"",Tbl_ResidentData[[#This Row],[PRN Med Started]]&lt;=NOW(),Tbl_ResidentData[[#This Row],[PRN Med Started]]&lt;=AX$4,OR(Tbl_ResidentData[[#This Row],[PRN Med Discontinued]]&gt;AX$4,ISBLANK(Tbl_ResidentData[[#This Row],[PRN Med Discontinued]])))</f>
        <v>0</v>
      </c>
      <c r="BW25" s="129" t="b">
        <f ca="1">AND(Tbl_ResidentData[[#This Row],[PRN Med Started]]&lt;&gt;"",Tbl_ResidentData[[#This Row],[PRN Med Started]]&lt;=NOW(),Tbl_ResidentData[[#This Row],[PRN Med Started]]&lt;=AY$4,OR(Tbl_ResidentData[[#This Row],[PRN Med Discontinued]]&gt;AY$4,ISBLANK(Tbl_ResidentData[[#This Row],[PRN Med Discontinued]])))</f>
        <v>0</v>
      </c>
      <c r="BX25" s="129" t="b">
        <f ca="1">AND(Tbl_ResidentData[[#This Row],[PRN Med Started]]&lt;&gt;"",Tbl_ResidentData[[#This Row],[PRN Med Started]]&lt;=NOW(),Tbl_ResidentData[[#This Row],[PRN Med Started]]&lt;=AZ$4,OR(Tbl_ResidentData[[#This Row],[PRN Med Discontinued]]&gt;AZ$4,ISBLANK(Tbl_ResidentData[[#This Row],[PRN Med Discontinued]])))</f>
        <v>0</v>
      </c>
      <c r="BY25" s="129" t="b">
        <f ca="1">AND(Tbl_ResidentData[[#This Row],[PRN Med Started]]&lt;&gt;"",Tbl_ResidentData[[#This Row],[PRN Med Started]]&lt;=NOW(),Tbl_ResidentData[[#This Row],[PRN Med Started]]&lt;=BA$4,OR(Tbl_ResidentData[[#This Row],[PRN Med Discontinued]]&gt;BA$4,ISBLANK(Tbl_ResidentData[[#This Row],[PRN Med Discontinued]])))</f>
        <v>0</v>
      </c>
      <c r="BZ25" s="129" t="b">
        <f ca="1">AND(Tbl_ResidentData[[#This Row],[PRN Med Started]]&lt;&gt;"",Tbl_ResidentData[[#This Row],[PRN Med Started]]&lt;=NOW(),Tbl_ResidentData[[#This Row],[PRN Med Started]]&lt;=BB$4,OR(Tbl_ResidentData[[#This Row],[PRN Med Discontinued]]&gt;BB$4,ISBLANK(Tbl_ResidentData[[#This Row],[PRN Med Discontinued]])))</f>
        <v>0</v>
      </c>
      <c r="CA25" s="129" t="b">
        <f ca="1">AND(Tbl_ResidentData[[#This Row],[PRN Med Started]]&lt;&gt;"",Tbl_ResidentData[[#This Row],[PRN Med Started]]&lt;=NOW(),Tbl_ResidentData[[#This Row],[PRN Med Started]]&lt;=BC$4,OR(Tbl_ResidentData[[#This Row],[PRN Med Discontinued]]&gt;BC$4,ISBLANK(Tbl_ResidentData[[#This Row],[PRN Med Discontinued]])))</f>
        <v>0</v>
      </c>
      <c r="CB25" s="129" t="b">
        <f ca="1">AND(Tbl_ResidentData[[#This Row],[PRN Med Started]]&lt;&gt;"",Tbl_ResidentData[[#This Row],[PRN Med Started]]&lt;=NOW(),Tbl_ResidentData[[#This Row],[PRN Med Started]]&lt;=BD$4,OR(Tbl_ResidentData[[#This Row],[PRN Med Discontinued]]&gt;BD$4,ISBLANK(Tbl_ResidentData[[#This Row],[PRN Med Discontinued]])))</f>
        <v>0</v>
      </c>
      <c r="CC25" s="129" t="b">
        <f ca="1">AND(Tbl_ResidentData[[#This Row],[PRN Med Started]]&lt;&gt;"",Tbl_ResidentData[[#This Row],[PRN Med Started]]&lt;=NOW(),Tbl_ResidentData[[#This Row],[PRN Med Started]]&lt;=BE$4,OR(Tbl_ResidentData[[#This Row],[PRN Med Discontinued]]&gt;BE$4,ISBLANK(Tbl_ResidentData[[#This Row],[PRN Med Discontinued]])))</f>
        <v>0</v>
      </c>
      <c r="CD25" s="129" t="b">
        <f ca="1">AND(Tbl_ResidentData[[#This Row],[PRN Med Started]]&lt;&gt;"",Tbl_ResidentData[[#This Row],[PRN Med Started]]&lt;=NOW(),Tbl_ResidentData[[#This Row],[PRN Med Started]]&lt;=BF$4,OR(Tbl_ResidentData[[#This Row],[PRN Med Discontinued]]&gt;BF$4,ISBLANK(Tbl_ResidentData[[#This Row],[PRN Med Discontinued]])))</f>
        <v>0</v>
      </c>
      <c r="CE25" s="129" t="b">
        <f ca="1">AND(Tbl_ResidentData[[#This Row],[PRN Med Started]]&lt;&gt;"",Tbl_ResidentData[[#This Row],[PRN Med Started]]&lt;=NOW(),Tbl_ResidentData[[#This Row],[PRN Med Started]]&lt;=BG$4,OR(Tbl_ResidentData[[#This Row],[PRN Med Discontinued]]&gt;BG$4,ISBLANK(Tbl_ResidentData[[#This Row],[PRN Med Discontinued]])))</f>
        <v>0</v>
      </c>
      <c r="CF25" s="129" t="b">
        <f ca="1">AND(Tbl_ResidentData[[#This Row],[PRN Med Started]]&lt;&gt;"",Tbl_ResidentData[[#This Row],[PRN Med Started]]&lt;=NOW(),Tbl_ResidentData[[#This Row],[PRN Med Started]]&lt;=BH$4,OR(Tbl_ResidentData[[#This Row],[PRN Med Discontinued]]&gt;BH$4,ISBLANK(Tbl_ResidentData[[#This Row],[PRN Med Discontinued]])))</f>
        <v>0</v>
      </c>
      <c r="CG25" s="129" t="b">
        <f ca="1">AND(Tbl_ResidentData[[#This Row],[PRN Med Started]]&lt;&gt;"",Tbl_ResidentData[[#This Row],[PRN Med Started]]&lt;=NOW(),Tbl_ResidentData[[#This Row],[PRN Med Started]]&lt;=BI$4,OR(Tbl_ResidentData[[#This Row],[PRN Med Discontinued]]&gt;BI$4,ISBLANK(Tbl_ResidentData[[#This Row],[PRN Med Discontinued]])))</f>
        <v>0</v>
      </c>
      <c r="CH25" s="129" t="b">
        <f ca="1">AND(Tbl_ResidentData[[#This Row],[PRN Med Started]]&lt;&gt;"",Tbl_ResidentData[[#This Row],[PRN Med Started]]&lt;=NOW(),Tbl_ResidentData[[#This Row],[PRN Med Started]]&lt;=BJ$4,OR(Tbl_ResidentData[[#This Row],[PRN Med Discontinued]]&gt;BJ$4,ISBLANK(Tbl_ResidentData[[#This Row],[PRN Med Discontinued]])))</f>
        <v>0</v>
      </c>
      <c r="CI25" s="129" t="b">
        <f ca="1">AND(Tbl_ResidentData[[#This Row],[PRN Med Started]]&lt;&gt;"",Tbl_ResidentData[[#This Row],[PRN Med Started]]&lt;=NOW(),Tbl_ResidentData[[#This Row],[PRN Med Started]]&lt;=BK$4,OR(Tbl_ResidentData[[#This Row],[PRN Med Discontinued]]&gt;BK$4,ISBLANK(Tbl_ResidentData[[#This Row],[PRN Med Discontinued]])))</f>
        <v>0</v>
      </c>
      <c r="CJ25" s="129" t="b">
        <f ca="1">AND(Tbl_ResidentData[[#This Row],[PRN Med Started]]&lt;&gt;"",Tbl_ResidentData[[#This Row],[PRN Med Started]]&lt;=NOW(),Tbl_ResidentData[[#This Row],[PRN Med Started]]&lt;=BL$4,OR(Tbl_ResidentData[[#This Row],[PRN Med Discontinued]]&gt;BL$4,ISBLANK(Tbl_ResidentData[[#This Row],[PRN Med Discontinued]])))</f>
        <v>0</v>
      </c>
      <c r="CK25" s="129" t="b">
        <f ca="1">AND(Tbl_ResidentData[[#This Row],[PRN Med Started]]&lt;&gt;"",Tbl_ResidentData[[#This Row],[PRN Med Started]]&lt;=NOW(),Tbl_ResidentData[[#This Row],[PRN Med Started]]&lt;=BM$4,OR(Tbl_ResidentData[[#This Row],[PRN Med Discontinued]]&gt;BM$4,ISBLANK(Tbl_ResidentData[[#This Row],[PRN Med Discontinued]])))</f>
        <v>0</v>
      </c>
      <c r="CL25" s="129" t="b">
        <f ca="1">AND(Tbl_ResidentData[[#This Row],[PRN Med Started]]&lt;&gt;"",Tbl_ResidentData[[#This Row],[PRN Med Started]]&lt;=NOW(),Tbl_ResidentData[[#This Row],[PRN Med Started]]&lt;=BN$4,OR(Tbl_ResidentData[[#This Row],[PRN Med Discontinued]]&gt;BN$4,ISBLANK(Tbl_ResidentData[[#This Row],[PRN Med Discontinued]])))</f>
        <v>0</v>
      </c>
      <c r="CM25" s="121" t="b">
        <f ca="1">AND(Tbl_ResidentData[[#This Row],[PRN Med Started]]&lt;&gt;"",Tbl_ResidentData[[#This Row],[PRN Med Started]]&lt;=NOW(),Tbl_ResidentData[[#This Row],[PRN Med Started]]&lt;=BO$4,OR(Tbl_ResidentData[[#This Row],[PRN Med Discontinued]]&gt;BO$4,ISBLANK(Tbl_ResidentData[[#This Row],[PRN Med Discontinued]])))</f>
        <v>0</v>
      </c>
      <c r="CN25" s="122" t="b">
        <f ca="1">AND(Tbl_ResidentData[[#This Row],[PRN Med Started]]&lt;&gt;"",Tbl_ResidentData[[#This Row],[PRN Med Started]]&lt;=NOW(),Tbl_ResidentData[[#This Row],[PRN Med Started]]&lt;=BP$4,OR(Tbl_ResidentData[[#This Row],[PRN Med Discontinued]]&gt;BP$4,ISBLANK(Tbl_ResidentData[[#This Row],[PRN Med Discontinued]])))</f>
        <v>0</v>
      </c>
      <c r="CO25" s="120">
        <f ca="1">IF(OR(Tbl_ResidentData[[#This Row],[S1]]=TRUE,Tbl_ResidentData[[#This Row],[P1]]=TRUE),1,0)</f>
        <v>0</v>
      </c>
      <c r="CP25" s="121">
        <f ca="1">IF(OR(Tbl_ResidentData[[#This Row],[S2]]=TRUE,Tbl_ResidentData[[#This Row],[P2]]=TRUE),1,0)</f>
        <v>0</v>
      </c>
      <c r="CQ25" s="121">
        <f ca="1">IF(OR(Tbl_ResidentData[[#This Row],[S3]]=TRUE,Tbl_ResidentData[[#This Row],[P3]]=TRUE),1,0)</f>
        <v>0</v>
      </c>
      <c r="CR25" s="130">
        <f ca="1">IF(OR(Tbl_ResidentData[[#This Row],[S4]]=TRUE,Tbl_ResidentData[[#This Row],[P4]]=TRUE),1,0)</f>
        <v>0</v>
      </c>
      <c r="CS25" s="130">
        <f ca="1">IF(OR(Tbl_ResidentData[[#This Row],[S5]]=TRUE,Tbl_ResidentData[[#This Row],[P5]]=TRUE),1,0)</f>
        <v>0</v>
      </c>
      <c r="CT25" s="130">
        <f ca="1">IF(OR(Tbl_ResidentData[[#This Row],[S6]]=TRUE,Tbl_ResidentData[[#This Row],[P6]]=TRUE),1,0)</f>
        <v>0</v>
      </c>
      <c r="CU25" s="130">
        <f ca="1">IF(OR(Tbl_ResidentData[[#This Row],[S7]]=TRUE,Tbl_ResidentData[[#This Row],[P7]]=TRUE),1,0)</f>
        <v>0</v>
      </c>
      <c r="CV25" s="130">
        <f ca="1">IF(OR(Tbl_ResidentData[[#This Row],[S8]]=TRUE,Tbl_ResidentData[[#This Row],[P8]]=TRUE),1,0)</f>
        <v>0</v>
      </c>
      <c r="CW25" s="130">
        <f ca="1">IF(OR(Tbl_ResidentData[[#This Row],[S9]]=TRUE,Tbl_ResidentData[[#This Row],[P9]]=TRUE),1,0)</f>
        <v>0</v>
      </c>
      <c r="CX25" s="130">
        <f ca="1">IF(OR(Tbl_ResidentData[[#This Row],[S10]]=TRUE,Tbl_ResidentData[[#This Row],[P10]]=TRUE),1,0)</f>
        <v>0</v>
      </c>
      <c r="CY25" s="130">
        <f ca="1">IF(OR(Tbl_ResidentData[[#This Row],[S11]]=TRUE,Tbl_ResidentData[[#This Row],[P11]]=TRUE),1,0)</f>
        <v>0</v>
      </c>
      <c r="CZ25" s="130">
        <f ca="1">IF(OR(Tbl_ResidentData[[#This Row],[S12]]=TRUE,Tbl_ResidentData[[#This Row],[P12]]=TRUE),1,0)</f>
        <v>0</v>
      </c>
      <c r="DA25" s="130">
        <f ca="1">IF(OR(Tbl_ResidentData[[#This Row],[S13]]=TRUE,Tbl_ResidentData[[#This Row],[P13]]=TRUE),1,0)</f>
        <v>0</v>
      </c>
      <c r="DB25" s="130">
        <f ca="1">IF(OR(Tbl_ResidentData[[#This Row],[S14]]=TRUE,Tbl_ResidentData[[#This Row],[P14]]=TRUE),1,0)</f>
        <v>0</v>
      </c>
      <c r="DC25" s="130">
        <f ca="1">IF(OR(Tbl_ResidentData[[#This Row],[S15]]=TRUE,Tbl_ResidentData[[#This Row],[P15]]=TRUE),1,0)</f>
        <v>0</v>
      </c>
      <c r="DD25" s="130">
        <f ca="1">IF(OR(Tbl_ResidentData[[#This Row],[S16]]=TRUE,Tbl_ResidentData[[#This Row],[P16]]=TRUE),1,0)</f>
        <v>0</v>
      </c>
      <c r="DE25" s="130">
        <f ca="1">IF(OR(Tbl_ResidentData[[#This Row],[S17]]=TRUE,Tbl_ResidentData[[#This Row],[P17]]=TRUE),1,0)</f>
        <v>0</v>
      </c>
      <c r="DF25" s="130">
        <f ca="1">IF(OR(Tbl_ResidentData[[#This Row],[S18]]=TRUE,Tbl_ResidentData[[#This Row],[P18]]=TRUE),1,0)</f>
        <v>0</v>
      </c>
      <c r="DG25" s="130">
        <f ca="1">IF(OR(Tbl_ResidentData[[#This Row],[S19]]=TRUE,Tbl_ResidentData[[#This Row],[P19]]=TRUE),1,0)</f>
        <v>0</v>
      </c>
      <c r="DH25" s="130">
        <f ca="1">IF(OR(Tbl_ResidentData[[#This Row],[S20]]=TRUE,Tbl_ResidentData[[#This Row],[P20]]=TRUE),1,0)</f>
        <v>0</v>
      </c>
      <c r="DI25" s="130">
        <f ca="1">IF(OR(Tbl_ResidentData[[#This Row],[S21]]=TRUE,Tbl_ResidentData[[#This Row],[P21]]=TRUE),1,0)</f>
        <v>0</v>
      </c>
      <c r="DJ25" s="130">
        <f ca="1">IF(OR(Tbl_ResidentData[[#This Row],[S22]]=TRUE,Tbl_ResidentData[[#This Row],[P22]]=TRUE),1,0)</f>
        <v>0</v>
      </c>
      <c r="DK25" s="130">
        <f ca="1">IF(OR(Tbl_ResidentData[[#This Row],[S23]]=TRUE,Tbl_ResidentData[[#This Row],[P23]]=TRUE),1,0)</f>
        <v>0</v>
      </c>
      <c r="DL25" s="130">
        <f ca="1">IF(OR(Tbl_ResidentData[[#This Row],[S24]]=TRUE,Tbl_ResidentData[[#This Row],[P24]]=TRUE),1,0)</f>
        <v>0</v>
      </c>
      <c r="DM25" s="123" t="str">
        <f ca="1">IFERROR(INDEX($CO$4:$DL$4,MATCH(TRUE,INDEX((Tbl_ResidentData[[#This Row],[Over1]:[Over24]]&lt;&gt;0),0),0)),"")</f>
        <v/>
      </c>
      <c r="DN25" s="133" t="str">
        <f>IFERROR(INDEX(Tbl_PDSAData[Last DRT],MATCH(Tbl_ResidentData[Resident Name '[last, first']],Tbl_PDSAData[Resident Name (last, first)],0)),"")</f>
        <v/>
      </c>
      <c r="DO25" s="222" t="str">
        <f>IFERROR(INDEX(Tbl_PDSAData[Last MR],MATCH(Tbl_ResidentData[Resident Name '[last, first']],Tbl_PDSAData[Resident Name (last, first)],0)),"")</f>
        <v/>
      </c>
    </row>
    <row r="26" spans="1:119" x14ac:dyDescent="0.25">
      <c r="A26" s="179"/>
      <c r="B26" s="180"/>
      <c r="C26" s="180"/>
      <c r="D26" s="218"/>
      <c r="E26" s="179"/>
      <c r="F26" s="181"/>
      <c r="G26" s="181"/>
      <c r="H26" s="375"/>
      <c r="I26" s="185"/>
      <c r="J26" s="387"/>
      <c r="K26" s="178"/>
      <c r="L26" s="388"/>
      <c r="M26" s="185"/>
      <c r="N26" s="386"/>
      <c r="O26" s="178"/>
      <c r="P26" s="388"/>
      <c r="Q26" s="394"/>
      <c r="R26" s="388"/>
      <c r="S26" s="131" t="str">
        <f>IF(ISBLANK(Tbl_ResidentData[[#This Row],[Discharge '[mmm-yyyy']]]),IF(ISBLANK(Tbl_ResidentData[[#This Row],[Enrollment '[mmm-yyyy']]]),"","In Care Home"),"Discharged")</f>
        <v/>
      </c>
      <c r="T26" s="119" t="str">
        <f>IF(ISBLANK(Tbl_ResidentData[[#This Row],[Diagnosis (RAI)]]),IF(ISBLANK(Tbl_ResidentData[[#This Row],[Resident Name '[last, first']]]),"",0),IF(Tbl_ResidentData[[#This Row],[Diagnosis (RAI)]]="Other (see clinical notes)",0,1))</f>
        <v/>
      </c>
      <c r="U26" s="120" t="str">
        <f ca="1">IF(U$4&gt;NOW(),"-",IF(ISBLANK(Tbl_ResidentData[[#This Row],[Enrollment '[mmm-yyyy']]]),"-",AND((Tbl_ResidentData[[#This Row],[Enrollment '[mmm-yyyy']]]&lt;=U$4),IF(ISBLANK(Tbl_ResidentData[[#This Row],[Discharge '[mmm-yyyy']]]),TRUE,(Tbl_ResidentData[[#This Row],[Discharge '[mmm-yyyy']]]&gt;=U$4)))))</f>
        <v>-</v>
      </c>
      <c r="V26" s="121" t="str">
        <f ca="1">IF(V$4&gt;NOW(),"-",IF(ISBLANK(Tbl_ResidentData[[#This Row],[Enrollment '[mmm-yyyy']]]),"-",AND((Tbl_ResidentData[[#This Row],[Enrollment '[mmm-yyyy']]]&lt;=V$4),IF(ISBLANK(Tbl_ResidentData[[#This Row],[Discharge '[mmm-yyyy']]]),TRUE,(Tbl_ResidentData[[#This Row],[Discharge '[mmm-yyyy']]]&gt;=V$4)))))</f>
        <v>-</v>
      </c>
      <c r="W26" s="121" t="str">
        <f ca="1">IF(W$4&gt;NOW(),"-",IF(ISBLANK(Tbl_ResidentData[[#This Row],[Enrollment '[mmm-yyyy']]]),"-",AND((Tbl_ResidentData[[#This Row],[Enrollment '[mmm-yyyy']]]&lt;=W$4),IF(ISBLANK(Tbl_ResidentData[[#This Row],[Discharge '[mmm-yyyy']]]),TRUE,(Tbl_ResidentData[[#This Row],[Discharge '[mmm-yyyy']]]&gt;=W$4)))))</f>
        <v>-</v>
      </c>
      <c r="X26" s="121" t="str">
        <f ca="1">IF(X$4&gt;NOW(),"-",IF(ISBLANK(Tbl_ResidentData[[#This Row],[Enrollment '[mmm-yyyy']]]),"-",AND((Tbl_ResidentData[[#This Row],[Enrollment '[mmm-yyyy']]]&lt;=X$4),IF(ISBLANK(Tbl_ResidentData[[#This Row],[Discharge '[mmm-yyyy']]]),TRUE,(Tbl_ResidentData[[#This Row],[Discharge '[mmm-yyyy']]]&gt;=X$4)))))</f>
        <v>-</v>
      </c>
      <c r="Y26" s="121" t="str">
        <f ca="1">IF(Y$4&gt;NOW(),"-",IF(ISBLANK(Tbl_ResidentData[[#This Row],[Enrollment '[mmm-yyyy']]]),"-",AND((Tbl_ResidentData[[#This Row],[Enrollment '[mmm-yyyy']]]&lt;=Y$4),IF(ISBLANK(Tbl_ResidentData[[#This Row],[Discharge '[mmm-yyyy']]]),TRUE,(Tbl_ResidentData[[#This Row],[Discharge '[mmm-yyyy']]]&gt;=Y$4)))))</f>
        <v>-</v>
      </c>
      <c r="Z26" s="121" t="str">
        <f ca="1">IF(Z$4&gt;NOW(),"-",IF(ISBLANK(Tbl_ResidentData[[#This Row],[Enrollment '[mmm-yyyy']]]),"-",AND((Tbl_ResidentData[[#This Row],[Enrollment '[mmm-yyyy']]]&lt;=Z$4),IF(ISBLANK(Tbl_ResidentData[[#This Row],[Discharge '[mmm-yyyy']]]),TRUE,(Tbl_ResidentData[[#This Row],[Discharge '[mmm-yyyy']]]&gt;=Z$4)))))</f>
        <v>-</v>
      </c>
      <c r="AA26" s="121" t="str">
        <f ca="1">IF(AA$4&gt;NOW(),"-",IF(ISBLANK(Tbl_ResidentData[[#This Row],[Enrollment '[mmm-yyyy']]]),"-",AND((Tbl_ResidentData[[#This Row],[Enrollment '[mmm-yyyy']]]&lt;=AA$4),IF(ISBLANK(Tbl_ResidentData[[#This Row],[Discharge '[mmm-yyyy']]]),TRUE,(Tbl_ResidentData[[#This Row],[Discharge '[mmm-yyyy']]]&gt;=AA$4)))))</f>
        <v>-</v>
      </c>
      <c r="AB26" s="121" t="str">
        <f ca="1">IF(AB$4&gt;NOW(),"-",IF(ISBLANK(Tbl_ResidentData[[#This Row],[Enrollment '[mmm-yyyy']]]),"-",AND((Tbl_ResidentData[[#This Row],[Enrollment '[mmm-yyyy']]]&lt;=AB$4),IF(ISBLANK(Tbl_ResidentData[[#This Row],[Discharge '[mmm-yyyy']]]),TRUE,(Tbl_ResidentData[[#This Row],[Discharge '[mmm-yyyy']]]&gt;=AB$4)))))</f>
        <v>-</v>
      </c>
      <c r="AC26" s="121" t="str">
        <f ca="1">IF(AC$4&gt;NOW(),"-",IF(ISBLANK(Tbl_ResidentData[[#This Row],[Enrollment '[mmm-yyyy']]]),"-",AND((Tbl_ResidentData[[#This Row],[Enrollment '[mmm-yyyy']]]&lt;=AC$4),IF(ISBLANK(Tbl_ResidentData[[#This Row],[Discharge '[mmm-yyyy']]]),TRUE,(Tbl_ResidentData[[#This Row],[Discharge '[mmm-yyyy']]]&gt;=AC$4)))))</f>
        <v>-</v>
      </c>
      <c r="AD26" s="121" t="str">
        <f ca="1">IF(AD$4&gt;NOW(),"-",IF(ISBLANK(Tbl_ResidentData[[#This Row],[Enrollment '[mmm-yyyy']]]),"-",AND((Tbl_ResidentData[[#This Row],[Enrollment '[mmm-yyyy']]]&lt;=AD$4),IF(ISBLANK(Tbl_ResidentData[[#This Row],[Discharge '[mmm-yyyy']]]),TRUE,(Tbl_ResidentData[[#This Row],[Discharge '[mmm-yyyy']]]&gt;=AD$4)))))</f>
        <v>-</v>
      </c>
      <c r="AE26" s="121" t="str">
        <f ca="1">IF(AE$4&gt;NOW(),"-",IF(ISBLANK(Tbl_ResidentData[[#This Row],[Enrollment '[mmm-yyyy']]]),"-",AND((Tbl_ResidentData[[#This Row],[Enrollment '[mmm-yyyy']]]&lt;=AE$4),IF(ISBLANK(Tbl_ResidentData[[#This Row],[Discharge '[mmm-yyyy']]]),TRUE,(Tbl_ResidentData[[#This Row],[Discharge '[mmm-yyyy']]]&gt;=AE$4)))))</f>
        <v>-</v>
      </c>
      <c r="AF26" s="121" t="str">
        <f ca="1">IF(AF$4&gt;NOW(),"-",IF(ISBLANK(Tbl_ResidentData[[#This Row],[Enrollment '[mmm-yyyy']]]),"-",AND((Tbl_ResidentData[[#This Row],[Enrollment '[mmm-yyyy']]]&lt;=AF$4),IF(ISBLANK(Tbl_ResidentData[[#This Row],[Discharge '[mmm-yyyy']]]),TRUE,(Tbl_ResidentData[[#This Row],[Discharge '[mmm-yyyy']]]&gt;=AF$4)))))</f>
        <v>-</v>
      </c>
      <c r="AG26" s="121" t="str">
        <f ca="1">IF(AG$4&gt;NOW(),"-",IF(ISBLANK(Tbl_ResidentData[[#This Row],[Enrollment '[mmm-yyyy']]]),"-",AND((Tbl_ResidentData[[#This Row],[Enrollment '[mmm-yyyy']]]&lt;=AG$4),IF(ISBLANK(Tbl_ResidentData[[#This Row],[Discharge '[mmm-yyyy']]]),TRUE,(Tbl_ResidentData[[#This Row],[Discharge '[mmm-yyyy']]]&gt;=AG$4)))))</f>
        <v>-</v>
      </c>
      <c r="AH26" s="121" t="str">
        <f ca="1">IF(AH$4&gt;NOW(),"-",IF(ISBLANK(Tbl_ResidentData[[#This Row],[Enrollment '[mmm-yyyy']]]),"-",AND((Tbl_ResidentData[[#This Row],[Enrollment '[mmm-yyyy']]]&lt;=AH$4),IF(ISBLANK(Tbl_ResidentData[[#This Row],[Discharge '[mmm-yyyy']]]),TRUE,(Tbl_ResidentData[[#This Row],[Discharge '[mmm-yyyy']]]&gt;=AH$4)))))</f>
        <v>-</v>
      </c>
      <c r="AI26" s="121" t="str">
        <f ca="1">IF(AI$4&gt;NOW(),"-",IF(ISBLANK(Tbl_ResidentData[[#This Row],[Enrollment '[mmm-yyyy']]]),"-",AND((Tbl_ResidentData[[#This Row],[Enrollment '[mmm-yyyy']]]&lt;=AI$4),IF(ISBLANK(Tbl_ResidentData[[#This Row],[Discharge '[mmm-yyyy']]]),TRUE,(Tbl_ResidentData[[#This Row],[Discharge '[mmm-yyyy']]]&gt;=AI$4)))))</f>
        <v>-</v>
      </c>
      <c r="AJ26" s="121" t="str">
        <f ca="1">IF(AJ$4&gt;NOW(),"-",IF(ISBLANK(Tbl_ResidentData[[#This Row],[Enrollment '[mmm-yyyy']]]),"-",AND((Tbl_ResidentData[[#This Row],[Enrollment '[mmm-yyyy']]]&lt;=AJ$4),IF(ISBLANK(Tbl_ResidentData[[#This Row],[Discharge '[mmm-yyyy']]]),TRUE,(Tbl_ResidentData[[#This Row],[Discharge '[mmm-yyyy']]]&gt;=AJ$4)))))</f>
        <v>-</v>
      </c>
      <c r="AK26" s="121" t="str">
        <f ca="1">IF(AK$4&gt;NOW(),"-",IF(ISBLANK(Tbl_ResidentData[[#This Row],[Enrollment '[mmm-yyyy']]]),"-",AND((Tbl_ResidentData[[#This Row],[Enrollment '[mmm-yyyy']]]&lt;=AK$4),IF(ISBLANK(Tbl_ResidentData[[#This Row],[Discharge '[mmm-yyyy']]]),TRUE,(Tbl_ResidentData[[#This Row],[Discharge '[mmm-yyyy']]]&gt;=AK$4)))))</f>
        <v>-</v>
      </c>
      <c r="AL26" s="121" t="str">
        <f ca="1">IF(AL$4&gt;NOW(),"-",IF(ISBLANK(Tbl_ResidentData[[#This Row],[Enrollment '[mmm-yyyy']]]),"-",AND((Tbl_ResidentData[[#This Row],[Enrollment '[mmm-yyyy']]]&lt;=AL$4),IF(ISBLANK(Tbl_ResidentData[[#This Row],[Discharge '[mmm-yyyy']]]),TRUE,(Tbl_ResidentData[[#This Row],[Discharge '[mmm-yyyy']]]&gt;=AL$4)))))</f>
        <v>-</v>
      </c>
      <c r="AM26" s="121" t="str">
        <f ca="1">IF(AM$4&gt;NOW(),"-",IF(ISBLANK(Tbl_ResidentData[[#This Row],[Enrollment '[mmm-yyyy']]]),"-",AND((Tbl_ResidentData[[#This Row],[Enrollment '[mmm-yyyy']]]&lt;=AM$4),IF(ISBLANK(Tbl_ResidentData[[#This Row],[Discharge '[mmm-yyyy']]]),TRUE,(Tbl_ResidentData[[#This Row],[Discharge '[mmm-yyyy']]]&gt;=AM$4)))))</f>
        <v>-</v>
      </c>
      <c r="AN26" s="121" t="str">
        <f ca="1">IF(AN$4&gt;NOW(),"-",IF(ISBLANK(Tbl_ResidentData[[#This Row],[Enrollment '[mmm-yyyy']]]),"-",AND((Tbl_ResidentData[[#This Row],[Enrollment '[mmm-yyyy']]]&lt;=AN$4),IF(ISBLANK(Tbl_ResidentData[[#This Row],[Discharge '[mmm-yyyy']]]),TRUE,(Tbl_ResidentData[[#This Row],[Discharge '[mmm-yyyy']]]&gt;=AN$4)))))</f>
        <v>-</v>
      </c>
      <c r="AO26" s="121" t="str">
        <f ca="1">IF(AO$4&gt;NOW(),"-",IF(ISBLANK(Tbl_ResidentData[[#This Row],[Enrollment '[mmm-yyyy']]]),"-",AND((Tbl_ResidentData[[#This Row],[Enrollment '[mmm-yyyy']]]&lt;=AO$4),IF(ISBLANK(Tbl_ResidentData[[#This Row],[Discharge '[mmm-yyyy']]]),TRUE,(Tbl_ResidentData[[#This Row],[Discharge '[mmm-yyyy']]]&gt;=AO$4)))))</f>
        <v>-</v>
      </c>
      <c r="AP26" s="121" t="str">
        <f ca="1">IF(AP$4&gt;NOW(),"-",IF(ISBLANK(Tbl_ResidentData[[#This Row],[Enrollment '[mmm-yyyy']]]),"-",AND((Tbl_ResidentData[[#This Row],[Enrollment '[mmm-yyyy']]]&lt;=AP$4),IF(ISBLANK(Tbl_ResidentData[[#This Row],[Discharge '[mmm-yyyy']]]),TRUE,(Tbl_ResidentData[[#This Row],[Discharge '[mmm-yyyy']]]&gt;=AP$4)))))</f>
        <v>-</v>
      </c>
      <c r="AQ26" s="121" t="str">
        <f ca="1">IF(AQ$4&gt;NOW(),"-",IF(ISBLANK(Tbl_ResidentData[[#This Row],[Enrollment '[mmm-yyyy']]]),"-",AND((Tbl_ResidentData[[#This Row],[Enrollment '[mmm-yyyy']]]&lt;=AQ$4),IF(ISBLANK(Tbl_ResidentData[[#This Row],[Discharge '[mmm-yyyy']]]),TRUE,(Tbl_ResidentData[[#This Row],[Discharge '[mmm-yyyy']]]&gt;=AQ$4)))))</f>
        <v>-</v>
      </c>
      <c r="AR26" s="122" t="str">
        <f ca="1">IF(AR$4&gt;NOW(),"-",IF(ISBLANK(Tbl_ResidentData[[#This Row],[Enrollment '[mmm-yyyy']]]),"-",AND((Tbl_ResidentData[[#This Row],[Enrollment '[mmm-yyyy']]]&lt;=AR$4),IF(ISBLANK(Tbl_ResidentData[[#This Row],[Discharge '[mmm-yyyy']]]),TRUE,(Tbl_ResidentData[[#This Row],[Discharge '[mmm-yyyy']]]&gt;=AR$4)))))</f>
        <v>-</v>
      </c>
      <c r="AS2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2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2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2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2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2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6" s="120" t="b">
        <f ca="1">AND(Tbl_ResidentData[[#This Row],[PRN Med Started]]&lt;&gt;"",Tbl_ResidentData[[#This Row],[PRN Med Started]]&lt;=NOW(),Tbl_ResidentData[[#This Row],[PRN Med Started]]&lt;=AS$4,OR(Tbl_ResidentData[[#This Row],[PRN Med Discontinued]]&gt;AS$4,ISBLANK(Tbl_ResidentData[[#This Row],[PRN Med Discontinued]])))</f>
        <v>0</v>
      </c>
      <c r="BR26" s="121" t="b">
        <f ca="1">AND(Tbl_ResidentData[[#This Row],[PRN Med Started]]&lt;&gt;"",Tbl_ResidentData[[#This Row],[PRN Med Started]]&lt;=NOW(),Tbl_ResidentData[[#This Row],[PRN Med Started]]&lt;=AT$4,OR(Tbl_ResidentData[[#This Row],[PRN Med Discontinued]]&gt;AT$4,ISBLANK(Tbl_ResidentData[[#This Row],[PRN Med Discontinued]])))</f>
        <v>0</v>
      </c>
      <c r="BS26" s="121" t="b">
        <f ca="1">AND(Tbl_ResidentData[[#This Row],[PRN Med Started]]&lt;&gt;"",Tbl_ResidentData[[#This Row],[PRN Med Started]]&lt;=NOW(),Tbl_ResidentData[[#This Row],[PRN Med Started]]&lt;=AU$4,OR(Tbl_ResidentData[[#This Row],[PRN Med Discontinued]]&gt;AU$4,ISBLANK(Tbl_ResidentData[[#This Row],[PRN Med Discontinued]])))</f>
        <v>0</v>
      </c>
      <c r="BT26" s="121" t="b">
        <f ca="1">AND(Tbl_ResidentData[[#This Row],[PRN Med Started]]&lt;&gt;"",Tbl_ResidentData[[#This Row],[PRN Med Started]]&lt;=NOW(),Tbl_ResidentData[[#This Row],[PRN Med Started]]&lt;=AV$4,OR(Tbl_ResidentData[[#This Row],[PRN Med Discontinued]]&gt;AV$4,ISBLANK(Tbl_ResidentData[[#This Row],[PRN Med Discontinued]])))</f>
        <v>0</v>
      </c>
      <c r="BU26" s="121" t="b">
        <f ca="1">AND(Tbl_ResidentData[[#This Row],[PRN Med Started]]&lt;&gt;"",Tbl_ResidentData[[#This Row],[PRN Med Started]]&lt;=NOW(),Tbl_ResidentData[[#This Row],[PRN Med Started]]&lt;=AW$4,OR(Tbl_ResidentData[[#This Row],[PRN Med Discontinued]]&gt;AW$4,ISBLANK(Tbl_ResidentData[[#This Row],[PRN Med Discontinued]])))</f>
        <v>0</v>
      </c>
      <c r="BV26" s="121" t="b">
        <f ca="1">AND(Tbl_ResidentData[[#This Row],[PRN Med Started]]&lt;&gt;"",Tbl_ResidentData[[#This Row],[PRN Med Started]]&lt;=NOW(),Tbl_ResidentData[[#This Row],[PRN Med Started]]&lt;=AX$4,OR(Tbl_ResidentData[[#This Row],[PRN Med Discontinued]]&gt;AX$4,ISBLANK(Tbl_ResidentData[[#This Row],[PRN Med Discontinued]])))</f>
        <v>0</v>
      </c>
      <c r="BW26" s="121" t="b">
        <f ca="1">AND(Tbl_ResidentData[[#This Row],[PRN Med Started]]&lt;&gt;"",Tbl_ResidentData[[#This Row],[PRN Med Started]]&lt;=NOW(),Tbl_ResidentData[[#This Row],[PRN Med Started]]&lt;=AY$4,OR(Tbl_ResidentData[[#This Row],[PRN Med Discontinued]]&gt;AY$4,ISBLANK(Tbl_ResidentData[[#This Row],[PRN Med Discontinued]])))</f>
        <v>0</v>
      </c>
      <c r="BX26" s="121" t="b">
        <f ca="1">AND(Tbl_ResidentData[[#This Row],[PRN Med Started]]&lt;&gt;"",Tbl_ResidentData[[#This Row],[PRN Med Started]]&lt;=NOW(),Tbl_ResidentData[[#This Row],[PRN Med Started]]&lt;=AZ$4,OR(Tbl_ResidentData[[#This Row],[PRN Med Discontinued]]&gt;AZ$4,ISBLANK(Tbl_ResidentData[[#This Row],[PRN Med Discontinued]])))</f>
        <v>0</v>
      </c>
      <c r="BY26" s="121" t="b">
        <f ca="1">AND(Tbl_ResidentData[[#This Row],[PRN Med Started]]&lt;&gt;"",Tbl_ResidentData[[#This Row],[PRN Med Started]]&lt;=NOW(),Tbl_ResidentData[[#This Row],[PRN Med Started]]&lt;=BA$4,OR(Tbl_ResidentData[[#This Row],[PRN Med Discontinued]]&gt;BA$4,ISBLANK(Tbl_ResidentData[[#This Row],[PRN Med Discontinued]])))</f>
        <v>0</v>
      </c>
      <c r="BZ26" s="121" t="b">
        <f ca="1">AND(Tbl_ResidentData[[#This Row],[PRN Med Started]]&lt;&gt;"",Tbl_ResidentData[[#This Row],[PRN Med Started]]&lt;=NOW(),Tbl_ResidentData[[#This Row],[PRN Med Started]]&lt;=BB$4,OR(Tbl_ResidentData[[#This Row],[PRN Med Discontinued]]&gt;BB$4,ISBLANK(Tbl_ResidentData[[#This Row],[PRN Med Discontinued]])))</f>
        <v>0</v>
      </c>
      <c r="CA26" s="121" t="b">
        <f ca="1">AND(Tbl_ResidentData[[#This Row],[PRN Med Started]]&lt;&gt;"",Tbl_ResidentData[[#This Row],[PRN Med Started]]&lt;=NOW(),Tbl_ResidentData[[#This Row],[PRN Med Started]]&lt;=BC$4,OR(Tbl_ResidentData[[#This Row],[PRN Med Discontinued]]&gt;BC$4,ISBLANK(Tbl_ResidentData[[#This Row],[PRN Med Discontinued]])))</f>
        <v>0</v>
      </c>
      <c r="CB26" s="121" t="b">
        <f ca="1">AND(Tbl_ResidentData[[#This Row],[PRN Med Started]]&lt;&gt;"",Tbl_ResidentData[[#This Row],[PRN Med Started]]&lt;=NOW(),Tbl_ResidentData[[#This Row],[PRN Med Started]]&lt;=BD$4,OR(Tbl_ResidentData[[#This Row],[PRN Med Discontinued]]&gt;BD$4,ISBLANK(Tbl_ResidentData[[#This Row],[PRN Med Discontinued]])))</f>
        <v>0</v>
      </c>
      <c r="CC26" s="121" t="b">
        <f ca="1">AND(Tbl_ResidentData[[#This Row],[PRN Med Started]]&lt;&gt;"",Tbl_ResidentData[[#This Row],[PRN Med Started]]&lt;=NOW(),Tbl_ResidentData[[#This Row],[PRN Med Started]]&lt;=BE$4,OR(Tbl_ResidentData[[#This Row],[PRN Med Discontinued]]&gt;BE$4,ISBLANK(Tbl_ResidentData[[#This Row],[PRN Med Discontinued]])))</f>
        <v>0</v>
      </c>
      <c r="CD26" s="121" t="b">
        <f ca="1">AND(Tbl_ResidentData[[#This Row],[PRN Med Started]]&lt;&gt;"",Tbl_ResidentData[[#This Row],[PRN Med Started]]&lt;=NOW(),Tbl_ResidentData[[#This Row],[PRN Med Started]]&lt;=BF$4,OR(Tbl_ResidentData[[#This Row],[PRN Med Discontinued]]&gt;BF$4,ISBLANK(Tbl_ResidentData[[#This Row],[PRN Med Discontinued]])))</f>
        <v>0</v>
      </c>
      <c r="CE26" s="121" t="b">
        <f ca="1">AND(Tbl_ResidentData[[#This Row],[PRN Med Started]]&lt;&gt;"",Tbl_ResidentData[[#This Row],[PRN Med Started]]&lt;=NOW(),Tbl_ResidentData[[#This Row],[PRN Med Started]]&lt;=BG$4,OR(Tbl_ResidentData[[#This Row],[PRN Med Discontinued]]&gt;BG$4,ISBLANK(Tbl_ResidentData[[#This Row],[PRN Med Discontinued]])))</f>
        <v>0</v>
      </c>
      <c r="CF26" s="121" t="b">
        <f ca="1">AND(Tbl_ResidentData[[#This Row],[PRN Med Started]]&lt;&gt;"",Tbl_ResidentData[[#This Row],[PRN Med Started]]&lt;=NOW(),Tbl_ResidentData[[#This Row],[PRN Med Started]]&lt;=BH$4,OR(Tbl_ResidentData[[#This Row],[PRN Med Discontinued]]&gt;BH$4,ISBLANK(Tbl_ResidentData[[#This Row],[PRN Med Discontinued]])))</f>
        <v>0</v>
      </c>
      <c r="CG26" s="121" t="b">
        <f ca="1">AND(Tbl_ResidentData[[#This Row],[PRN Med Started]]&lt;&gt;"",Tbl_ResidentData[[#This Row],[PRN Med Started]]&lt;=NOW(),Tbl_ResidentData[[#This Row],[PRN Med Started]]&lt;=BI$4,OR(Tbl_ResidentData[[#This Row],[PRN Med Discontinued]]&gt;BI$4,ISBLANK(Tbl_ResidentData[[#This Row],[PRN Med Discontinued]])))</f>
        <v>0</v>
      </c>
      <c r="CH26" s="121" t="b">
        <f ca="1">AND(Tbl_ResidentData[[#This Row],[PRN Med Started]]&lt;&gt;"",Tbl_ResidentData[[#This Row],[PRN Med Started]]&lt;=NOW(),Tbl_ResidentData[[#This Row],[PRN Med Started]]&lt;=BJ$4,OR(Tbl_ResidentData[[#This Row],[PRN Med Discontinued]]&gt;BJ$4,ISBLANK(Tbl_ResidentData[[#This Row],[PRN Med Discontinued]])))</f>
        <v>0</v>
      </c>
      <c r="CI26" s="121" t="b">
        <f ca="1">AND(Tbl_ResidentData[[#This Row],[PRN Med Started]]&lt;&gt;"",Tbl_ResidentData[[#This Row],[PRN Med Started]]&lt;=NOW(),Tbl_ResidentData[[#This Row],[PRN Med Started]]&lt;=BK$4,OR(Tbl_ResidentData[[#This Row],[PRN Med Discontinued]]&gt;BK$4,ISBLANK(Tbl_ResidentData[[#This Row],[PRN Med Discontinued]])))</f>
        <v>0</v>
      </c>
      <c r="CJ26" s="121" t="b">
        <f ca="1">AND(Tbl_ResidentData[[#This Row],[PRN Med Started]]&lt;&gt;"",Tbl_ResidentData[[#This Row],[PRN Med Started]]&lt;=NOW(),Tbl_ResidentData[[#This Row],[PRN Med Started]]&lt;=BL$4,OR(Tbl_ResidentData[[#This Row],[PRN Med Discontinued]]&gt;BL$4,ISBLANK(Tbl_ResidentData[[#This Row],[PRN Med Discontinued]])))</f>
        <v>0</v>
      </c>
      <c r="CK26" s="121" t="b">
        <f ca="1">AND(Tbl_ResidentData[[#This Row],[PRN Med Started]]&lt;&gt;"",Tbl_ResidentData[[#This Row],[PRN Med Started]]&lt;=NOW(),Tbl_ResidentData[[#This Row],[PRN Med Started]]&lt;=BM$4,OR(Tbl_ResidentData[[#This Row],[PRN Med Discontinued]]&gt;BM$4,ISBLANK(Tbl_ResidentData[[#This Row],[PRN Med Discontinued]])))</f>
        <v>0</v>
      </c>
      <c r="CL26" s="121" t="b">
        <f ca="1">AND(Tbl_ResidentData[[#This Row],[PRN Med Started]]&lt;&gt;"",Tbl_ResidentData[[#This Row],[PRN Med Started]]&lt;=NOW(),Tbl_ResidentData[[#This Row],[PRN Med Started]]&lt;=BN$4,OR(Tbl_ResidentData[[#This Row],[PRN Med Discontinued]]&gt;BN$4,ISBLANK(Tbl_ResidentData[[#This Row],[PRN Med Discontinued]])))</f>
        <v>0</v>
      </c>
      <c r="CM26" s="121" t="b">
        <f ca="1">AND(Tbl_ResidentData[[#This Row],[PRN Med Started]]&lt;&gt;"",Tbl_ResidentData[[#This Row],[PRN Med Started]]&lt;=NOW(),Tbl_ResidentData[[#This Row],[PRN Med Started]]&lt;=BO$4,OR(Tbl_ResidentData[[#This Row],[PRN Med Discontinued]]&gt;BO$4,ISBLANK(Tbl_ResidentData[[#This Row],[PRN Med Discontinued]])))</f>
        <v>0</v>
      </c>
      <c r="CN26" s="122" t="b">
        <f ca="1">AND(Tbl_ResidentData[[#This Row],[PRN Med Started]]&lt;&gt;"",Tbl_ResidentData[[#This Row],[PRN Med Started]]&lt;=NOW(),Tbl_ResidentData[[#This Row],[PRN Med Started]]&lt;=BP$4,OR(Tbl_ResidentData[[#This Row],[PRN Med Discontinued]]&gt;BP$4,ISBLANK(Tbl_ResidentData[[#This Row],[PRN Med Discontinued]])))</f>
        <v>0</v>
      </c>
      <c r="CO26" s="120">
        <f ca="1">IF(OR(Tbl_ResidentData[[#This Row],[S1]]=TRUE,Tbl_ResidentData[[#This Row],[P1]]=TRUE),1,0)</f>
        <v>0</v>
      </c>
      <c r="CP26" s="121">
        <f ca="1">IF(OR(Tbl_ResidentData[[#This Row],[S2]]=TRUE,Tbl_ResidentData[[#This Row],[P2]]=TRUE),1,0)</f>
        <v>0</v>
      </c>
      <c r="CQ26" s="121">
        <f ca="1">IF(OR(Tbl_ResidentData[[#This Row],[S3]]=TRUE,Tbl_ResidentData[[#This Row],[P3]]=TRUE),1,0)</f>
        <v>0</v>
      </c>
      <c r="CR26" s="120">
        <f ca="1">IF(OR(Tbl_ResidentData[[#This Row],[S4]]=TRUE,Tbl_ResidentData[[#This Row],[P4]]=TRUE),1,0)</f>
        <v>0</v>
      </c>
      <c r="CS26" s="120">
        <f ca="1">IF(OR(Tbl_ResidentData[[#This Row],[S5]]=TRUE,Tbl_ResidentData[[#This Row],[P5]]=TRUE),1,0)</f>
        <v>0</v>
      </c>
      <c r="CT26" s="120">
        <f ca="1">IF(OR(Tbl_ResidentData[[#This Row],[S6]]=TRUE,Tbl_ResidentData[[#This Row],[P6]]=TRUE),1,0)</f>
        <v>0</v>
      </c>
      <c r="CU26" s="120">
        <f ca="1">IF(OR(Tbl_ResidentData[[#This Row],[S7]]=TRUE,Tbl_ResidentData[[#This Row],[P7]]=TRUE),1,0)</f>
        <v>0</v>
      </c>
      <c r="CV26" s="120">
        <f ca="1">IF(OR(Tbl_ResidentData[[#This Row],[S8]]=TRUE,Tbl_ResidentData[[#This Row],[P8]]=TRUE),1,0)</f>
        <v>0</v>
      </c>
      <c r="CW26" s="120">
        <f ca="1">IF(OR(Tbl_ResidentData[[#This Row],[S9]]=TRUE,Tbl_ResidentData[[#This Row],[P9]]=TRUE),1,0)</f>
        <v>0</v>
      </c>
      <c r="CX26" s="120">
        <f ca="1">IF(OR(Tbl_ResidentData[[#This Row],[S10]]=TRUE,Tbl_ResidentData[[#This Row],[P10]]=TRUE),1,0)</f>
        <v>0</v>
      </c>
      <c r="CY26" s="120">
        <f ca="1">IF(OR(Tbl_ResidentData[[#This Row],[S11]]=TRUE,Tbl_ResidentData[[#This Row],[P11]]=TRUE),1,0)</f>
        <v>0</v>
      </c>
      <c r="CZ26" s="120">
        <f ca="1">IF(OR(Tbl_ResidentData[[#This Row],[S12]]=TRUE,Tbl_ResidentData[[#This Row],[P12]]=TRUE),1,0)</f>
        <v>0</v>
      </c>
      <c r="DA26" s="120">
        <f ca="1">IF(OR(Tbl_ResidentData[[#This Row],[S13]]=TRUE,Tbl_ResidentData[[#This Row],[P13]]=TRUE),1,0)</f>
        <v>0</v>
      </c>
      <c r="DB26" s="120">
        <f ca="1">IF(OR(Tbl_ResidentData[[#This Row],[S14]]=TRUE,Tbl_ResidentData[[#This Row],[P14]]=TRUE),1,0)</f>
        <v>0</v>
      </c>
      <c r="DC26" s="120">
        <f ca="1">IF(OR(Tbl_ResidentData[[#This Row],[S15]]=TRUE,Tbl_ResidentData[[#This Row],[P15]]=TRUE),1,0)</f>
        <v>0</v>
      </c>
      <c r="DD26" s="120">
        <f ca="1">IF(OR(Tbl_ResidentData[[#This Row],[S16]]=TRUE,Tbl_ResidentData[[#This Row],[P16]]=TRUE),1,0)</f>
        <v>0</v>
      </c>
      <c r="DE26" s="120">
        <f ca="1">IF(OR(Tbl_ResidentData[[#This Row],[S17]]=TRUE,Tbl_ResidentData[[#This Row],[P17]]=TRUE),1,0)</f>
        <v>0</v>
      </c>
      <c r="DF26" s="120">
        <f ca="1">IF(OR(Tbl_ResidentData[[#This Row],[S18]]=TRUE,Tbl_ResidentData[[#This Row],[P18]]=TRUE),1,0)</f>
        <v>0</v>
      </c>
      <c r="DG26" s="120">
        <f ca="1">IF(OR(Tbl_ResidentData[[#This Row],[S19]]=TRUE,Tbl_ResidentData[[#This Row],[P19]]=TRUE),1,0)</f>
        <v>0</v>
      </c>
      <c r="DH26" s="120">
        <f ca="1">IF(OR(Tbl_ResidentData[[#This Row],[S20]]=TRUE,Tbl_ResidentData[[#This Row],[P20]]=TRUE),1,0)</f>
        <v>0</v>
      </c>
      <c r="DI26" s="120">
        <f ca="1">IF(OR(Tbl_ResidentData[[#This Row],[S21]]=TRUE,Tbl_ResidentData[[#This Row],[P21]]=TRUE),1,0)</f>
        <v>0</v>
      </c>
      <c r="DJ26" s="120">
        <f ca="1">IF(OR(Tbl_ResidentData[[#This Row],[S22]]=TRUE,Tbl_ResidentData[[#This Row],[P22]]=TRUE),1,0)</f>
        <v>0</v>
      </c>
      <c r="DK26" s="120">
        <f ca="1">IF(OR(Tbl_ResidentData[[#This Row],[S23]]=TRUE,Tbl_ResidentData[[#This Row],[P23]]=TRUE),1,0)</f>
        <v>0</v>
      </c>
      <c r="DL26" s="120">
        <f ca="1">IF(OR(Tbl_ResidentData[[#This Row],[S24]]=TRUE,Tbl_ResidentData[[#This Row],[P24]]=TRUE),1,0)</f>
        <v>0</v>
      </c>
      <c r="DM26" s="123" t="str">
        <f ca="1">IFERROR(INDEX($CO$4:$DL$4,MATCH(TRUE,INDEX((Tbl_ResidentData[[#This Row],[Over1]:[Over24]]&lt;&gt;0),0),0)),"")</f>
        <v/>
      </c>
      <c r="DN26" s="133" t="str">
        <f>IFERROR(INDEX(Tbl_PDSAData[Last DRT],MATCH(Tbl_ResidentData[Resident Name '[last, first']],Tbl_PDSAData[Resident Name (last, first)],0)),"")</f>
        <v/>
      </c>
      <c r="DO26" s="222" t="str">
        <f>IFERROR(INDEX(Tbl_PDSAData[Last MR],MATCH(Tbl_ResidentData[Resident Name '[last, first']],Tbl_PDSAData[Resident Name (last, first)],0)),"")</f>
        <v/>
      </c>
    </row>
    <row r="27" spans="1:119" x14ac:dyDescent="0.25">
      <c r="A27" s="179"/>
      <c r="B27" s="180"/>
      <c r="C27" s="180"/>
      <c r="D27" s="218"/>
      <c r="E27" s="179"/>
      <c r="F27" s="181"/>
      <c r="G27" s="181"/>
      <c r="H27" s="182"/>
      <c r="I27" s="185"/>
      <c r="J27" s="387"/>
      <c r="K27" s="178"/>
      <c r="L27" s="388"/>
      <c r="M27" s="185"/>
      <c r="N27" s="386"/>
      <c r="O27" s="178"/>
      <c r="P27" s="388"/>
      <c r="Q27" s="395"/>
      <c r="R27" s="396"/>
      <c r="S27" s="131" t="str">
        <f>IF(ISBLANK(Tbl_ResidentData[[#This Row],[Discharge '[mmm-yyyy']]]),IF(ISBLANK(Tbl_ResidentData[[#This Row],[Enrollment '[mmm-yyyy']]]),"","In Care Home"),"Discharged")</f>
        <v/>
      </c>
      <c r="T27" s="119" t="str">
        <f>IF(ISBLANK(Tbl_ResidentData[[#This Row],[Diagnosis (RAI)]]),IF(ISBLANK(Tbl_ResidentData[[#This Row],[Resident Name '[last, first']]]),"",0),IF(Tbl_ResidentData[[#This Row],[Diagnosis (RAI)]]="Other (see clinical notes)",0,1))</f>
        <v/>
      </c>
      <c r="U27" s="120" t="str">
        <f ca="1">IF(U$4&gt;NOW(),"-",IF(ISBLANK(Tbl_ResidentData[[#This Row],[Enrollment '[mmm-yyyy']]]),"-",AND((Tbl_ResidentData[[#This Row],[Enrollment '[mmm-yyyy']]]&lt;=U$4),IF(ISBLANK(Tbl_ResidentData[[#This Row],[Discharge '[mmm-yyyy']]]),TRUE,(Tbl_ResidentData[[#This Row],[Discharge '[mmm-yyyy']]]&gt;=U$4)))))</f>
        <v>-</v>
      </c>
      <c r="V27" s="121" t="str">
        <f ca="1">IF(V$4&gt;NOW(),"-",IF(ISBLANK(Tbl_ResidentData[[#This Row],[Enrollment '[mmm-yyyy']]]),"-",AND((Tbl_ResidentData[[#This Row],[Enrollment '[mmm-yyyy']]]&lt;=V$4),IF(ISBLANK(Tbl_ResidentData[[#This Row],[Discharge '[mmm-yyyy']]]),TRUE,(Tbl_ResidentData[[#This Row],[Discharge '[mmm-yyyy']]]&gt;=V$4)))))</f>
        <v>-</v>
      </c>
      <c r="W27" s="121" t="str">
        <f ca="1">IF(W$4&gt;NOW(),"-",IF(ISBLANK(Tbl_ResidentData[[#This Row],[Enrollment '[mmm-yyyy']]]),"-",AND((Tbl_ResidentData[[#This Row],[Enrollment '[mmm-yyyy']]]&lt;=W$4),IF(ISBLANK(Tbl_ResidentData[[#This Row],[Discharge '[mmm-yyyy']]]),TRUE,(Tbl_ResidentData[[#This Row],[Discharge '[mmm-yyyy']]]&gt;=W$4)))))</f>
        <v>-</v>
      </c>
      <c r="X27" s="121" t="str">
        <f ca="1">IF(X$4&gt;NOW(),"-",IF(ISBLANK(Tbl_ResidentData[[#This Row],[Enrollment '[mmm-yyyy']]]),"-",AND((Tbl_ResidentData[[#This Row],[Enrollment '[mmm-yyyy']]]&lt;=X$4),IF(ISBLANK(Tbl_ResidentData[[#This Row],[Discharge '[mmm-yyyy']]]),TRUE,(Tbl_ResidentData[[#This Row],[Discharge '[mmm-yyyy']]]&gt;=X$4)))))</f>
        <v>-</v>
      </c>
      <c r="Y27" s="121" t="str">
        <f ca="1">IF(Y$4&gt;NOW(),"-",IF(ISBLANK(Tbl_ResidentData[[#This Row],[Enrollment '[mmm-yyyy']]]),"-",AND((Tbl_ResidentData[[#This Row],[Enrollment '[mmm-yyyy']]]&lt;=Y$4),IF(ISBLANK(Tbl_ResidentData[[#This Row],[Discharge '[mmm-yyyy']]]),TRUE,(Tbl_ResidentData[[#This Row],[Discharge '[mmm-yyyy']]]&gt;=Y$4)))))</f>
        <v>-</v>
      </c>
      <c r="Z27" s="121" t="str">
        <f ca="1">IF(Z$4&gt;NOW(),"-",IF(ISBLANK(Tbl_ResidentData[[#This Row],[Enrollment '[mmm-yyyy']]]),"-",AND((Tbl_ResidentData[[#This Row],[Enrollment '[mmm-yyyy']]]&lt;=Z$4),IF(ISBLANK(Tbl_ResidentData[[#This Row],[Discharge '[mmm-yyyy']]]),TRUE,(Tbl_ResidentData[[#This Row],[Discharge '[mmm-yyyy']]]&gt;=Z$4)))))</f>
        <v>-</v>
      </c>
      <c r="AA27" s="121" t="str">
        <f ca="1">IF(AA$4&gt;NOW(),"-",IF(ISBLANK(Tbl_ResidentData[[#This Row],[Enrollment '[mmm-yyyy']]]),"-",AND((Tbl_ResidentData[[#This Row],[Enrollment '[mmm-yyyy']]]&lt;=AA$4),IF(ISBLANK(Tbl_ResidentData[[#This Row],[Discharge '[mmm-yyyy']]]),TRUE,(Tbl_ResidentData[[#This Row],[Discharge '[mmm-yyyy']]]&gt;=AA$4)))))</f>
        <v>-</v>
      </c>
      <c r="AB27" s="121" t="str">
        <f ca="1">IF(AB$4&gt;NOW(),"-",IF(ISBLANK(Tbl_ResidentData[[#This Row],[Enrollment '[mmm-yyyy']]]),"-",AND((Tbl_ResidentData[[#This Row],[Enrollment '[mmm-yyyy']]]&lt;=AB$4),IF(ISBLANK(Tbl_ResidentData[[#This Row],[Discharge '[mmm-yyyy']]]),TRUE,(Tbl_ResidentData[[#This Row],[Discharge '[mmm-yyyy']]]&gt;=AB$4)))))</f>
        <v>-</v>
      </c>
      <c r="AC27" s="121" t="str">
        <f ca="1">IF(AC$4&gt;NOW(),"-",IF(ISBLANK(Tbl_ResidentData[[#This Row],[Enrollment '[mmm-yyyy']]]),"-",AND((Tbl_ResidentData[[#This Row],[Enrollment '[mmm-yyyy']]]&lt;=AC$4),IF(ISBLANK(Tbl_ResidentData[[#This Row],[Discharge '[mmm-yyyy']]]),TRUE,(Tbl_ResidentData[[#This Row],[Discharge '[mmm-yyyy']]]&gt;=AC$4)))))</f>
        <v>-</v>
      </c>
      <c r="AD27" s="121" t="str">
        <f ca="1">IF(AD$4&gt;NOW(),"-",IF(ISBLANK(Tbl_ResidentData[[#This Row],[Enrollment '[mmm-yyyy']]]),"-",AND((Tbl_ResidentData[[#This Row],[Enrollment '[mmm-yyyy']]]&lt;=AD$4),IF(ISBLANK(Tbl_ResidentData[[#This Row],[Discharge '[mmm-yyyy']]]),TRUE,(Tbl_ResidentData[[#This Row],[Discharge '[mmm-yyyy']]]&gt;=AD$4)))))</f>
        <v>-</v>
      </c>
      <c r="AE27" s="121" t="str">
        <f ca="1">IF(AE$4&gt;NOW(),"-",IF(ISBLANK(Tbl_ResidentData[[#This Row],[Enrollment '[mmm-yyyy']]]),"-",AND((Tbl_ResidentData[[#This Row],[Enrollment '[mmm-yyyy']]]&lt;=AE$4),IF(ISBLANK(Tbl_ResidentData[[#This Row],[Discharge '[mmm-yyyy']]]),TRUE,(Tbl_ResidentData[[#This Row],[Discharge '[mmm-yyyy']]]&gt;=AE$4)))))</f>
        <v>-</v>
      </c>
      <c r="AF27" s="121" t="str">
        <f ca="1">IF(AF$4&gt;NOW(),"-",IF(ISBLANK(Tbl_ResidentData[[#This Row],[Enrollment '[mmm-yyyy']]]),"-",AND((Tbl_ResidentData[[#This Row],[Enrollment '[mmm-yyyy']]]&lt;=AF$4),IF(ISBLANK(Tbl_ResidentData[[#This Row],[Discharge '[mmm-yyyy']]]),TRUE,(Tbl_ResidentData[[#This Row],[Discharge '[mmm-yyyy']]]&gt;=AF$4)))))</f>
        <v>-</v>
      </c>
      <c r="AG27" s="121" t="str">
        <f ca="1">IF(AG$4&gt;NOW(),"-",IF(ISBLANK(Tbl_ResidentData[[#This Row],[Enrollment '[mmm-yyyy']]]),"-",AND((Tbl_ResidentData[[#This Row],[Enrollment '[mmm-yyyy']]]&lt;=AG$4),IF(ISBLANK(Tbl_ResidentData[[#This Row],[Discharge '[mmm-yyyy']]]),TRUE,(Tbl_ResidentData[[#This Row],[Discharge '[mmm-yyyy']]]&gt;=AG$4)))))</f>
        <v>-</v>
      </c>
      <c r="AH27" s="121" t="str">
        <f ca="1">IF(AH$4&gt;NOW(),"-",IF(ISBLANK(Tbl_ResidentData[[#This Row],[Enrollment '[mmm-yyyy']]]),"-",AND((Tbl_ResidentData[[#This Row],[Enrollment '[mmm-yyyy']]]&lt;=AH$4),IF(ISBLANK(Tbl_ResidentData[[#This Row],[Discharge '[mmm-yyyy']]]),TRUE,(Tbl_ResidentData[[#This Row],[Discharge '[mmm-yyyy']]]&gt;=AH$4)))))</f>
        <v>-</v>
      </c>
      <c r="AI27" s="121" t="str">
        <f ca="1">IF(AI$4&gt;NOW(),"-",IF(ISBLANK(Tbl_ResidentData[[#This Row],[Enrollment '[mmm-yyyy']]]),"-",AND((Tbl_ResidentData[[#This Row],[Enrollment '[mmm-yyyy']]]&lt;=AI$4),IF(ISBLANK(Tbl_ResidentData[[#This Row],[Discharge '[mmm-yyyy']]]),TRUE,(Tbl_ResidentData[[#This Row],[Discharge '[mmm-yyyy']]]&gt;=AI$4)))))</f>
        <v>-</v>
      </c>
      <c r="AJ27" s="121" t="str">
        <f ca="1">IF(AJ$4&gt;NOW(),"-",IF(ISBLANK(Tbl_ResidentData[[#This Row],[Enrollment '[mmm-yyyy']]]),"-",AND((Tbl_ResidentData[[#This Row],[Enrollment '[mmm-yyyy']]]&lt;=AJ$4),IF(ISBLANK(Tbl_ResidentData[[#This Row],[Discharge '[mmm-yyyy']]]),TRUE,(Tbl_ResidentData[[#This Row],[Discharge '[mmm-yyyy']]]&gt;=AJ$4)))))</f>
        <v>-</v>
      </c>
      <c r="AK27" s="121" t="str">
        <f ca="1">IF(AK$4&gt;NOW(),"-",IF(ISBLANK(Tbl_ResidentData[[#This Row],[Enrollment '[mmm-yyyy']]]),"-",AND((Tbl_ResidentData[[#This Row],[Enrollment '[mmm-yyyy']]]&lt;=AK$4),IF(ISBLANK(Tbl_ResidentData[[#This Row],[Discharge '[mmm-yyyy']]]),TRUE,(Tbl_ResidentData[[#This Row],[Discharge '[mmm-yyyy']]]&gt;=AK$4)))))</f>
        <v>-</v>
      </c>
      <c r="AL27" s="121" t="str">
        <f ca="1">IF(AL$4&gt;NOW(),"-",IF(ISBLANK(Tbl_ResidentData[[#This Row],[Enrollment '[mmm-yyyy']]]),"-",AND((Tbl_ResidentData[[#This Row],[Enrollment '[mmm-yyyy']]]&lt;=AL$4),IF(ISBLANK(Tbl_ResidentData[[#This Row],[Discharge '[mmm-yyyy']]]),TRUE,(Tbl_ResidentData[[#This Row],[Discharge '[mmm-yyyy']]]&gt;=AL$4)))))</f>
        <v>-</v>
      </c>
      <c r="AM27" s="121" t="str">
        <f ca="1">IF(AM$4&gt;NOW(),"-",IF(ISBLANK(Tbl_ResidentData[[#This Row],[Enrollment '[mmm-yyyy']]]),"-",AND((Tbl_ResidentData[[#This Row],[Enrollment '[mmm-yyyy']]]&lt;=AM$4),IF(ISBLANK(Tbl_ResidentData[[#This Row],[Discharge '[mmm-yyyy']]]),TRUE,(Tbl_ResidentData[[#This Row],[Discharge '[mmm-yyyy']]]&gt;=AM$4)))))</f>
        <v>-</v>
      </c>
      <c r="AN27" s="121" t="str">
        <f ca="1">IF(AN$4&gt;NOW(),"-",IF(ISBLANK(Tbl_ResidentData[[#This Row],[Enrollment '[mmm-yyyy']]]),"-",AND((Tbl_ResidentData[[#This Row],[Enrollment '[mmm-yyyy']]]&lt;=AN$4),IF(ISBLANK(Tbl_ResidentData[[#This Row],[Discharge '[mmm-yyyy']]]),TRUE,(Tbl_ResidentData[[#This Row],[Discharge '[mmm-yyyy']]]&gt;=AN$4)))))</f>
        <v>-</v>
      </c>
      <c r="AO27" s="121" t="str">
        <f ca="1">IF(AO$4&gt;NOW(),"-",IF(ISBLANK(Tbl_ResidentData[[#This Row],[Enrollment '[mmm-yyyy']]]),"-",AND((Tbl_ResidentData[[#This Row],[Enrollment '[mmm-yyyy']]]&lt;=AO$4),IF(ISBLANK(Tbl_ResidentData[[#This Row],[Discharge '[mmm-yyyy']]]),TRUE,(Tbl_ResidentData[[#This Row],[Discharge '[mmm-yyyy']]]&gt;=AO$4)))))</f>
        <v>-</v>
      </c>
      <c r="AP27" s="121" t="str">
        <f ca="1">IF(AP$4&gt;NOW(),"-",IF(ISBLANK(Tbl_ResidentData[[#This Row],[Enrollment '[mmm-yyyy']]]),"-",AND((Tbl_ResidentData[[#This Row],[Enrollment '[mmm-yyyy']]]&lt;=AP$4),IF(ISBLANK(Tbl_ResidentData[[#This Row],[Discharge '[mmm-yyyy']]]),TRUE,(Tbl_ResidentData[[#This Row],[Discharge '[mmm-yyyy']]]&gt;=AP$4)))))</f>
        <v>-</v>
      </c>
      <c r="AQ27" s="121" t="str">
        <f ca="1">IF(AQ$4&gt;NOW(),"-",IF(ISBLANK(Tbl_ResidentData[[#This Row],[Enrollment '[mmm-yyyy']]]),"-",AND((Tbl_ResidentData[[#This Row],[Enrollment '[mmm-yyyy']]]&lt;=AQ$4),IF(ISBLANK(Tbl_ResidentData[[#This Row],[Discharge '[mmm-yyyy']]]),TRUE,(Tbl_ResidentData[[#This Row],[Discharge '[mmm-yyyy']]]&gt;=AQ$4)))))</f>
        <v>-</v>
      </c>
      <c r="AR27" s="122" t="str">
        <f ca="1">IF(AR$4&gt;NOW(),"-",IF(ISBLANK(Tbl_ResidentData[[#This Row],[Enrollment '[mmm-yyyy']]]),"-",AND((Tbl_ResidentData[[#This Row],[Enrollment '[mmm-yyyy']]]&lt;=AR$4),IF(ISBLANK(Tbl_ResidentData[[#This Row],[Discharge '[mmm-yyyy']]]),TRUE,(Tbl_ResidentData[[#This Row],[Discharge '[mmm-yyyy']]]&gt;=AR$4)))))</f>
        <v>-</v>
      </c>
      <c r="AS2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2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2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2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2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2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7" s="120" t="b">
        <f ca="1">AND(Tbl_ResidentData[[#This Row],[PRN Med Started]]&lt;&gt;"",Tbl_ResidentData[[#This Row],[PRN Med Started]]&lt;=NOW(),Tbl_ResidentData[[#This Row],[PRN Med Started]]&lt;=AS$4,OR(Tbl_ResidentData[[#This Row],[PRN Med Discontinued]]&gt;AS$4,ISBLANK(Tbl_ResidentData[[#This Row],[PRN Med Discontinued]])))</f>
        <v>0</v>
      </c>
      <c r="BR27" s="121" t="b">
        <f ca="1">AND(Tbl_ResidentData[[#This Row],[PRN Med Started]]&lt;&gt;"",Tbl_ResidentData[[#This Row],[PRN Med Started]]&lt;=NOW(),Tbl_ResidentData[[#This Row],[PRN Med Started]]&lt;=AT$4,OR(Tbl_ResidentData[[#This Row],[PRN Med Discontinued]]&gt;AT$4,ISBLANK(Tbl_ResidentData[[#This Row],[PRN Med Discontinued]])))</f>
        <v>0</v>
      </c>
      <c r="BS27" s="121" t="b">
        <f ca="1">AND(Tbl_ResidentData[[#This Row],[PRN Med Started]]&lt;&gt;"",Tbl_ResidentData[[#This Row],[PRN Med Started]]&lt;=NOW(),Tbl_ResidentData[[#This Row],[PRN Med Started]]&lt;=AU$4,OR(Tbl_ResidentData[[#This Row],[PRN Med Discontinued]]&gt;AU$4,ISBLANK(Tbl_ResidentData[[#This Row],[PRN Med Discontinued]])))</f>
        <v>0</v>
      </c>
      <c r="BT27" s="121" t="b">
        <f ca="1">AND(Tbl_ResidentData[[#This Row],[PRN Med Started]]&lt;&gt;"",Tbl_ResidentData[[#This Row],[PRN Med Started]]&lt;=NOW(),Tbl_ResidentData[[#This Row],[PRN Med Started]]&lt;=AV$4,OR(Tbl_ResidentData[[#This Row],[PRN Med Discontinued]]&gt;AV$4,ISBLANK(Tbl_ResidentData[[#This Row],[PRN Med Discontinued]])))</f>
        <v>0</v>
      </c>
      <c r="BU27" s="121" t="b">
        <f ca="1">AND(Tbl_ResidentData[[#This Row],[PRN Med Started]]&lt;&gt;"",Tbl_ResidentData[[#This Row],[PRN Med Started]]&lt;=NOW(),Tbl_ResidentData[[#This Row],[PRN Med Started]]&lt;=AW$4,OR(Tbl_ResidentData[[#This Row],[PRN Med Discontinued]]&gt;AW$4,ISBLANK(Tbl_ResidentData[[#This Row],[PRN Med Discontinued]])))</f>
        <v>0</v>
      </c>
      <c r="BV27" s="121" t="b">
        <f ca="1">AND(Tbl_ResidentData[[#This Row],[PRN Med Started]]&lt;&gt;"",Tbl_ResidentData[[#This Row],[PRN Med Started]]&lt;=NOW(),Tbl_ResidentData[[#This Row],[PRN Med Started]]&lt;=AX$4,OR(Tbl_ResidentData[[#This Row],[PRN Med Discontinued]]&gt;AX$4,ISBLANK(Tbl_ResidentData[[#This Row],[PRN Med Discontinued]])))</f>
        <v>0</v>
      </c>
      <c r="BW27" s="121" t="b">
        <f ca="1">AND(Tbl_ResidentData[[#This Row],[PRN Med Started]]&lt;&gt;"",Tbl_ResidentData[[#This Row],[PRN Med Started]]&lt;=NOW(),Tbl_ResidentData[[#This Row],[PRN Med Started]]&lt;=AY$4,OR(Tbl_ResidentData[[#This Row],[PRN Med Discontinued]]&gt;AY$4,ISBLANK(Tbl_ResidentData[[#This Row],[PRN Med Discontinued]])))</f>
        <v>0</v>
      </c>
      <c r="BX27" s="121" t="b">
        <f ca="1">AND(Tbl_ResidentData[[#This Row],[PRN Med Started]]&lt;&gt;"",Tbl_ResidentData[[#This Row],[PRN Med Started]]&lt;=NOW(),Tbl_ResidentData[[#This Row],[PRN Med Started]]&lt;=AZ$4,OR(Tbl_ResidentData[[#This Row],[PRN Med Discontinued]]&gt;AZ$4,ISBLANK(Tbl_ResidentData[[#This Row],[PRN Med Discontinued]])))</f>
        <v>0</v>
      </c>
      <c r="BY27" s="121" t="b">
        <f ca="1">AND(Tbl_ResidentData[[#This Row],[PRN Med Started]]&lt;&gt;"",Tbl_ResidentData[[#This Row],[PRN Med Started]]&lt;=NOW(),Tbl_ResidentData[[#This Row],[PRN Med Started]]&lt;=BA$4,OR(Tbl_ResidentData[[#This Row],[PRN Med Discontinued]]&gt;BA$4,ISBLANK(Tbl_ResidentData[[#This Row],[PRN Med Discontinued]])))</f>
        <v>0</v>
      </c>
      <c r="BZ27" s="121" t="b">
        <f ca="1">AND(Tbl_ResidentData[[#This Row],[PRN Med Started]]&lt;&gt;"",Tbl_ResidentData[[#This Row],[PRN Med Started]]&lt;=NOW(),Tbl_ResidentData[[#This Row],[PRN Med Started]]&lt;=BB$4,OR(Tbl_ResidentData[[#This Row],[PRN Med Discontinued]]&gt;BB$4,ISBLANK(Tbl_ResidentData[[#This Row],[PRN Med Discontinued]])))</f>
        <v>0</v>
      </c>
      <c r="CA27" s="121" t="b">
        <f ca="1">AND(Tbl_ResidentData[[#This Row],[PRN Med Started]]&lt;&gt;"",Tbl_ResidentData[[#This Row],[PRN Med Started]]&lt;=NOW(),Tbl_ResidentData[[#This Row],[PRN Med Started]]&lt;=BC$4,OR(Tbl_ResidentData[[#This Row],[PRN Med Discontinued]]&gt;BC$4,ISBLANK(Tbl_ResidentData[[#This Row],[PRN Med Discontinued]])))</f>
        <v>0</v>
      </c>
      <c r="CB27" s="121" t="b">
        <f ca="1">AND(Tbl_ResidentData[[#This Row],[PRN Med Started]]&lt;&gt;"",Tbl_ResidentData[[#This Row],[PRN Med Started]]&lt;=NOW(),Tbl_ResidentData[[#This Row],[PRN Med Started]]&lt;=BD$4,OR(Tbl_ResidentData[[#This Row],[PRN Med Discontinued]]&gt;BD$4,ISBLANK(Tbl_ResidentData[[#This Row],[PRN Med Discontinued]])))</f>
        <v>0</v>
      </c>
      <c r="CC27" s="121" t="b">
        <f ca="1">AND(Tbl_ResidentData[[#This Row],[PRN Med Started]]&lt;&gt;"",Tbl_ResidentData[[#This Row],[PRN Med Started]]&lt;=NOW(),Tbl_ResidentData[[#This Row],[PRN Med Started]]&lt;=BE$4,OR(Tbl_ResidentData[[#This Row],[PRN Med Discontinued]]&gt;BE$4,ISBLANK(Tbl_ResidentData[[#This Row],[PRN Med Discontinued]])))</f>
        <v>0</v>
      </c>
      <c r="CD27" s="121" t="b">
        <f ca="1">AND(Tbl_ResidentData[[#This Row],[PRN Med Started]]&lt;&gt;"",Tbl_ResidentData[[#This Row],[PRN Med Started]]&lt;=NOW(),Tbl_ResidentData[[#This Row],[PRN Med Started]]&lt;=BF$4,OR(Tbl_ResidentData[[#This Row],[PRN Med Discontinued]]&gt;BF$4,ISBLANK(Tbl_ResidentData[[#This Row],[PRN Med Discontinued]])))</f>
        <v>0</v>
      </c>
      <c r="CE27" s="121" t="b">
        <f ca="1">AND(Tbl_ResidentData[[#This Row],[PRN Med Started]]&lt;&gt;"",Tbl_ResidentData[[#This Row],[PRN Med Started]]&lt;=NOW(),Tbl_ResidentData[[#This Row],[PRN Med Started]]&lt;=BG$4,OR(Tbl_ResidentData[[#This Row],[PRN Med Discontinued]]&gt;BG$4,ISBLANK(Tbl_ResidentData[[#This Row],[PRN Med Discontinued]])))</f>
        <v>0</v>
      </c>
      <c r="CF27" s="121" t="b">
        <f ca="1">AND(Tbl_ResidentData[[#This Row],[PRN Med Started]]&lt;&gt;"",Tbl_ResidentData[[#This Row],[PRN Med Started]]&lt;=NOW(),Tbl_ResidentData[[#This Row],[PRN Med Started]]&lt;=BH$4,OR(Tbl_ResidentData[[#This Row],[PRN Med Discontinued]]&gt;BH$4,ISBLANK(Tbl_ResidentData[[#This Row],[PRN Med Discontinued]])))</f>
        <v>0</v>
      </c>
      <c r="CG27" s="121" t="b">
        <f ca="1">AND(Tbl_ResidentData[[#This Row],[PRN Med Started]]&lt;&gt;"",Tbl_ResidentData[[#This Row],[PRN Med Started]]&lt;=NOW(),Tbl_ResidentData[[#This Row],[PRN Med Started]]&lt;=BI$4,OR(Tbl_ResidentData[[#This Row],[PRN Med Discontinued]]&gt;BI$4,ISBLANK(Tbl_ResidentData[[#This Row],[PRN Med Discontinued]])))</f>
        <v>0</v>
      </c>
      <c r="CH27" s="121" t="b">
        <f ca="1">AND(Tbl_ResidentData[[#This Row],[PRN Med Started]]&lt;&gt;"",Tbl_ResidentData[[#This Row],[PRN Med Started]]&lt;=NOW(),Tbl_ResidentData[[#This Row],[PRN Med Started]]&lt;=BJ$4,OR(Tbl_ResidentData[[#This Row],[PRN Med Discontinued]]&gt;BJ$4,ISBLANK(Tbl_ResidentData[[#This Row],[PRN Med Discontinued]])))</f>
        <v>0</v>
      </c>
      <c r="CI27" s="121" t="b">
        <f ca="1">AND(Tbl_ResidentData[[#This Row],[PRN Med Started]]&lt;&gt;"",Tbl_ResidentData[[#This Row],[PRN Med Started]]&lt;=NOW(),Tbl_ResidentData[[#This Row],[PRN Med Started]]&lt;=BK$4,OR(Tbl_ResidentData[[#This Row],[PRN Med Discontinued]]&gt;BK$4,ISBLANK(Tbl_ResidentData[[#This Row],[PRN Med Discontinued]])))</f>
        <v>0</v>
      </c>
      <c r="CJ27" s="121" t="b">
        <f ca="1">AND(Tbl_ResidentData[[#This Row],[PRN Med Started]]&lt;&gt;"",Tbl_ResidentData[[#This Row],[PRN Med Started]]&lt;=NOW(),Tbl_ResidentData[[#This Row],[PRN Med Started]]&lt;=BL$4,OR(Tbl_ResidentData[[#This Row],[PRN Med Discontinued]]&gt;BL$4,ISBLANK(Tbl_ResidentData[[#This Row],[PRN Med Discontinued]])))</f>
        <v>0</v>
      </c>
      <c r="CK27" s="121" t="b">
        <f ca="1">AND(Tbl_ResidentData[[#This Row],[PRN Med Started]]&lt;&gt;"",Tbl_ResidentData[[#This Row],[PRN Med Started]]&lt;=NOW(),Tbl_ResidentData[[#This Row],[PRN Med Started]]&lt;=BM$4,OR(Tbl_ResidentData[[#This Row],[PRN Med Discontinued]]&gt;BM$4,ISBLANK(Tbl_ResidentData[[#This Row],[PRN Med Discontinued]])))</f>
        <v>0</v>
      </c>
      <c r="CL27" s="121" t="b">
        <f ca="1">AND(Tbl_ResidentData[[#This Row],[PRN Med Started]]&lt;&gt;"",Tbl_ResidentData[[#This Row],[PRN Med Started]]&lt;=NOW(),Tbl_ResidentData[[#This Row],[PRN Med Started]]&lt;=BN$4,OR(Tbl_ResidentData[[#This Row],[PRN Med Discontinued]]&gt;BN$4,ISBLANK(Tbl_ResidentData[[#This Row],[PRN Med Discontinued]])))</f>
        <v>0</v>
      </c>
      <c r="CM27" s="121" t="b">
        <f ca="1">AND(Tbl_ResidentData[[#This Row],[PRN Med Started]]&lt;&gt;"",Tbl_ResidentData[[#This Row],[PRN Med Started]]&lt;=NOW(),Tbl_ResidentData[[#This Row],[PRN Med Started]]&lt;=BO$4,OR(Tbl_ResidentData[[#This Row],[PRN Med Discontinued]]&gt;BO$4,ISBLANK(Tbl_ResidentData[[#This Row],[PRN Med Discontinued]])))</f>
        <v>0</v>
      </c>
      <c r="CN27" s="122" t="b">
        <f ca="1">AND(Tbl_ResidentData[[#This Row],[PRN Med Started]]&lt;&gt;"",Tbl_ResidentData[[#This Row],[PRN Med Started]]&lt;=NOW(),Tbl_ResidentData[[#This Row],[PRN Med Started]]&lt;=BP$4,OR(Tbl_ResidentData[[#This Row],[PRN Med Discontinued]]&gt;BP$4,ISBLANK(Tbl_ResidentData[[#This Row],[PRN Med Discontinued]])))</f>
        <v>0</v>
      </c>
      <c r="CO27" s="120">
        <f ca="1">IF(OR(Tbl_ResidentData[[#This Row],[S1]]=TRUE,Tbl_ResidentData[[#This Row],[P1]]=TRUE),1,0)</f>
        <v>0</v>
      </c>
      <c r="CP27" s="121">
        <f ca="1">IF(OR(Tbl_ResidentData[[#This Row],[S2]]=TRUE,Tbl_ResidentData[[#This Row],[P2]]=TRUE),1,0)</f>
        <v>0</v>
      </c>
      <c r="CQ27" s="121">
        <f ca="1">IF(OR(Tbl_ResidentData[[#This Row],[S3]]=TRUE,Tbl_ResidentData[[#This Row],[P3]]=TRUE),1,0)</f>
        <v>0</v>
      </c>
      <c r="CR27" s="120">
        <f ca="1">IF(OR(Tbl_ResidentData[[#This Row],[S4]]=TRUE,Tbl_ResidentData[[#This Row],[P4]]=TRUE),1,0)</f>
        <v>0</v>
      </c>
      <c r="CS27" s="120">
        <f ca="1">IF(OR(Tbl_ResidentData[[#This Row],[S5]]=TRUE,Tbl_ResidentData[[#This Row],[P5]]=TRUE),1,0)</f>
        <v>0</v>
      </c>
      <c r="CT27" s="120">
        <f ca="1">IF(OR(Tbl_ResidentData[[#This Row],[S6]]=TRUE,Tbl_ResidentData[[#This Row],[P6]]=TRUE),1,0)</f>
        <v>0</v>
      </c>
      <c r="CU27" s="120">
        <f ca="1">IF(OR(Tbl_ResidentData[[#This Row],[S7]]=TRUE,Tbl_ResidentData[[#This Row],[P7]]=TRUE),1,0)</f>
        <v>0</v>
      </c>
      <c r="CV27" s="120">
        <f ca="1">IF(OR(Tbl_ResidentData[[#This Row],[S8]]=TRUE,Tbl_ResidentData[[#This Row],[P8]]=TRUE),1,0)</f>
        <v>0</v>
      </c>
      <c r="CW27" s="120">
        <f ca="1">IF(OR(Tbl_ResidentData[[#This Row],[S9]]=TRUE,Tbl_ResidentData[[#This Row],[P9]]=TRUE),1,0)</f>
        <v>0</v>
      </c>
      <c r="CX27" s="120">
        <f ca="1">IF(OR(Tbl_ResidentData[[#This Row],[S10]]=TRUE,Tbl_ResidentData[[#This Row],[P10]]=TRUE),1,0)</f>
        <v>0</v>
      </c>
      <c r="CY27" s="120">
        <f ca="1">IF(OR(Tbl_ResidentData[[#This Row],[S11]]=TRUE,Tbl_ResidentData[[#This Row],[P11]]=TRUE),1,0)</f>
        <v>0</v>
      </c>
      <c r="CZ27" s="120">
        <f ca="1">IF(OR(Tbl_ResidentData[[#This Row],[S12]]=TRUE,Tbl_ResidentData[[#This Row],[P12]]=TRUE),1,0)</f>
        <v>0</v>
      </c>
      <c r="DA27" s="120">
        <f ca="1">IF(OR(Tbl_ResidentData[[#This Row],[S13]]=TRUE,Tbl_ResidentData[[#This Row],[P13]]=TRUE),1,0)</f>
        <v>0</v>
      </c>
      <c r="DB27" s="120">
        <f ca="1">IF(OR(Tbl_ResidentData[[#This Row],[S14]]=TRUE,Tbl_ResidentData[[#This Row],[P14]]=TRUE),1,0)</f>
        <v>0</v>
      </c>
      <c r="DC27" s="120">
        <f ca="1">IF(OR(Tbl_ResidentData[[#This Row],[S15]]=TRUE,Tbl_ResidentData[[#This Row],[P15]]=TRUE),1,0)</f>
        <v>0</v>
      </c>
      <c r="DD27" s="120">
        <f ca="1">IF(OR(Tbl_ResidentData[[#This Row],[S16]]=TRUE,Tbl_ResidentData[[#This Row],[P16]]=TRUE),1,0)</f>
        <v>0</v>
      </c>
      <c r="DE27" s="120">
        <f ca="1">IF(OR(Tbl_ResidentData[[#This Row],[S17]]=TRUE,Tbl_ResidentData[[#This Row],[P17]]=TRUE),1,0)</f>
        <v>0</v>
      </c>
      <c r="DF27" s="120">
        <f ca="1">IF(OR(Tbl_ResidentData[[#This Row],[S18]]=TRUE,Tbl_ResidentData[[#This Row],[P18]]=TRUE),1,0)</f>
        <v>0</v>
      </c>
      <c r="DG27" s="120">
        <f ca="1">IF(OR(Tbl_ResidentData[[#This Row],[S19]]=TRUE,Tbl_ResidentData[[#This Row],[P19]]=TRUE),1,0)</f>
        <v>0</v>
      </c>
      <c r="DH27" s="120">
        <f ca="1">IF(OR(Tbl_ResidentData[[#This Row],[S20]]=TRUE,Tbl_ResidentData[[#This Row],[P20]]=TRUE),1,0)</f>
        <v>0</v>
      </c>
      <c r="DI27" s="120">
        <f ca="1">IF(OR(Tbl_ResidentData[[#This Row],[S21]]=TRUE,Tbl_ResidentData[[#This Row],[P21]]=TRUE),1,0)</f>
        <v>0</v>
      </c>
      <c r="DJ27" s="120">
        <f ca="1">IF(OR(Tbl_ResidentData[[#This Row],[S22]]=TRUE,Tbl_ResidentData[[#This Row],[P22]]=TRUE),1,0)</f>
        <v>0</v>
      </c>
      <c r="DK27" s="120">
        <f ca="1">IF(OR(Tbl_ResidentData[[#This Row],[S23]]=TRUE,Tbl_ResidentData[[#This Row],[P23]]=TRUE),1,0)</f>
        <v>0</v>
      </c>
      <c r="DL27" s="120">
        <f ca="1">IF(OR(Tbl_ResidentData[[#This Row],[S24]]=TRUE,Tbl_ResidentData[[#This Row],[P24]]=TRUE),1,0)</f>
        <v>0</v>
      </c>
      <c r="DM27" s="123" t="str">
        <f ca="1">IFERROR(INDEX($CO$4:$DL$4,MATCH(TRUE,INDEX((Tbl_ResidentData[[#This Row],[Over1]:[Over24]]&lt;&gt;0),0),0)),"")</f>
        <v/>
      </c>
      <c r="DN27" s="133" t="str">
        <f>IFERROR(INDEX(Tbl_PDSAData[Last DRT],MATCH(Tbl_ResidentData[Resident Name '[last, first']],Tbl_PDSAData[Resident Name (last, first)],0)),"")</f>
        <v/>
      </c>
      <c r="DO27" s="222" t="str">
        <f>IFERROR(INDEX(Tbl_PDSAData[Last MR],MATCH(Tbl_ResidentData[Resident Name '[last, first']],Tbl_PDSAData[Resident Name (last, first)],0)),"")</f>
        <v/>
      </c>
    </row>
    <row r="28" spans="1:119" x14ac:dyDescent="0.25">
      <c r="A28" s="179"/>
      <c r="B28" s="180"/>
      <c r="C28" s="180"/>
      <c r="D28" s="217"/>
      <c r="E28" s="179"/>
      <c r="F28" s="179"/>
      <c r="G28" s="181"/>
      <c r="H28" s="375"/>
      <c r="I28" s="186"/>
      <c r="J28" s="387"/>
      <c r="K28" s="178"/>
      <c r="L28" s="388"/>
      <c r="M28" s="187"/>
      <c r="N28" s="387"/>
      <c r="O28" s="178"/>
      <c r="P28" s="388"/>
      <c r="Q28" s="394"/>
      <c r="R28" s="388"/>
      <c r="S28" s="132" t="str">
        <f>IF(ISBLANK(Tbl_ResidentData[[#This Row],[Discharge '[mmm-yyyy']]]),IF(ISBLANK(Tbl_ResidentData[[#This Row],[Enrollment '[mmm-yyyy']]]),"","In Care Home"),"Discharged")</f>
        <v/>
      </c>
      <c r="T28" s="128" t="str">
        <f>IF(ISBLANK(Tbl_ResidentData[[#This Row],[Diagnosis (RAI)]]),IF(ISBLANK(Tbl_ResidentData[[#This Row],[Resident Name '[last, first']]]),"",0),IF(Tbl_ResidentData[[#This Row],[Diagnosis (RAI)]]="Other (see clinical notes)",0,1))</f>
        <v/>
      </c>
      <c r="U28" s="129" t="str">
        <f ca="1">IF(U$4&gt;NOW(),"-",IF(ISBLANK(Tbl_ResidentData[[#This Row],[Enrollment '[mmm-yyyy']]]),"-",AND((Tbl_ResidentData[[#This Row],[Enrollment '[mmm-yyyy']]]&lt;=U$4),IF(ISBLANK(Tbl_ResidentData[[#This Row],[Discharge '[mmm-yyyy']]]),TRUE,(Tbl_ResidentData[[#This Row],[Discharge '[mmm-yyyy']]]&gt;=U$4)))))</f>
        <v>-</v>
      </c>
      <c r="V28" s="121" t="str">
        <f ca="1">IF(V$4&gt;NOW(),"-",IF(ISBLANK(Tbl_ResidentData[[#This Row],[Enrollment '[mmm-yyyy']]]),"-",AND((Tbl_ResidentData[[#This Row],[Enrollment '[mmm-yyyy']]]&lt;=V$4),IF(ISBLANK(Tbl_ResidentData[[#This Row],[Discharge '[mmm-yyyy']]]),TRUE,(Tbl_ResidentData[[#This Row],[Discharge '[mmm-yyyy']]]&gt;=V$4)))))</f>
        <v>-</v>
      </c>
      <c r="W28" s="121" t="str">
        <f ca="1">IF(W$4&gt;NOW(),"-",IF(ISBLANK(Tbl_ResidentData[[#This Row],[Enrollment '[mmm-yyyy']]]),"-",AND((Tbl_ResidentData[[#This Row],[Enrollment '[mmm-yyyy']]]&lt;=W$4),IF(ISBLANK(Tbl_ResidentData[[#This Row],[Discharge '[mmm-yyyy']]]),TRUE,(Tbl_ResidentData[[#This Row],[Discharge '[mmm-yyyy']]]&gt;=W$4)))))</f>
        <v>-</v>
      </c>
      <c r="X28" s="121" t="str">
        <f ca="1">IF(X$4&gt;NOW(),"-",IF(ISBLANK(Tbl_ResidentData[[#This Row],[Enrollment '[mmm-yyyy']]]),"-",AND((Tbl_ResidentData[[#This Row],[Enrollment '[mmm-yyyy']]]&lt;=X$4),IF(ISBLANK(Tbl_ResidentData[[#This Row],[Discharge '[mmm-yyyy']]]),TRUE,(Tbl_ResidentData[[#This Row],[Discharge '[mmm-yyyy']]]&gt;=X$4)))))</f>
        <v>-</v>
      </c>
      <c r="Y28" s="121" t="str">
        <f ca="1">IF(Y$4&gt;NOW(),"-",IF(ISBLANK(Tbl_ResidentData[[#This Row],[Enrollment '[mmm-yyyy']]]),"-",AND((Tbl_ResidentData[[#This Row],[Enrollment '[mmm-yyyy']]]&lt;=Y$4),IF(ISBLANK(Tbl_ResidentData[[#This Row],[Discharge '[mmm-yyyy']]]),TRUE,(Tbl_ResidentData[[#This Row],[Discharge '[mmm-yyyy']]]&gt;=Y$4)))))</f>
        <v>-</v>
      </c>
      <c r="Z28" s="121" t="str">
        <f ca="1">IF(Z$4&gt;NOW(),"-",IF(ISBLANK(Tbl_ResidentData[[#This Row],[Enrollment '[mmm-yyyy']]]),"-",AND((Tbl_ResidentData[[#This Row],[Enrollment '[mmm-yyyy']]]&lt;=Z$4),IF(ISBLANK(Tbl_ResidentData[[#This Row],[Discharge '[mmm-yyyy']]]),TRUE,(Tbl_ResidentData[[#This Row],[Discharge '[mmm-yyyy']]]&gt;=Z$4)))))</f>
        <v>-</v>
      </c>
      <c r="AA28" s="121" t="str">
        <f ca="1">IF(AA$4&gt;NOW(),"-",IF(ISBLANK(Tbl_ResidentData[[#This Row],[Enrollment '[mmm-yyyy']]]),"-",AND((Tbl_ResidentData[[#This Row],[Enrollment '[mmm-yyyy']]]&lt;=AA$4),IF(ISBLANK(Tbl_ResidentData[[#This Row],[Discharge '[mmm-yyyy']]]),TRUE,(Tbl_ResidentData[[#This Row],[Discharge '[mmm-yyyy']]]&gt;=AA$4)))))</f>
        <v>-</v>
      </c>
      <c r="AB28" s="121" t="str">
        <f ca="1">IF(AB$4&gt;NOW(),"-",IF(ISBLANK(Tbl_ResidentData[[#This Row],[Enrollment '[mmm-yyyy']]]),"-",AND((Tbl_ResidentData[[#This Row],[Enrollment '[mmm-yyyy']]]&lt;=AB$4),IF(ISBLANK(Tbl_ResidentData[[#This Row],[Discharge '[mmm-yyyy']]]),TRUE,(Tbl_ResidentData[[#This Row],[Discharge '[mmm-yyyy']]]&gt;=AB$4)))))</f>
        <v>-</v>
      </c>
      <c r="AC28" s="121" t="str">
        <f ca="1">IF(AC$4&gt;NOW(),"-",IF(ISBLANK(Tbl_ResidentData[[#This Row],[Enrollment '[mmm-yyyy']]]),"-",AND((Tbl_ResidentData[[#This Row],[Enrollment '[mmm-yyyy']]]&lt;=AC$4),IF(ISBLANK(Tbl_ResidentData[[#This Row],[Discharge '[mmm-yyyy']]]),TRUE,(Tbl_ResidentData[[#This Row],[Discharge '[mmm-yyyy']]]&gt;=AC$4)))))</f>
        <v>-</v>
      </c>
      <c r="AD28" s="121" t="str">
        <f ca="1">IF(AD$4&gt;NOW(),"-",IF(ISBLANK(Tbl_ResidentData[[#This Row],[Enrollment '[mmm-yyyy']]]),"-",AND((Tbl_ResidentData[[#This Row],[Enrollment '[mmm-yyyy']]]&lt;=AD$4),IF(ISBLANK(Tbl_ResidentData[[#This Row],[Discharge '[mmm-yyyy']]]),TRUE,(Tbl_ResidentData[[#This Row],[Discharge '[mmm-yyyy']]]&gt;=AD$4)))))</f>
        <v>-</v>
      </c>
      <c r="AE28" s="121" t="str">
        <f ca="1">IF(AE$4&gt;NOW(),"-",IF(ISBLANK(Tbl_ResidentData[[#This Row],[Enrollment '[mmm-yyyy']]]),"-",AND((Tbl_ResidentData[[#This Row],[Enrollment '[mmm-yyyy']]]&lt;=AE$4),IF(ISBLANK(Tbl_ResidentData[[#This Row],[Discharge '[mmm-yyyy']]]),TRUE,(Tbl_ResidentData[[#This Row],[Discharge '[mmm-yyyy']]]&gt;=AE$4)))))</f>
        <v>-</v>
      </c>
      <c r="AF28" s="121" t="str">
        <f ca="1">IF(AF$4&gt;NOW(),"-",IF(ISBLANK(Tbl_ResidentData[[#This Row],[Enrollment '[mmm-yyyy']]]),"-",AND((Tbl_ResidentData[[#This Row],[Enrollment '[mmm-yyyy']]]&lt;=AF$4),IF(ISBLANK(Tbl_ResidentData[[#This Row],[Discharge '[mmm-yyyy']]]),TRUE,(Tbl_ResidentData[[#This Row],[Discharge '[mmm-yyyy']]]&gt;=AF$4)))))</f>
        <v>-</v>
      </c>
      <c r="AG28" s="121" t="str">
        <f ca="1">IF(AG$4&gt;NOW(),"-",IF(ISBLANK(Tbl_ResidentData[[#This Row],[Enrollment '[mmm-yyyy']]]),"-",AND((Tbl_ResidentData[[#This Row],[Enrollment '[mmm-yyyy']]]&lt;=AG$4),IF(ISBLANK(Tbl_ResidentData[[#This Row],[Discharge '[mmm-yyyy']]]),TRUE,(Tbl_ResidentData[[#This Row],[Discharge '[mmm-yyyy']]]&gt;=AG$4)))))</f>
        <v>-</v>
      </c>
      <c r="AH28" s="121" t="str">
        <f ca="1">IF(AH$4&gt;NOW(),"-",IF(ISBLANK(Tbl_ResidentData[[#This Row],[Enrollment '[mmm-yyyy']]]),"-",AND((Tbl_ResidentData[[#This Row],[Enrollment '[mmm-yyyy']]]&lt;=AH$4),IF(ISBLANK(Tbl_ResidentData[[#This Row],[Discharge '[mmm-yyyy']]]),TRUE,(Tbl_ResidentData[[#This Row],[Discharge '[mmm-yyyy']]]&gt;=AH$4)))))</f>
        <v>-</v>
      </c>
      <c r="AI28" s="121" t="str">
        <f ca="1">IF(AI$4&gt;NOW(),"-",IF(ISBLANK(Tbl_ResidentData[[#This Row],[Enrollment '[mmm-yyyy']]]),"-",AND((Tbl_ResidentData[[#This Row],[Enrollment '[mmm-yyyy']]]&lt;=AI$4),IF(ISBLANK(Tbl_ResidentData[[#This Row],[Discharge '[mmm-yyyy']]]),TRUE,(Tbl_ResidentData[[#This Row],[Discharge '[mmm-yyyy']]]&gt;=AI$4)))))</f>
        <v>-</v>
      </c>
      <c r="AJ28" s="121" t="str">
        <f ca="1">IF(AJ$4&gt;NOW(),"-",IF(ISBLANK(Tbl_ResidentData[[#This Row],[Enrollment '[mmm-yyyy']]]),"-",AND((Tbl_ResidentData[[#This Row],[Enrollment '[mmm-yyyy']]]&lt;=AJ$4),IF(ISBLANK(Tbl_ResidentData[[#This Row],[Discharge '[mmm-yyyy']]]),TRUE,(Tbl_ResidentData[[#This Row],[Discharge '[mmm-yyyy']]]&gt;=AJ$4)))))</f>
        <v>-</v>
      </c>
      <c r="AK28" s="121" t="str">
        <f ca="1">IF(AK$4&gt;NOW(),"-",IF(ISBLANK(Tbl_ResidentData[[#This Row],[Enrollment '[mmm-yyyy']]]),"-",AND((Tbl_ResidentData[[#This Row],[Enrollment '[mmm-yyyy']]]&lt;=AK$4),IF(ISBLANK(Tbl_ResidentData[[#This Row],[Discharge '[mmm-yyyy']]]),TRUE,(Tbl_ResidentData[[#This Row],[Discharge '[mmm-yyyy']]]&gt;=AK$4)))))</f>
        <v>-</v>
      </c>
      <c r="AL28" s="121" t="str">
        <f ca="1">IF(AL$4&gt;NOW(),"-",IF(ISBLANK(Tbl_ResidentData[[#This Row],[Enrollment '[mmm-yyyy']]]),"-",AND((Tbl_ResidentData[[#This Row],[Enrollment '[mmm-yyyy']]]&lt;=AL$4),IF(ISBLANK(Tbl_ResidentData[[#This Row],[Discharge '[mmm-yyyy']]]),TRUE,(Tbl_ResidentData[[#This Row],[Discharge '[mmm-yyyy']]]&gt;=AL$4)))))</f>
        <v>-</v>
      </c>
      <c r="AM28" s="121" t="str">
        <f ca="1">IF(AM$4&gt;NOW(),"-",IF(ISBLANK(Tbl_ResidentData[[#This Row],[Enrollment '[mmm-yyyy']]]),"-",AND((Tbl_ResidentData[[#This Row],[Enrollment '[mmm-yyyy']]]&lt;=AM$4),IF(ISBLANK(Tbl_ResidentData[[#This Row],[Discharge '[mmm-yyyy']]]),TRUE,(Tbl_ResidentData[[#This Row],[Discharge '[mmm-yyyy']]]&gt;=AM$4)))))</f>
        <v>-</v>
      </c>
      <c r="AN28" s="121" t="str">
        <f ca="1">IF(AN$4&gt;NOW(),"-",IF(ISBLANK(Tbl_ResidentData[[#This Row],[Enrollment '[mmm-yyyy']]]),"-",AND((Tbl_ResidentData[[#This Row],[Enrollment '[mmm-yyyy']]]&lt;=AN$4),IF(ISBLANK(Tbl_ResidentData[[#This Row],[Discharge '[mmm-yyyy']]]),TRUE,(Tbl_ResidentData[[#This Row],[Discharge '[mmm-yyyy']]]&gt;=AN$4)))))</f>
        <v>-</v>
      </c>
      <c r="AO28" s="121" t="str">
        <f ca="1">IF(AO$4&gt;NOW(),"-",IF(ISBLANK(Tbl_ResidentData[[#This Row],[Enrollment '[mmm-yyyy']]]),"-",AND((Tbl_ResidentData[[#This Row],[Enrollment '[mmm-yyyy']]]&lt;=AO$4),IF(ISBLANK(Tbl_ResidentData[[#This Row],[Discharge '[mmm-yyyy']]]),TRUE,(Tbl_ResidentData[[#This Row],[Discharge '[mmm-yyyy']]]&gt;=AO$4)))))</f>
        <v>-</v>
      </c>
      <c r="AP28" s="121" t="str">
        <f ca="1">IF(AP$4&gt;NOW(),"-",IF(ISBLANK(Tbl_ResidentData[[#This Row],[Enrollment '[mmm-yyyy']]]),"-",AND((Tbl_ResidentData[[#This Row],[Enrollment '[mmm-yyyy']]]&lt;=AP$4),IF(ISBLANK(Tbl_ResidentData[[#This Row],[Discharge '[mmm-yyyy']]]),TRUE,(Tbl_ResidentData[[#This Row],[Discharge '[mmm-yyyy']]]&gt;=AP$4)))))</f>
        <v>-</v>
      </c>
      <c r="AQ28" s="121" t="str">
        <f ca="1">IF(AQ$4&gt;NOW(),"-",IF(ISBLANK(Tbl_ResidentData[[#This Row],[Enrollment '[mmm-yyyy']]]),"-",AND((Tbl_ResidentData[[#This Row],[Enrollment '[mmm-yyyy']]]&lt;=AQ$4),IF(ISBLANK(Tbl_ResidentData[[#This Row],[Discharge '[mmm-yyyy']]]),TRUE,(Tbl_ResidentData[[#This Row],[Discharge '[mmm-yyyy']]]&gt;=AQ$4)))))</f>
        <v>-</v>
      </c>
      <c r="AR28" s="122" t="str">
        <f ca="1">IF(AR$4&gt;NOW(),"-",IF(ISBLANK(Tbl_ResidentData[[#This Row],[Enrollment '[mmm-yyyy']]]),"-",AND((Tbl_ResidentData[[#This Row],[Enrollment '[mmm-yyyy']]]&lt;=AR$4),IF(ISBLANK(Tbl_ResidentData[[#This Row],[Discharge '[mmm-yyyy']]]),TRUE,(Tbl_ResidentData[[#This Row],[Discharge '[mmm-yyyy']]]&gt;=AR$4)))))</f>
        <v>-</v>
      </c>
      <c r="AS2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28"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28"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28"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28"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28"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8"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8"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8"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8"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8"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8"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8"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8"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8"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8"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8"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8"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8"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8"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8"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8" s="120" t="b">
        <f ca="1">AND(Tbl_ResidentData[[#This Row],[PRN Med Started]]&lt;&gt;"",Tbl_ResidentData[[#This Row],[PRN Med Started]]&lt;=NOW(),Tbl_ResidentData[[#This Row],[PRN Med Started]]&lt;=AS$4,OR(Tbl_ResidentData[[#This Row],[PRN Med Discontinued]]&gt;AS$4,ISBLANK(Tbl_ResidentData[[#This Row],[PRN Med Discontinued]])))</f>
        <v>0</v>
      </c>
      <c r="BR28" s="121" t="b">
        <f ca="1">AND(Tbl_ResidentData[[#This Row],[PRN Med Started]]&lt;&gt;"",Tbl_ResidentData[[#This Row],[PRN Med Started]]&lt;=NOW(),Tbl_ResidentData[[#This Row],[PRN Med Started]]&lt;=AT$4,OR(Tbl_ResidentData[[#This Row],[PRN Med Discontinued]]&gt;AT$4,ISBLANK(Tbl_ResidentData[[#This Row],[PRN Med Discontinued]])))</f>
        <v>0</v>
      </c>
      <c r="BS28" s="129" t="b">
        <f ca="1">AND(Tbl_ResidentData[[#This Row],[PRN Med Started]]&lt;&gt;"",Tbl_ResidentData[[#This Row],[PRN Med Started]]&lt;=NOW(),Tbl_ResidentData[[#This Row],[PRN Med Started]]&lt;=AU$4,OR(Tbl_ResidentData[[#This Row],[PRN Med Discontinued]]&gt;AU$4,ISBLANK(Tbl_ResidentData[[#This Row],[PRN Med Discontinued]])))</f>
        <v>0</v>
      </c>
      <c r="BT28" s="129" t="b">
        <f ca="1">AND(Tbl_ResidentData[[#This Row],[PRN Med Started]]&lt;&gt;"",Tbl_ResidentData[[#This Row],[PRN Med Started]]&lt;=NOW(),Tbl_ResidentData[[#This Row],[PRN Med Started]]&lt;=AV$4,OR(Tbl_ResidentData[[#This Row],[PRN Med Discontinued]]&gt;AV$4,ISBLANK(Tbl_ResidentData[[#This Row],[PRN Med Discontinued]])))</f>
        <v>0</v>
      </c>
      <c r="BU28" s="129" t="b">
        <f ca="1">AND(Tbl_ResidentData[[#This Row],[PRN Med Started]]&lt;&gt;"",Tbl_ResidentData[[#This Row],[PRN Med Started]]&lt;=NOW(),Tbl_ResidentData[[#This Row],[PRN Med Started]]&lt;=AW$4,OR(Tbl_ResidentData[[#This Row],[PRN Med Discontinued]]&gt;AW$4,ISBLANK(Tbl_ResidentData[[#This Row],[PRN Med Discontinued]])))</f>
        <v>0</v>
      </c>
      <c r="BV28" s="129" t="b">
        <f ca="1">AND(Tbl_ResidentData[[#This Row],[PRN Med Started]]&lt;&gt;"",Tbl_ResidentData[[#This Row],[PRN Med Started]]&lt;=NOW(),Tbl_ResidentData[[#This Row],[PRN Med Started]]&lt;=AX$4,OR(Tbl_ResidentData[[#This Row],[PRN Med Discontinued]]&gt;AX$4,ISBLANK(Tbl_ResidentData[[#This Row],[PRN Med Discontinued]])))</f>
        <v>0</v>
      </c>
      <c r="BW28" s="129" t="b">
        <f ca="1">AND(Tbl_ResidentData[[#This Row],[PRN Med Started]]&lt;&gt;"",Tbl_ResidentData[[#This Row],[PRN Med Started]]&lt;=NOW(),Tbl_ResidentData[[#This Row],[PRN Med Started]]&lt;=AY$4,OR(Tbl_ResidentData[[#This Row],[PRN Med Discontinued]]&gt;AY$4,ISBLANK(Tbl_ResidentData[[#This Row],[PRN Med Discontinued]])))</f>
        <v>0</v>
      </c>
      <c r="BX28" s="129" t="b">
        <f ca="1">AND(Tbl_ResidentData[[#This Row],[PRN Med Started]]&lt;&gt;"",Tbl_ResidentData[[#This Row],[PRN Med Started]]&lt;=NOW(),Tbl_ResidentData[[#This Row],[PRN Med Started]]&lt;=AZ$4,OR(Tbl_ResidentData[[#This Row],[PRN Med Discontinued]]&gt;AZ$4,ISBLANK(Tbl_ResidentData[[#This Row],[PRN Med Discontinued]])))</f>
        <v>0</v>
      </c>
      <c r="BY28" s="129" t="b">
        <f ca="1">AND(Tbl_ResidentData[[#This Row],[PRN Med Started]]&lt;&gt;"",Tbl_ResidentData[[#This Row],[PRN Med Started]]&lt;=NOW(),Tbl_ResidentData[[#This Row],[PRN Med Started]]&lt;=BA$4,OR(Tbl_ResidentData[[#This Row],[PRN Med Discontinued]]&gt;BA$4,ISBLANK(Tbl_ResidentData[[#This Row],[PRN Med Discontinued]])))</f>
        <v>0</v>
      </c>
      <c r="BZ28" s="129" t="b">
        <f ca="1">AND(Tbl_ResidentData[[#This Row],[PRN Med Started]]&lt;&gt;"",Tbl_ResidentData[[#This Row],[PRN Med Started]]&lt;=NOW(),Tbl_ResidentData[[#This Row],[PRN Med Started]]&lt;=BB$4,OR(Tbl_ResidentData[[#This Row],[PRN Med Discontinued]]&gt;BB$4,ISBLANK(Tbl_ResidentData[[#This Row],[PRN Med Discontinued]])))</f>
        <v>0</v>
      </c>
      <c r="CA28" s="129" t="b">
        <f ca="1">AND(Tbl_ResidentData[[#This Row],[PRN Med Started]]&lt;&gt;"",Tbl_ResidentData[[#This Row],[PRN Med Started]]&lt;=NOW(),Tbl_ResidentData[[#This Row],[PRN Med Started]]&lt;=BC$4,OR(Tbl_ResidentData[[#This Row],[PRN Med Discontinued]]&gt;BC$4,ISBLANK(Tbl_ResidentData[[#This Row],[PRN Med Discontinued]])))</f>
        <v>0</v>
      </c>
      <c r="CB28" s="129" t="b">
        <f ca="1">AND(Tbl_ResidentData[[#This Row],[PRN Med Started]]&lt;&gt;"",Tbl_ResidentData[[#This Row],[PRN Med Started]]&lt;=NOW(),Tbl_ResidentData[[#This Row],[PRN Med Started]]&lt;=BD$4,OR(Tbl_ResidentData[[#This Row],[PRN Med Discontinued]]&gt;BD$4,ISBLANK(Tbl_ResidentData[[#This Row],[PRN Med Discontinued]])))</f>
        <v>0</v>
      </c>
      <c r="CC28" s="129" t="b">
        <f ca="1">AND(Tbl_ResidentData[[#This Row],[PRN Med Started]]&lt;&gt;"",Tbl_ResidentData[[#This Row],[PRN Med Started]]&lt;=NOW(),Tbl_ResidentData[[#This Row],[PRN Med Started]]&lt;=BE$4,OR(Tbl_ResidentData[[#This Row],[PRN Med Discontinued]]&gt;BE$4,ISBLANK(Tbl_ResidentData[[#This Row],[PRN Med Discontinued]])))</f>
        <v>0</v>
      </c>
      <c r="CD28" s="129" t="b">
        <f ca="1">AND(Tbl_ResidentData[[#This Row],[PRN Med Started]]&lt;&gt;"",Tbl_ResidentData[[#This Row],[PRN Med Started]]&lt;=NOW(),Tbl_ResidentData[[#This Row],[PRN Med Started]]&lt;=BF$4,OR(Tbl_ResidentData[[#This Row],[PRN Med Discontinued]]&gt;BF$4,ISBLANK(Tbl_ResidentData[[#This Row],[PRN Med Discontinued]])))</f>
        <v>0</v>
      </c>
      <c r="CE28" s="129" t="b">
        <f ca="1">AND(Tbl_ResidentData[[#This Row],[PRN Med Started]]&lt;&gt;"",Tbl_ResidentData[[#This Row],[PRN Med Started]]&lt;=NOW(),Tbl_ResidentData[[#This Row],[PRN Med Started]]&lt;=BG$4,OR(Tbl_ResidentData[[#This Row],[PRN Med Discontinued]]&gt;BG$4,ISBLANK(Tbl_ResidentData[[#This Row],[PRN Med Discontinued]])))</f>
        <v>0</v>
      </c>
      <c r="CF28" s="129" t="b">
        <f ca="1">AND(Tbl_ResidentData[[#This Row],[PRN Med Started]]&lt;&gt;"",Tbl_ResidentData[[#This Row],[PRN Med Started]]&lt;=NOW(),Tbl_ResidentData[[#This Row],[PRN Med Started]]&lt;=BH$4,OR(Tbl_ResidentData[[#This Row],[PRN Med Discontinued]]&gt;BH$4,ISBLANK(Tbl_ResidentData[[#This Row],[PRN Med Discontinued]])))</f>
        <v>0</v>
      </c>
      <c r="CG28" s="129" t="b">
        <f ca="1">AND(Tbl_ResidentData[[#This Row],[PRN Med Started]]&lt;&gt;"",Tbl_ResidentData[[#This Row],[PRN Med Started]]&lt;=NOW(),Tbl_ResidentData[[#This Row],[PRN Med Started]]&lt;=BI$4,OR(Tbl_ResidentData[[#This Row],[PRN Med Discontinued]]&gt;BI$4,ISBLANK(Tbl_ResidentData[[#This Row],[PRN Med Discontinued]])))</f>
        <v>0</v>
      </c>
      <c r="CH28" s="129" t="b">
        <f ca="1">AND(Tbl_ResidentData[[#This Row],[PRN Med Started]]&lt;&gt;"",Tbl_ResidentData[[#This Row],[PRN Med Started]]&lt;=NOW(),Tbl_ResidentData[[#This Row],[PRN Med Started]]&lt;=BJ$4,OR(Tbl_ResidentData[[#This Row],[PRN Med Discontinued]]&gt;BJ$4,ISBLANK(Tbl_ResidentData[[#This Row],[PRN Med Discontinued]])))</f>
        <v>0</v>
      </c>
      <c r="CI28" s="129" t="b">
        <f ca="1">AND(Tbl_ResidentData[[#This Row],[PRN Med Started]]&lt;&gt;"",Tbl_ResidentData[[#This Row],[PRN Med Started]]&lt;=NOW(),Tbl_ResidentData[[#This Row],[PRN Med Started]]&lt;=BK$4,OR(Tbl_ResidentData[[#This Row],[PRN Med Discontinued]]&gt;BK$4,ISBLANK(Tbl_ResidentData[[#This Row],[PRN Med Discontinued]])))</f>
        <v>0</v>
      </c>
      <c r="CJ28" s="129" t="b">
        <f ca="1">AND(Tbl_ResidentData[[#This Row],[PRN Med Started]]&lt;&gt;"",Tbl_ResidentData[[#This Row],[PRN Med Started]]&lt;=NOW(),Tbl_ResidentData[[#This Row],[PRN Med Started]]&lt;=BL$4,OR(Tbl_ResidentData[[#This Row],[PRN Med Discontinued]]&gt;BL$4,ISBLANK(Tbl_ResidentData[[#This Row],[PRN Med Discontinued]])))</f>
        <v>0</v>
      </c>
      <c r="CK28" s="129" t="b">
        <f ca="1">AND(Tbl_ResidentData[[#This Row],[PRN Med Started]]&lt;&gt;"",Tbl_ResidentData[[#This Row],[PRN Med Started]]&lt;=NOW(),Tbl_ResidentData[[#This Row],[PRN Med Started]]&lt;=BM$4,OR(Tbl_ResidentData[[#This Row],[PRN Med Discontinued]]&gt;BM$4,ISBLANK(Tbl_ResidentData[[#This Row],[PRN Med Discontinued]])))</f>
        <v>0</v>
      </c>
      <c r="CL28" s="129" t="b">
        <f ca="1">AND(Tbl_ResidentData[[#This Row],[PRN Med Started]]&lt;&gt;"",Tbl_ResidentData[[#This Row],[PRN Med Started]]&lt;=NOW(),Tbl_ResidentData[[#This Row],[PRN Med Started]]&lt;=BN$4,OR(Tbl_ResidentData[[#This Row],[PRN Med Discontinued]]&gt;BN$4,ISBLANK(Tbl_ResidentData[[#This Row],[PRN Med Discontinued]])))</f>
        <v>0</v>
      </c>
      <c r="CM28" s="121" t="b">
        <f ca="1">AND(Tbl_ResidentData[[#This Row],[PRN Med Started]]&lt;&gt;"",Tbl_ResidentData[[#This Row],[PRN Med Started]]&lt;=NOW(),Tbl_ResidentData[[#This Row],[PRN Med Started]]&lt;=BO$4,OR(Tbl_ResidentData[[#This Row],[PRN Med Discontinued]]&gt;BO$4,ISBLANK(Tbl_ResidentData[[#This Row],[PRN Med Discontinued]])))</f>
        <v>0</v>
      </c>
      <c r="CN28" s="122" t="b">
        <f ca="1">AND(Tbl_ResidentData[[#This Row],[PRN Med Started]]&lt;&gt;"",Tbl_ResidentData[[#This Row],[PRN Med Started]]&lt;=NOW(),Tbl_ResidentData[[#This Row],[PRN Med Started]]&lt;=BP$4,OR(Tbl_ResidentData[[#This Row],[PRN Med Discontinued]]&gt;BP$4,ISBLANK(Tbl_ResidentData[[#This Row],[PRN Med Discontinued]])))</f>
        <v>0</v>
      </c>
      <c r="CO28" s="120">
        <f ca="1">IF(OR(Tbl_ResidentData[[#This Row],[S1]]=TRUE,Tbl_ResidentData[[#This Row],[P1]]=TRUE),1,0)</f>
        <v>0</v>
      </c>
      <c r="CP28" s="121">
        <f ca="1">IF(OR(Tbl_ResidentData[[#This Row],[S2]]=TRUE,Tbl_ResidentData[[#This Row],[P2]]=TRUE),1,0)</f>
        <v>0</v>
      </c>
      <c r="CQ28" s="121">
        <f ca="1">IF(OR(Tbl_ResidentData[[#This Row],[S3]]=TRUE,Tbl_ResidentData[[#This Row],[P3]]=TRUE),1,0)</f>
        <v>0</v>
      </c>
      <c r="CR28" s="130">
        <f ca="1">IF(OR(Tbl_ResidentData[[#This Row],[S4]]=TRUE,Tbl_ResidentData[[#This Row],[P4]]=TRUE),1,0)</f>
        <v>0</v>
      </c>
      <c r="CS28" s="130">
        <f ca="1">IF(OR(Tbl_ResidentData[[#This Row],[S5]]=TRUE,Tbl_ResidentData[[#This Row],[P5]]=TRUE),1,0)</f>
        <v>0</v>
      </c>
      <c r="CT28" s="130">
        <f ca="1">IF(OR(Tbl_ResidentData[[#This Row],[S6]]=TRUE,Tbl_ResidentData[[#This Row],[P6]]=TRUE),1,0)</f>
        <v>0</v>
      </c>
      <c r="CU28" s="130">
        <f ca="1">IF(OR(Tbl_ResidentData[[#This Row],[S7]]=TRUE,Tbl_ResidentData[[#This Row],[P7]]=TRUE),1,0)</f>
        <v>0</v>
      </c>
      <c r="CV28" s="130">
        <f ca="1">IF(OR(Tbl_ResidentData[[#This Row],[S8]]=TRUE,Tbl_ResidentData[[#This Row],[P8]]=TRUE),1,0)</f>
        <v>0</v>
      </c>
      <c r="CW28" s="130">
        <f ca="1">IF(OR(Tbl_ResidentData[[#This Row],[S9]]=TRUE,Tbl_ResidentData[[#This Row],[P9]]=TRUE),1,0)</f>
        <v>0</v>
      </c>
      <c r="CX28" s="130">
        <f ca="1">IF(OR(Tbl_ResidentData[[#This Row],[S10]]=TRUE,Tbl_ResidentData[[#This Row],[P10]]=TRUE),1,0)</f>
        <v>0</v>
      </c>
      <c r="CY28" s="130">
        <f ca="1">IF(OR(Tbl_ResidentData[[#This Row],[S11]]=TRUE,Tbl_ResidentData[[#This Row],[P11]]=TRUE),1,0)</f>
        <v>0</v>
      </c>
      <c r="CZ28" s="130">
        <f ca="1">IF(OR(Tbl_ResidentData[[#This Row],[S12]]=TRUE,Tbl_ResidentData[[#This Row],[P12]]=TRUE),1,0)</f>
        <v>0</v>
      </c>
      <c r="DA28" s="130">
        <f ca="1">IF(OR(Tbl_ResidentData[[#This Row],[S13]]=TRUE,Tbl_ResidentData[[#This Row],[P13]]=TRUE),1,0)</f>
        <v>0</v>
      </c>
      <c r="DB28" s="130">
        <f ca="1">IF(OR(Tbl_ResidentData[[#This Row],[S14]]=TRUE,Tbl_ResidentData[[#This Row],[P14]]=TRUE),1,0)</f>
        <v>0</v>
      </c>
      <c r="DC28" s="130">
        <f ca="1">IF(OR(Tbl_ResidentData[[#This Row],[S15]]=TRUE,Tbl_ResidentData[[#This Row],[P15]]=TRUE),1,0)</f>
        <v>0</v>
      </c>
      <c r="DD28" s="130">
        <f ca="1">IF(OR(Tbl_ResidentData[[#This Row],[S16]]=TRUE,Tbl_ResidentData[[#This Row],[P16]]=TRUE),1,0)</f>
        <v>0</v>
      </c>
      <c r="DE28" s="130">
        <f ca="1">IF(OR(Tbl_ResidentData[[#This Row],[S17]]=TRUE,Tbl_ResidentData[[#This Row],[P17]]=TRUE),1,0)</f>
        <v>0</v>
      </c>
      <c r="DF28" s="130">
        <f ca="1">IF(OR(Tbl_ResidentData[[#This Row],[S18]]=TRUE,Tbl_ResidentData[[#This Row],[P18]]=TRUE),1,0)</f>
        <v>0</v>
      </c>
      <c r="DG28" s="130">
        <f ca="1">IF(OR(Tbl_ResidentData[[#This Row],[S19]]=TRUE,Tbl_ResidentData[[#This Row],[P19]]=TRUE),1,0)</f>
        <v>0</v>
      </c>
      <c r="DH28" s="130">
        <f ca="1">IF(OR(Tbl_ResidentData[[#This Row],[S20]]=TRUE,Tbl_ResidentData[[#This Row],[P20]]=TRUE),1,0)</f>
        <v>0</v>
      </c>
      <c r="DI28" s="130">
        <f ca="1">IF(OR(Tbl_ResidentData[[#This Row],[S21]]=TRUE,Tbl_ResidentData[[#This Row],[P21]]=TRUE),1,0)</f>
        <v>0</v>
      </c>
      <c r="DJ28" s="130">
        <f ca="1">IF(OR(Tbl_ResidentData[[#This Row],[S22]]=TRUE,Tbl_ResidentData[[#This Row],[P22]]=TRUE),1,0)</f>
        <v>0</v>
      </c>
      <c r="DK28" s="130">
        <f ca="1">IF(OR(Tbl_ResidentData[[#This Row],[S23]]=TRUE,Tbl_ResidentData[[#This Row],[P23]]=TRUE),1,0)</f>
        <v>0</v>
      </c>
      <c r="DL28" s="130">
        <f ca="1">IF(OR(Tbl_ResidentData[[#This Row],[S24]]=TRUE,Tbl_ResidentData[[#This Row],[P24]]=TRUE),1,0)</f>
        <v>0</v>
      </c>
      <c r="DM28" s="123" t="str">
        <f ca="1">IFERROR(INDEX($CO$4:$DL$4,MATCH(TRUE,INDEX((Tbl_ResidentData[[#This Row],[Over1]:[Over24]]&lt;&gt;0),0),0)),"")</f>
        <v/>
      </c>
      <c r="DN28" s="133" t="str">
        <f>IFERROR(INDEX(Tbl_PDSAData[Last DRT],MATCH(Tbl_ResidentData[Resident Name '[last, first']],Tbl_PDSAData[Resident Name (last, first)],0)),"")</f>
        <v/>
      </c>
      <c r="DO28" s="222" t="str">
        <f>IFERROR(INDEX(Tbl_PDSAData[Last MR],MATCH(Tbl_ResidentData[Resident Name '[last, first']],Tbl_PDSAData[Resident Name (last, first)],0)),"")</f>
        <v/>
      </c>
    </row>
    <row r="29" spans="1:119" x14ac:dyDescent="0.25">
      <c r="A29" s="179"/>
      <c r="B29" s="180"/>
      <c r="C29" s="180"/>
      <c r="D29" s="218"/>
      <c r="E29" s="179"/>
      <c r="F29" s="181"/>
      <c r="G29" s="181"/>
      <c r="H29" s="375"/>
      <c r="I29" s="185"/>
      <c r="J29" s="387"/>
      <c r="K29" s="178"/>
      <c r="L29" s="388"/>
      <c r="M29" s="185"/>
      <c r="N29" s="386"/>
      <c r="O29" s="178"/>
      <c r="P29" s="388"/>
      <c r="Q29" s="395"/>
      <c r="R29" s="396"/>
      <c r="S29" s="131" t="str">
        <f>IF(ISBLANK(Tbl_ResidentData[[#This Row],[Discharge '[mmm-yyyy']]]),IF(ISBLANK(Tbl_ResidentData[[#This Row],[Enrollment '[mmm-yyyy']]]),"","In Care Home"),"Discharged")</f>
        <v/>
      </c>
      <c r="T29" s="119" t="str">
        <f>IF(ISBLANK(Tbl_ResidentData[[#This Row],[Diagnosis (RAI)]]),IF(ISBLANK(Tbl_ResidentData[[#This Row],[Resident Name '[last, first']]]),"",0),IF(Tbl_ResidentData[[#This Row],[Diagnosis (RAI)]]="Other (see clinical notes)",0,1))</f>
        <v/>
      </c>
      <c r="U29" s="120" t="str">
        <f ca="1">IF(U$4&gt;NOW(),"-",IF(ISBLANK(Tbl_ResidentData[[#This Row],[Enrollment '[mmm-yyyy']]]),"-",AND((Tbl_ResidentData[[#This Row],[Enrollment '[mmm-yyyy']]]&lt;=U$4),IF(ISBLANK(Tbl_ResidentData[[#This Row],[Discharge '[mmm-yyyy']]]),TRUE,(Tbl_ResidentData[[#This Row],[Discharge '[mmm-yyyy']]]&gt;=U$4)))))</f>
        <v>-</v>
      </c>
      <c r="V29" s="121" t="str">
        <f ca="1">IF(V$4&gt;NOW(),"-",IF(ISBLANK(Tbl_ResidentData[[#This Row],[Enrollment '[mmm-yyyy']]]),"-",AND((Tbl_ResidentData[[#This Row],[Enrollment '[mmm-yyyy']]]&lt;=V$4),IF(ISBLANK(Tbl_ResidentData[[#This Row],[Discharge '[mmm-yyyy']]]),TRUE,(Tbl_ResidentData[[#This Row],[Discharge '[mmm-yyyy']]]&gt;=V$4)))))</f>
        <v>-</v>
      </c>
      <c r="W29" s="121" t="str">
        <f ca="1">IF(W$4&gt;NOW(),"-",IF(ISBLANK(Tbl_ResidentData[[#This Row],[Enrollment '[mmm-yyyy']]]),"-",AND((Tbl_ResidentData[[#This Row],[Enrollment '[mmm-yyyy']]]&lt;=W$4),IF(ISBLANK(Tbl_ResidentData[[#This Row],[Discharge '[mmm-yyyy']]]),TRUE,(Tbl_ResidentData[[#This Row],[Discharge '[mmm-yyyy']]]&gt;=W$4)))))</f>
        <v>-</v>
      </c>
      <c r="X29" s="121" t="str">
        <f ca="1">IF(X$4&gt;NOW(),"-",IF(ISBLANK(Tbl_ResidentData[[#This Row],[Enrollment '[mmm-yyyy']]]),"-",AND((Tbl_ResidentData[[#This Row],[Enrollment '[mmm-yyyy']]]&lt;=X$4),IF(ISBLANK(Tbl_ResidentData[[#This Row],[Discharge '[mmm-yyyy']]]),TRUE,(Tbl_ResidentData[[#This Row],[Discharge '[mmm-yyyy']]]&gt;=X$4)))))</f>
        <v>-</v>
      </c>
      <c r="Y29" s="121" t="str">
        <f ca="1">IF(Y$4&gt;NOW(),"-",IF(ISBLANK(Tbl_ResidentData[[#This Row],[Enrollment '[mmm-yyyy']]]),"-",AND((Tbl_ResidentData[[#This Row],[Enrollment '[mmm-yyyy']]]&lt;=Y$4),IF(ISBLANK(Tbl_ResidentData[[#This Row],[Discharge '[mmm-yyyy']]]),TRUE,(Tbl_ResidentData[[#This Row],[Discharge '[mmm-yyyy']]]&gt;=Y$4)))))</f>
        <v>-</v>
      </c>
      <c r="Z29" s="121" t="str">
        <f ca="1">IF(Z$4&gt;NOW(),"-",IF(ISBLANK(Tbl_ResidentData[[#This Row],[Enrollment '[mmm-yyyy']]]),"-",AND((Tbl_ResidentData[[#This Row],[Enrollment '[mmm-yyyy']]]&lt;=Z$4),IF(ISBLANK(Tbl_ResidentData[[#This Row],[Discharge '[mmm-yyyy']]]),TRUE,(Tbl_ResidentData[[#This Row],[Discharge '[mmm-yyyy']]]&gt;=Z$4)))))</f>
        <v>-</v>
      </c>
      <c r="AA29" s="121" t="str">
        <f ca="1">IF(AA$4&gt;NOW(),"-",IF(ISBLANK(Tbl_ResidentData[[#This Row],[Enrollment '[mmm-yyyy']]]),"-",AND((Tbl_ResidentData[[#This Row],[Enrollment '[mmm-yyyy']]]&lt;=AA$4),IF(ISBLANK(Tbl_ResidentData[[#This Row],[Discharge '[mmm-yyyy']]]),TRUE,(Tbl_ResidentData[[#This Row],[Discharge '[mmm-yyyy']]]&gt;=AA$4)))))</f>
        <v>-</v>
      </c>
      <c r="AB29" s="121" t="str">
        <f ca="1">IF(AB$4&gt;NOW(),"-",IF(ISBLANK(Tbl_ResidentData[[#This Row],[Enrollment '[mmm-yyyy']]]),"-",AND((Tbl_ResidentData[[#This Row],[Enrollment '[mmm-yyyy']]]&lt;=AB$4),IF(ISBLANK(Tbl_ResidentData[[#This Row],[Discharge '[mmm-yyyy']]]),TRUE,(Tbl_ResidentData[[#This Row],[Discharge '[mmm-yyyy']]]&gt;=AB$4)))))</f>
        <v>-</v>
      </c>
      <c r="AC29" s="121" t="str">
        <f ca="1">IF(AC$4&gt;NOW(),"-",IF(ISBLANK(Tbl_ResidentData[[#This Row],[Enrollment '[mmm-yyyy']]]),"-",AND((Tbl_ResidentData[[#This Row],[Enrollment '[mmm-yyyy']]]&lt;=AC$4),IF(ISBLANK(Tbl_ResidentData[[#This Row],[Discharge '[mmm-yyyy']]]),TRUE,(Tbl_ResidentData[[#This Row],[Discharge '[mmm-yyyy']]]&gt;=AC$4)))))</f>
        <v>-</v>
      </c>
      <c r="AD29" s="121" t="str">
        <f ca="1">IF(AD$4&gt;NOW(),"-",IF(ISBLANK(Tbl_ResidentData[[#This Row],[Enrollment '[mmm-yyyy']]]),"-",AND((Tbl_ResidentData[[#This Row],[Enrollment '[mmm-yyyy']]]&lt;=AD$4),IF(ISBLANK(Tbl_ResidentData[[#This Row],[Discharge '[mmm-yyyy']]]),TRUE,(Tbl_ResidentData[[#This Row],[Discharge '[mmm-yyyy']]]&gt;=AD$4)))))</f>
        <v>-</v>
      </c>
      <c r="AE29" s="121" t="str">
        <f ca="1">IF(AE$4&gt;NOW(),"-",IF(ISBLANK(Tbl_ResidentData[[#This Row],[Enrollment '[mmm-yyyy']]]),"-",AND((Tbl_ResidentData[[#This Row],[Enrollment '[mmm-yyyy']]]&lt;=AE$4),IF(ISBLANK(Tbl_ResidentData[[#This Row],[Discharge '[mmm-yyyy']]]),TRUE,(Tbl_ResidentData[[#This Row],[Discharge '[mmm-yyyy']]]&gt;=AE$4)))))</f>
        <v>-</v>
      </c>
      <c r="AF29" s="121" t="str">
        <f ca="1">IF(AF$4&gt;NOW(),"-",IF(ISBLANK(Tbl_ResidentData[[#This Row],[Enrollment '[mmm-yyyy']]]),"-",AND((Tbl_ResidentData[[#This Row],[Enrollment '[mmm-yyyy']]]&lt;=AF$4),IF(ISBLANK(Tbl_ResidentData[[#This Row],[Discharge '[mmm-yyyy']]]),TRUE,(Tbl_ResidentData[[#This Row],[Discharge '[mmm-yyyy']]]&gt;=AF$4)))))</f>
        <v>-</v>
      </c>
      <c r="AG29" s="121" t="str">
        <f ca="1">IF(AG$4&gt;NOW(),"-",IF(ISBLANK(Tbl_ResidentData[[#This Row],[Enrollment '[mmm-yyyy']]]),"-",AND((Tbl_ResidentData[[#This Row],[Enrollment '[mmm-yyyy']]]&lt;=AG$4),IF(ISBLANK(Tbl_ResidentData[[#This Row],[Discharge '[mmm-yyyy']]]),TRUE,(Tbl_ResidentData[[#This Row],[Discharge '[mmm-yyyy']]]&gt;=AG$4)))))</f>
        <v>-</v>
      </c>
      <c r="AH29" s="121" t="str">
        <f ca="1">IF(AH$4&gt;NOW(),"-",IF(ISBLANK(Tbl_ResidentData[[#This Row],[Enrollment '[mmm-yyyy']]]),"-",AND((Tbl_ResidentData[[#This Row],[Enrollment '[mmm-yyyy']]]&lt;=AH$4),IF(ISBLANK(Tbl_ResidentData[[#This Row],[Discharge '[mmm-yyyy']]]),TRUE,(Tbl_ResidentData[[#This Row],[Discharge '[mmm-yyyy']]]&gt;=AH$4)))))</f>
        <v>-</v>
      </c>
      <c r="AI29" s="121" t="str">
        <f ca="1">IF(AI$4&gt;NOW(),"-",IF(ISBLANK(Tbl_ResidentData[[#This Row],[Enrollment '[mmm-yyyy']]]),"-",AND((Tbl_ResidentData[[#This Row],[Enrollment '[mmm-yyyy']]]&lt;=AI$4),IF(ISBLANK(Tbl_ResidentData[[#This Row],[Discharge '[mmm-yyyy']]]),TRUE,(Tbl_ResidentData[[#This Row],[Discharge '[mmm-yyyy']]]&gt;=AI$4)))))</f>
        <v>-</v>
      </c>
      <c r="AJ29" s="121" t="str">
        <f ca="1">IF(AJ$4&gt;NOW(),"-",IF(ISBLANK(Tbl_ResidentData[[#This Row],[Enrollment '[mmm-yyyy']]]),"-",AND((Tbl_ResidentData[[#This Row],[Enrollment '[mmm-yyyy']]]&lt;=AJ$4),IF(ISBLANK(Tbl_ResidentData[[#This Row],[Discharge '[mmm-yyyy']]]),TRUE,(Tbl_ResidentData[[#This Row],[Discharge '[mmm-yyyy']]]&gt;=AJ$4)))))</f>
        <v>-</v>
      </c>
      <c r="AK29" s="121" t="str">
        <f ca="1">IF(AK$4&gt;NOW(),"-",IF(ISBLANK(Tbl_ResidentData[[#This Row],[Enrollment '[mmm-yyyy']]]),"-",AND((Tbl_ResidentData[[#This Row],[Enrollment '[mmm-yyyy']]]&lt;=AK$4),IF(ISBLANK(Tbl_ResidentData[[#This Row],[Discharge '[mmm-yyyy']]]),TRUE,(Tbl_ResidentData[[#This Row],[Discharge '[mmm-yyyy']]]&gt;=AK$4)))))</f>
        <v>-</v>
      </c>
      <c r="AL29" s="121" t="str">
        <f ca="1">IF(AL$4&gt;NOW(),"-",IF(ISBLANK(Tbl_ResidentData[[#This Row],[Enrollment '[mmm-yyyy']]]),"-",AND((Tbl_ResidentData[[#This Row],[Enrollment '[mmm-yyyy']]]&lt;=AL$4),IF(ISBLANK(Tbl_ResidentData[[#This Row],[Discharge '[mmm-yyyy']]]),TRUE,(Tbl_ResidentData[[#This Row],[Discharge '[mmm-yyyy']]]&gt;=AL$4)))))</f>
        <v>-</v>
      </c>
      <c r="AM29" s="121" t="str">
        <f ca="1">IF(AM$4&gt;NOW(),"-",IF(ISBLANK(Tbl_ResidentData[[#This Row],[Enrollment '[mmm-yyyy']]]),"-",AND((Tbl_ResidentData[[#This Row],[Enrollment '[mmm-yyyy']]]&lt;=AM$4),IF(ISBLANK(Tbl_ResidentData[[#This Row],[Discharge '[mmm-yyyy']]]),TRUE,(Tbl_ResidentData[[#This Row],[Discharge '[mmm-yyyy']]]&gt;=AM$4)))))</f>
        <v>-</v>
      </c>
      <c r="AN29" s="121" t="str">
        <f ca="1">IF(AN$4&gt;NOW(),"-",IF(ISBLANK(Tbl_ResidentData[[#This Row],[Enrollment '[mmm-yyyy']]]),"-",AND((Tbl_ResidentData[[#This Row],[Enrollment '[mmm-yyyy']]]&lt;=AN$4),IF(ISBLANK(Tbl_ResidentData[[#This Row],[Discharge '[mmm-yyyy']]]),TRUE,(Tbl_ResidentData[[#This Row],[Discharge '[mmm-yyyy']]]&gt;=AN$4)))))</f>
        <v>-</v>
      </c>
      <c r="AO29" s="121" t="str">
        <f ca="1">IF(AO$4&gt;NOW(),"-",IF(ISBLANK(Tbl_ResidentData[[#This Row],[Enrollment '[mmm-yyyy']]]),"-",AND((Tbl_ResidentData[[#This Row],[Enrollment '[mmm-yyyy']]]&lt;=AO$4),IF(ISBLANK(Tbl_ResidentData[[#This Row],[Discharge '[mmm-yyyy']]]),TRUE,(Tbl_ResidentData[[#This Row],[Discharge '[mmm-yyyy']]]&gt;=AO$4)))))</f>
        <v>-</v>
      </c>
      <c r="AP29" s="121" t="str">
        <f ca="1">IF(AP$4&gt;NOW(),"-",IF(ISBLANK(Tbl_ResidentData[[#This Row],[Enrollment '[mmm-yyyy']]]),"-",AND((Tbl_ResidentData[[#This Row],[Enrollment '[mmm-yyyy']]]&lt;=AP$4),IF(ISBLANK(Tbl_ResidentData[[#This Row],[Discharge '[mmm-yyyy']]]),TRUE,(Tbl_ResidentData[[#This Row],[Discharge '[mmm-yyyy']]]&gt;=AP$4)))))</f>
        <v>-</v>
      </c>
      <c r="AQ29" s="121" t="str">
        <f ca="1">IF(AQ$4&gt;NOW(),"-",IF(ISBLANK(Tbl_ResidentData[[#This Row],[Enrollment '[mmm-yyyy']]]),"-",AND((Tbl_ResidentData[[#This Row],[Enrollment '[mmm-yyyy']]]&lt;=AQ$4),IF(ISBLANK(Tbl_ResidentData[[#This Row],[Discharge '[mmm-yyyy']]]),TRUE,(Tbl_ResidentData[[#This Row],[Discharge '[mmm-yyyy']]]&gt;=AQ$4)))))</f>
        <v>-</v>
      </c>
      <c r="AR29" s="122" t="str">
        <f ca="1">IF(AR$4&gt;NOW(),"-",IF(ISBLANK(Tbl_ResidentData[[#This Row],[Enrollment '[mmm-yyyy']]]),"-",AND((Tbl_ResidentData[[#This Row],[Enrollment '[mmm-yyyy']]]&lt;=AR$4),IF(ISBLANK(Tbl_ResidentData[[#This Row],[Discharge '[mmm-yyyy']]]),TRUE,(Tbl_ResidentData[[#This Row],[Discharge '[mmm-yyyy']]]&gt;=AR$4)))))</f>
        <v>-</v>
      </c>
      <c r="AS2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2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2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2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2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2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9" s="120" t="b">
        <f ca="1">AND(Tbl_ResidentData[[#This Row],[PRN Med Started]]&lt;&gt;"",Tbl_ResidentData[[#This Row],[PRN Med Started]]&lt;=NOW(),Tbl_ResidentData[[#This Row],[PRN Med Started]]&lt;=AS$4,OR(Tbl_ResidentData[[#This Row],[PRN Med Discontinued]]&gt;AS$4,ISBLANK(Tbl_ResidentData[[#This Row],[PRN Med Discontinued]])))</f>
        <v>0</v>
      </c>
      <c r="BR29" s="121" t="b">
        <f ca="1">AND(Tbl_ResidentData[[#This Row],[PRN Med Started]]&lt;&gt;"",Tbl_ResidentData[[#This Row],[PRN Med Started]]&lt;=NOW(),Tbl_ResidentData[[#This Row],[PRN Med Started]]&lt;=AT$4,OR(Tbl_ResidentData[[#This Row],[PRN Med Discontinued]]&gt;AT$4,ISBLANK(Tbl_ResidentData[[#This Row],[PRN Med Discontinued]])))</f>
        <v>0</v>
      </c>
      <c r="BS29" s="121" t="b">
        <f ca="1">AND(Tbl_ResidentData[[#This Row],[PRN Med Started]]&lt;&gt;"",Tbl_ResidentData[[#This Row],[PRN Med Started]]&lt;=NOW(),Tbl_ResidentData[[#This Row],[PRN Med Started]]&lt;=AU$4,OR(Tbl_ResidentData[[#This Row],[PRN Med Discontinued]]&gt;AU$4,ISBLANK(Tbl_ResidentData[[#This Row],[PRN Med Discontinued]])))</f>
        <v>0</v>
      </c>
      <c r="BT29" s="121" t="b">
        <f ca="1">AND(Tbl_ResidentData[[#This Row],[PRN Med Started]]&lt;&gt;"",Tbl_ResidentData[[#This Row],[PRN Med Started]]&lt;=NOW(),Tbl_ResidentData[[#This Row],[PRN Med Started]]&lt;=AV$4,OR(Tbl_ResidentData[[#This Row],[PRN Med Discontinued]]&gt;AV$4,ISBLANK(Tbl_ResidentData[[#This Row],[PRN Med Discontinued]])))</f>
        <v>0</v>
      </c>
      <c r="BU29" s="121" t="b">
        <f ca="1">AND(Tbl_ResidentData[[#This Row],[PRN Med Started]]&lt;&gt;"",Tbl_ResidentData[[#This Row],[PRN Med Started]]&lt;=NOW(),Tbl_ResidentData[[#This Row],[PRN Med Started]]&lt;=AW$4,OR(Tbl_ResidentData[[#This Row],[PRN Med Discontinued]]&gt;AW$4,ISBLANK(Tbl_ResidentData[[#This Row],[PRN Med Discontinued]])))</f>
        <v>0</v>
      </c>
      <c r="BV29" s="121" t="b">
        <f ca="1">AND(Tbl_ResidentData[[#This Row],[PRN Med Started]]&lt;&gt;"",Tbl_ResidentData[[#This Row],[PRN Med Started]]&lt;=NOW(),Tbl_ResidentData[[#This Row],[PRN Med Started]]&lt;=AX$4,OR(Tbl_ResidentData[[#This Row],[PRN Med Discontinued]]&gt;AX$4,ISBLANK(Tbl_ResidentData[[#This Row],[PRN Med Discontinued]])))</f>
        <v>0</v>
      </c>
      <c r="BW29" s="121" t="b">
        <f ca="1">AND(Tbl_ResidentData[[#This Row],[PRN Med Started]]&lt;&gt;"",Tbl_ResidentData[[#This Row],[PRN Med Started]]&lt;=NOW(),Tbl_ResidentData[[#This Row],[PRN Med Started]]&lt;=AY$4,OR(Tbl_ResidentData[[#This Row],[PRN Med Discontinued]]&gt;AY$4,ISBLANK(Tbl_ResidentData[[#This Row],[PRN Med Discontinued]])))</f>
        <v>0</v>
      </c>
      <c r="BX29" s="121" t="b">
        <f ca="1">AND(Tbl_ResidentData[[#This Row],[PRN Med Started]]&lt;&gt;"",Tbl_ResidentData[[#This Row],[PRN Med Started]]&lt;=NOW(),Tbl_ResidentData[[#This Row],[PRN Med Started]]&lt;=AZ$4,OR(Tbl_ResidentData[[#This Row],[PRN Med Discontinued]]&gt;AZ$4,ISBLANK(Tbl_ResidentData[[#This Row],[PRN Med Discontinued]])))</f>
        <v>0</v>
      </c>
      <c r="BY29" s="121" t="b">
        <f ca="1">AND(Tbl_ResidentData[[#This Row],[PRN Med Started]]&lt;&gt;"",Tbl_ResidentData[[#This Row],[PRN Med Started]]&lt;=NOW(),Tbl_ResidentData[[#This Row],[PRN Med Started]]&lt;=BA$4,OR(Tbl_ResidentData[[#This Row],[PRN Med Discontinued]]&gt;BA$4,ISBLANK(Tbl_ResidentData[[#This Row],[PRN Med Discontinued]])))</f>
        <v>0</v>
      </c>
      <c r="BZ29" s="121" t="b">
        <f ca="1">AND(Tbl_ResidentData[[#This Row],[PRN Med Started]]&lt;&gt;"",Tbl_ResidentData[[#This Row],[PRN Med Started]]&lt;=NOW(),Tbl_ResidentData[[#This Row],[PRN Med Started]]&lt;=BB$4,OR(Tbl_ResidentData[[#This Row],[PRN Med Discontinued]]&gt;BB$4,ISBLANK(Tbl_ResidentData[[#This Row],[PRN Med Discontinued]])))</f>
        <v>0</v>
      </c>
      <c r="CA29" s="121" t="b">
        <f ca="1">AND(Tbl_ResidentData[[#This Row],[PRN Med Started]]&lt;&gt;"",Tbl_ResidentData[[#This Row],[PRN Med Started]]&lt;=NOW(),Tbl_ResidentData[[#This Row],[PRN Med Started]]&lt;=BC$4,OR(Tbl_ResidentData[[#This Row],[PRN Med Discontinued]]&gt;BC$4,ISBLANK(Tbl_ResidentData[[#This Row],[PRN Med Discontinued]])))</f>
        <v>0</v>
      </c>
      <c r="CB29" s="121" t="b">
        <f ca="1">AND(Tbl_ResidentData[[#This Row],[PRN Med Started]]&lt;&gt;"",Tbl_ResidentData[[#This Row],[PRN Med Started]]&lt;=NOW(),Tbl_ResidentData[[#This Row],[PRN Med Started]]&lt;=BD$4,OR(Tbl_ResidentData[[#This Row],[PRN Med Discontinued]]&gt;BD$4,ISBLANK(Tbl_ResidentData[[#This Row],[PRN Med Discontinued]])))</f>
        <v>0</v>
      </c>
      <c r="CC29" s="121" t="b">
        <f ca="1">AND(Tbl_ResidentData[[#This Row],[PRN Med Started]]&lt;&gt;"",Tbl_ResidentData[[#This Row],[PRN Med Started]]&lt;=NOW(),Tbl_ResidentData[[#This Row],[PRN Med Started]]&lt;=BE$4,OR(Tbl_ResidentData[[#This Row],[PRN Med Discontinued]]&gt;BE$4,ISBLANK(Tbl_ResidentData[[#This Row],[PRN Med Discontinued]])))</f>
        <v>0</v>
      </c>
      <c r="CD29" s="121" t="b">
        <f ca="1">AND(Tbl_ResidentData[[#This Row],[PRN Med Started]]&lt;&gt;"",Tbl_ResidentData[[#This Row],[PRN Med Started]]&lt;=NOW(),Tbl_ResidentData[[#This Row],[PRN Med Started]]&lt;=BF$4,OR(Tbl_ResidentData[[#This Row],[PRN Med Discontinued]]&gt;BF$4,ISBLANK(Tbl_ResidentData[[#This Row],[PRN Med Discontinued]])))</f>
        <v>0</v>
      </c>
      <c r="CE29" s="121" t="b">
        <f ca="1">AND(Tbl_ResidentData[[#This Row],[PRN Med Started]]&lt;&gt;"",Tbl_ResidentData[[#This Row],[PRN Med Started]]&lt;=NOW(),Tbl_ResidentData[[#This Row],[PRN Med Started]]&lt;=BG$4,OR(Tbl_ResidentData[[#This Row],[PRN Med Discontinued]]&gt;BG$4,ISBLANK(Tbl_ResidentData[[#This Row],[PRN Med Discontinued]])))</f>
        <v>0</v>
      </c>
      <c r="CF29" s="121" t="b">
        <f ca="1">AND(Tbl_ResidentData[[#This Row],[PRN Med Started]]&lt;&gt;"",Tbl_ResidentData[[#This Row],[PRN Med Started]]&lt;=NOW(),Tbl_ResidentData[[#This Row],[PRN Med Started]]&lt;=BH$4,OR(Tbl_ResidentData[[#This Row],[PRN Med Discontinued]]&gt;BH$4,ISBLANK(Tbl_ResidentData[[#This Row],[PRN Med Discontinued]])))</f>
        <v>0</v>
      </c>
      <c r="CG29" s="121" t="b">
        <f ca="1">AND(Tbl_ResidentData[[#This Row],[PRN Med Started]]&lt;&gt;"",Tbl_ResidentData[[#This Row],[PRN Med Started]]&lt;=NOW(),Tbl_ResidentData[[#This Row],[PRN Med Started]]&lt;=BI$4,OR(Tbl_ResidentData[[#This Row],[PRN Med Discontinued]]&gt;BI$4,ISBLANK(Tbl_ResidentData[[#This Row],[PRN Med Discontinued]])))</f>
        <v>0</v>
      </c>
      <c r="CH29" s="121" t="b">
        <f ca="1">AND(Tbl_ResidentData[[#This Row],[PRN Med Started]]&lt;&gt;"",Tbl_ResidentData[[#This Row],[PRN Med Started]]&lt;=NOW(),Tbl_ResidentData[[#This Row],[PRN Med Started]]&lt;=BJ$4,OR(Tbl_ResidentData[[#This Row],[PRN Med Discontinued]]&gt;BJ$4,ISBLANK(Tbl_ResidentData[[#This Row],[PRN Med Discontinued]])))</f>
        <v>0</v>
      </c>
      <c r="CI29" s="121" t="b">
        <f ca="1">AND(Tbl_ResidentData[[#This Row],[PRN Med Started]]&lt;&gt;"",Tbl_ResidentData[[#This Row],[PRN Med Started]]&lt;=NOW(),Tbl_ResidentData[[#This Row],[PRN Med Started]]&lt;=BK$4,OR(Tbl_ResidentData[[#This Row],[PRN Med Discontinued]]&gt;BK$4,ISBLANK(Tbl_ResidentData[[#This Row],[PRN Med Discontinued]])))</f>
        <v>0</v>
      </c>
      <c r="CJ29" s="121" t="b">
        <f ca="1">AND(Tbl_ResidentData[[#This Row],[PRN Med Started]]&lt;&gt;"",Tbl_ResidentData[[#This Row],[PRN Med Started]]&lt;=NOW(),Tbl_ResidentData[[#This Row],[PRN Med Started]]&lt;=BL$4,OR(Tbl_ResidentData[[#This Row],[PRN Med Discontinued]]&gt;BL$4,ISBLANK(Tbl_ResidentData[[#This Row],[PRN Med Discontinued]])))</f>
        <v>0</v>
      </c>
      <c r="CK29" s="121" t="b">
        <f ca="1">AND(Tbl_ResidentData[[#This Row],[PRN Med Started]]&lt;&gt;"",Tbl_ResidentData[[#This Row],[PRN Med Started]]&lt;=NOW(),Tbl_ResidentData[[#This Row],[PRN Med Started]]&lt;=BM$4,OR(Tbl_ResidentData[[#This Row],[PRN Med Discontinued]]&gt;BM$4,ISBLANK(Tbl_ResidentData[[#This Row],[PRN Med Discontinued]])))</f>
        <v>0</v>
      </c>
      <c r="CL29" s="121" t="b">
        <f ca="1">AND(Tbl_ResidentData[[#This Row],[PRN Med Started]]&lt;&gt;"",Tbl_ResidentData[[#This Row],[PRN Med Started]]&lt;=NOW(),Tbl_ResidentData[[#This Row],[PRN Med Started]]&lt;=BN$4,OR(Tbl_ResidentData[[#This Row],[PRN Med Discontinued]]&gt;BN$4,ISBLANK(Tbl_ResidentData[[#This Row],[PRN Med Discontinued]])))</f>
        <v>0</v>
      </c>
      <c r="CM29" s="121" t="b">
        <f ca="1">AND(Tbl_ResidentData[[#This Row],[PRN Med Started]]&lt;&gt;"",Tbl_ResidentData[[#This Row],[PRN Med Started]]&lt;=NOW(),Tbl_ResidentData[[#This Row],[PRN Med Started]]&lt;=BO$4,OR(Tbl_ResidentData[[#This Row],[PRN Med Discontinued]]&gt;BO$4,ISBLANK(Tbl_ResidentData[[#This Row],[PRN Med Discontinued]])))</f>
        <v>0</v>
      </c>
      <c r="CN29" s="122" t="b">
        <f ca="1">AND(Tbl_ResidentData[[#This Row],[PRN Med Started]]&lt;&gt;"",Tbl_ResidentData[[#This Row],[PRN Med Started]]&lt;=NOW(),Tbl_ResidentData[[#This Row],[PRN Med Started]]&lt;=BP$4,OR(Tbl_ResidentData[[#This Row],[PRN Med Discontinued]]&gt;BP$4,ISBLANK(Tbl_ResidentData[[#This Row],[PRN Med Discontinued]])))</f>
        <v>0</v>
      </c>
      <c r="CO29" s="120">
        <f ca="1">IF(OR(Tbl_ResidentData[[#This Row],[S1]]=TRUE,Tbl_ResidentData[[#This Row],[P1]]=TRUE),1,0)</f>
        <v>0</v>
      </c>
      <c r="CP29" s="121">
        <f ca="1">IF(OR(Tbl_ResidentData[[#This Row],[S2]]=TRUE,Tbl_ResidentData[[#This Row],[P2]]=TRUE),1,0)</f>
        <v>0</v>
      </c>
      <c r="CQ29" s="121">
        <f ca="1">IF(OR(Tbl_ResidentData[[#This Row],[S3]]=TRUE,Tbl_ResidentData[[#This Row],[P3]]=TRUE),1,0)</f>
        <v>0</v>
      </c>
      <c r="CR29" s="120">
        <f ca="1">IF(OR(Tbl_ResidentData[[#This Row],[S4]]=TRUE,Tbl_ResidentData[[#This Row],[P4]]=TRUE),1,0)</f>
        <v>0</v>
      </c>
      <c r="CS29" s="120">
        <f ca="1">IF(OR(Tbl_ResidentData[[#This Row],[S5]]=TRUE,Tbl_ResidentData[[#This Row],[P5]]=TRUE),1,0)</f>
        <v>0</v>
      </c>
      <c r="CT29" s="120">
        <f ca="1">IF(OR(Tbl_ResidentData[[#This Row],[S6]]=TRUE,Tbl_ResidentData[[#This Row],[P6]]=TRUE),1,0)</f>
        <v>0</v>
      </c>
      <c r="CU29" s="120">
        <f ca="1">IF(OR(Tbl_ResidentData[[#This Row],[S7]]=TRUE,Tbl_ResidentData[[#This Row],[P7]]=TRUE),1,0)</f>
        <v>0</v>
      </c>
      <c r="CV29" s="120">
        <f ca="1">IF(OR(Tbl_ResidentData[[#This Row],[S8]]=TRUE,Tbl_ResidentData[[#This Row],[P8]]=TRUE),1,0)</f>
        <v>0</v>
      </c>
      <c r="CW29" s="120">
        <f ca="1">IF(OR(Tbl_ResidentData[[#This Row],[S9]]=TRUE,Tbl_ResidentData[[#This Row],[P9]]=TRUE),1,0)</f>
        <v>0</v>
      </c>
      <c r="CX29" s="120">
        <f ca="1">IF(OR(Tbl_ResidentData[[#This Row],[S10]]=TRUE,Tbl_ResidentData[[#This Row],[P10]]=TRUE),1,0)</f>
        <v>0</v>
      </c>
      <c r="CY29" s="120">
        <f ca="1">IF(OR(Tbl_ResidentData[[#This Row],[S11]]=TRUE,Tbl_ResidentData[[#This Row],[P11]]=TRUE),1,0)</f>
        <v>0</v>
      </c>
      <c r="CZ29" s="120">
        <f ca="1">IF(OR(Tbl_ResidentData[[#This Row],[S12]]=TRUE,Tbl_ResidentData[[#This Row],[P12]]=TRUE),1,0)</f>
        <v>0</v>
      </c>
      <c r="DA29" s="120">
        <f ca="1">IF(OR(Tbl_ResidentData[[#This Row],[S13]]=TRUE,Tbl_ResidentData[[#This Row],[P13]]=TRUE),1,0)</f>
        <v>0</v>
      </c>
      <c r="DB29" s="120">
        <f ca="1">IF(OR(Tbl_ResidentData[[#This Row],[S14]]=TRUE,Tbl_ResidentData[[#This Row],[P14]]=TRUE),1,0)</f>
        <v>0</v>
      </c>
      <c r="DC29" s="120">
        <f ca="1">IF(OR(Tbl_ResidentData[[#This Row],[S15]]=TRUE,Tbl_ResidentData[[#This Row],[P15]]=TRUE),1,0)</f>
        <v>0</v>
      </c>
      <c r="DD29" s="120">
        <f ca="1">IF(OR(Tbl_ResidentData[[#This Row],[S16]]=TRUE,Tbl_ResidentData[[#This Row],[P16]]=TRUE),1,0)</f>
        <v>0</v>
      </c>
      <c r="DE29" s="120">
        <f ca="1">IF(OR(Tbl_ResidentData[[#This Row],[S17]]=TRUE,Tbl_ResidentData[[#This Row],[P17]]=TRUE),1,0)</f>
        <v>0</v>
      </c>
      <c r="DF29" s="120">
        <f ca="1">IF(OR(Tbl_ResidentData[[#This Row],[S18]]=TRUE,Tbl_ResidentData[[#This Row],[P18]]=TRUE),1,0)</f>
        <v>0</v>
      </c>
      <c r="DG29" s="120">
        <f ca="1">IF(OR(Tbl_ResidentData[[#This Row],[S19]]=TRUE,Tbl_ResidentData[[#This Row],[P19]]=TRUE),1,0)</f>
        <v>0</v>
      </c>
      <c r="DH29" s="120">
        <f ca="1">IF(OR(Tbl_ResidentData[[#This Row],[S20]]=TRUE,Tbl_ResidentData[[#This Row],[P20]]=TRUE),1,0)</f>
        <v>0</v>
      </c>
      <c r="DI29" s="120">
        <f ca="1">IF(OR(Tbl_ResidentData[[#This Row],[S21]]=TRUE,Tbl_ResidentData[[#This Row],[P21]]=TRUE),1,0)</f>
        <v>0</v>
      </c>
      <c r="DJ29" s="120">
        <f ca="1">IF(OR(Tbl_ResidentData[[#This Row],[S22]]=TRUE,Tbl_ResidentData[[#This Row],[P22]]=TRUE),1,0)</f>
        <v>0</v>
      </c>
      <c r="DK29" s="120">
        <f ca="1">IF(OR(Tbl_ResidentData[[#This Row],[S23]]=TRUE,Tbl_ResidentData[[#This Row],[P23]]=TRUE),1,0)</f>
        <v>0</v>
      </c>
      <c r="DL29" s="120">
        <f ca="1">IF(OR(Tbl_ResidentData[[#This Row],[S24]]=TRUE,Tbl_ResidentData[[#This Row],[P24]]=TRUE),1,0)</f>
        <v>0</v>
      </c>
      <c r="DM29" s="123" t="str">
        <f ca="1">IFERROR(INDEX($CO$4:$DL$4,MATCH(TRUE,INDEX((Tbl_ResidentData[[#This Row],[Over1]:[Over24]]&lt;&gt;0),0),0)),"")</f>
        <v/>
      </c>
      <c r="DN29" s="133" t="str">
        <f>IFERROR(INDEX(Tbl_PDSAData[Last DRT],MATCH(Tbl_ResidentData[Resident Name '[last, first']],Tbl_PDSAData[Resident Name (last, first)],0)),"")</f>
        <v/>
      </c>
      <c r="DO29" s="222" t="str">
        <f>IFERROR(INDEX(Tbl_PDSAData[Last MR],MATCH(Tbl_ResidentData[Resident Name '[last, first']],Tbl_PDSAData[Resident Name (last, first)],0)),"")</f>
        <v/>
      </c>
    </row>
    <row r="30" spans="1:119" x14ac:dyDescent="0.25">
      <c r="A30" s="179"/>
      <c r="B30" s="180"/>
      <c r="C30" s="180"/>
      <c r="D30" s="218"/>
      <c r="E30" s="179"/>
      <c r="F30" s="181"/>
      <c r="G30" s="181"/>
      <c r="H30" s="182"/>
      <c r="I30" s="185"/>
      <c r="J30" s="387"/>
      <c r="K30" s="178"/>
      <c r="L30" s="388"/>
      <c r="M30" s="185"/>
      <c r="N30" s="386"/>
      <c r="O30" s="178"/>
      <c r="P30" s="388"/>
      <c r="Q30" s="394"/>
      <c r="R30" s="388"/>
      <c r="S30" s="131" t="str">
        <f>IF(ISBLANK(Tbl_ResidentData[[#This Row],[Discharge '[mmm-yyyy']]]),IF(ISBLANK(Tbl_ResidentData[[#This Row],[Enrollment '[mmm-yyyy']]]),"","In Care Home"),"Discharged")</f>
        <v/>
      </c>
      <c r="T30" s="119" t="str">
        <f>IF(ISBLANK(Tbl_ResidentData[[#This Row],[Diagnosis (RAI)]]),IF(ISBLANK(Tbl_ResidentData[[#This Row],[Resident Name '[last, first']]]),"",0),IF(Tbl_ResidentData[[#This Row],[Diagnosis (RAI)]]="Other (see clinical notes)",0,1))</f>
        <v/>
      </c>
      <c r="U30" s="120" t="str">
        <f ca="1">IF(U$4&gt;NOW(),"-",IF(ISBLANK(Tbl_ResidentData[[#This Row],[Enrollment '[mmm-yyyy']]]),"-",AND((Tbl_ResidentData[[#This Row],[Enrollment '[mmm-yyyy']]]&lt;=U$4),IF(ISBLANK(Tbl_ResidentData[[#This Row],[Discharge '[mmm-yyyy']]]),TRUE,(Tbl_ResidentData[[#This Row],[Discharge '[mmm-yyyy']]]&gt;=U$4)))))</f>
        <v>-</v>
      </c>
      <c r="V30" s="121" t="str">
        <f ca="1">IF(V$4&gt;NOW(),"-",IF(ISBLANK(Tbl_ResidentData[[#This Row],[Enrollment '[mmm-yyyy']]]),"-",AND((Tbl_ResidentData[[#This Row],[Enrollment '[mmm-yyyy']]]&lt;=V$4),IF(ISBLANK(Tbl_ResidentData[[#This Row],[Discharge '[mmm-yyyy']]]),TRUE,(Tbl_ResidentData[[#This Row],[Discharge '[mmm-yyyy']]]&gt;=V$4)))))</f>
        <v>-</v>
      </c>
      <c r="W30" s="121" t="str">
        <f ca="1">IF(W$4&gt;NOW(),"-",IF(ISBLANK(Tbl_ResidentData[[#This Row],[Enrollment '[mmm-yyyy']]]),"-",AND((Tbl_ResidentData[[#This Row],[Enrollment '[mmm-yyyy']]]&lt;=W$4),IF(ISBLANK(Tbl_ResidentData[[#This Row],[Discharge '[mmm-yyyy']]]),TRUE,(Tbl_ResidentData[[#This Row],[Discharge '[mmm-yyyy']]]&gt;=W$4)))))</f>
        <v>-</v>
      </c>
      <c r="X30" s="121" t="str">
        <f ca="1">IF(X$4&gt;NOW(),"-",IF(ISBLANK(Tbl_ResidentData[[#This Row],[Enrollment '[mmm-yyyy']]]),"-",AND((Tbl_ResidentData[[#This Row],[Enrollment '[mmm-yyyy']]]&lt;=X$4),IF(ISBLANK(Tbl_ResidentData[[#This Row],[Discharge '[mmm-yyyy']]]),TRUE,(Tbl_ResidentData[[#This Row],[Discharge '[mmm-yyyy']]]&gt;=X$4)))))</f>
        <v>-</v>
      </c>
      <c r="Y30" s="121" t="str">
        <f ca="1">IF(Y$4&gt;NOW(),"-",IF(ISBLANK(Tbl_ResidentData[[#This Row],[Enrollment '[mmm-yyyy']]]),"-",AND((Tbl_ResidentData[[#This Row],[Enrollment '[mmm-yyyy']]]&lt;=Y$4),IF(ISBLANK(Tbl_ResidentData[[#This Row],[Discharge '[mmm-yyyy']]]),TRUE,(Tbl_ResidentData[[#This Row],[Discharge '[mmm-yyyy']]]&gt;=Y$4)))))</f>
        <v>-</v>
      </c>
      <c r="Z30" s="121" t="str">
        <f ca="1">IF(Z$4&gt;NOW(),"-",IF(ISBLANK(Tbl_ResidentData[[#This Row],[Enrollment '[mmm-yyyy']]]),"-",AND((Tbl_ResidentData[[#This Row],[Enrollment '[mmm-yyyy']]]&lt;=Z$4),IF(ISBLANK(Tbl_ResidentData[[#This Row],[Discharge '[mmm-yyyy']]]),TRUE,(Tbl_ResidentData[[#This Row],[Discharge '[mmm-yyyy']]]&gt;=Z$4)))))</f>
        <v>-</v>
      </c>
      <c r="AA30" s="121" t="str">
        <f ca="1">IF(AA$4&gt;NOW(),"-",IF(ISBLANK(Tbl_ResidentData[[#This Row],[Enrollment '[mmm-yyyy']]]),"-",AND((Tbl_ResidentData[[#This Row],[Enrollment '[mmm-yyyy']]]&lt;=AA$4),IF(ISBLANK(Tbl_ResidentData[[#This Row],[Discharge '[mmm-yyyy']]]),TRUE,(Tbl_ResidentData[[#This Row],[Discharge '[mmm-yyyy']]]&gt;=AA$4)))))</f>
        <v>-</v>
      </c>
      <c r="AB30" s="121" t="str">
        <f ca="1">IF(AB$4&gt;NOW(),"-",IF(ISBLANK(Tbl_ResidentData[[#This Row],[Enrollment '[mmm-yyyy']]]),"-",AND((Tbl_ResidentData[[#This Row],[Enrollment '[mmm-yyyy']]]&lt;=AB$4),IF(ISBLANK(Tbl_ResidentData[[#This Row],[Discharge '[mmm-yyyy']]]),TRUE,(Tbl_ResidentData[[#This Row],[Discharge '[mmm-yyyy']]]&gt;=AB$4)))))</f>
        <v>-</v>
      </c>
      <c r="AC30" s="121" t="str">
        <f ca="1">IF(AC$4&gt;NOW(),"-",IF(ISBLANK(Tbl_ResidentData[[#This Row],[Enrollment '[mmm-yyyy']]]),"-",AND((Tbl_ResidentData[[#This Row],[Enrollment '[mmm-yyyy']]]&lt;=AC$4),IF(ISBLANK(Tbl_ResidentData[[#This Row],[Discharge '[mmm-yyyy']]]),TRUE,(Tbl_ResidentData[[#This Row],[Discharge '[mmm-yyyy']]]&gt;=AC$4)))))</f>
        <v>-</v>
      </c>
      <c r="AD30" s="121" t="str">
        <f ca="1">IF(AD$4&gt;NOW(),"-",IF(ISBLANK(Tbl_ResidentData[[#This Row],[Enrollment '[mmm-yyyy']]]),"-",AND((Tbl_ResidentData[[#This Row],[Enrollment '[mmm-yyyy']]]&lt;=AD$4),IF(ISBLANK(Tbl_ResidentData[[#This Row],[Discharge '[mmm-yyyy']]]),TRUE,(Tbl_ResidentData[[#This Row],[Discharge '[mmm-yyyy']]]&gt;=AD$4)))))</f>
        <v>-</v>
      </c>
      <c r="AE30" s="121" t="str">
        <f ca="1">IF(AE$4&gt;NOW(),"-",IF(ISBLANK(Tbl_ResidentData[[#This Row],[Enrollment '[mmm-yyyy']]]),"-",AND((Tbl_ResidentData[[#This Row],[Enrollment '[mmm-yyyy']]]&lt;=AE$4),IF(ISBLANK(Tbl_ResidentData[[#This Row],[Discharge '[mmm-yyyy']]]),TRUE,(Tbl_ResidentData[[#This Row],[Discharge '[mmm-yyyy']]]&gt;=AE$4)))))</f>
        <v>-</v>
      </c>
      <c r="AF30" s="121" t="str">
        <f ca="1">IF(AF$4&gt;NOW(),"-",IF(ISBLANK(Tbl_ResidentData[[#This Row],[Enrollment '[mmm-yyyy']]]),"-",AND((Tbl_ResidentData[[#This Row],[Enrollment '[mmm-yyyy']]]&lt;=AF$4),IF(ISBLANK(Tbl_ResidentData[[#This Row],[Discharge '[mmm-yyyy']]]),TRUE,(Tbl_ResidentData[[#This Row],[Discharge '[mmm-yyyy']]]&gt;=AF$4)))))</f>
        <v>-</v>
      </c>
      <c r="AG30" s="121" t="str">
        <f ca="1">IF(AG$4&gt;NOW(),"-",IF(ISBLANK(Tbl_ResidentData[[#This Row],[Enrollment '[mmm-yyyy']]]),"-",AND((Tbl_ResidentData[[#This Row],[Enrollment '[mmm-yyyy']]]&lt;=AG$4),IF(ISBLANK(Tbl_ResidentData[[#This Row],[Discharge '[mmm-yyyy']]]),TRUE,(Tbl_ResidentData[[#This Row],[Discharge '[mmm-yyyy']]]&gt;=AG$4)))))</f>
        <v>-</v>
      </c>
      <c r="AH30" s="121" t="str">
        <f ca="1">IF(AH$4&gt;NOW(),"-",IF(ISBLANK(Tbl_ResidentData[[#This Row],[Enrollment '[mmm-yyyy']]]),"-",AND((Tbl_ResidentData[[#This Row],[Enrollment '[mmm-yyyy']]]&lt;=AH$4),IF(ISBLANK(Tbl_ResidentData[[#This Row],[Discharge '[mmm-yyyy']]]),TRUE,(Tbl_ResidentData[[#This Row],[Discharge '[mmm-yyyy']]]&gt;=AH$4)))))</f>
        <v>-</v>
      </c>
      <c r="AI30" s="121" t="str">
        <f ca="1">IF(AI$4&gt;NOW(),"-",IF(ISBLANK(Tbl_ResidentData[[#This Row],[Enrollment '[mmm-yyyy']]]),"-",AND((Tbl_ResidentData[[#This Row],[Enrollment '[mmm-yyyy']]]&lt;=AI$4),IF(ISBLANK(Tbl_ResidentData[[#This Row],[Discharge '[mmm-yyyy']]]),TRUE,(Tbl_ResidentData[[#This Row],[Discharge '[mmm-yyyy']]]&gt;=AI$4)))))</f>
        <v>-</v>
      </c>
      <c r="AJ30" s="121" t="str">
        <f ca="1">IF(AJ$4&gt;NOW(),"-",IF(ISBLANK(Tbl_ResidentData[[#This Row],[Enrollment '[mmm-yyyy']]]),"-",AND((Tbl_ResidentData[[#This Row],[Enrollment '[mmm-yyyy']]]&lt;=AJ$4),IF(ISBLANK(Tbl_ResidentData[[#This Row],[Discharge '[mmm-yyyy']]]),TRUE,(Tbl_ResidentData[[#This Row],[Discharge '[mmm-yyyy']]]&gt;=AJ$4)))))</f>
        <v>-</v>
      </c>
      <c r="AK30" s="121" t="str">
        <f ca="1">IF(AK$4&gt;NOW(),"-",IF(ISBLANK(Tbl_ResidentData[[#This Row],[Enrollment '[mmm-yyyy']]]),"-",AND((Tbl_ResidentData[[#This Row],[Enrollment '[mmm-yyyy']]]&lt;=AK$4),IF(ISBLANK(Tbl_ResidentData[[#This Row],[Discharge '[mmm-yyyy']]]),TRUE,(Tbl_ResidentData[[#This Row],[Discharge '[mmm-yyyy']]]&gt;=AK$4)))))</f>
        <v>-</v>
      </c>
      <c r="AL30" s="121" t="str">
        <f ca="1">IF(AL$4&gt;NOW(),"-",IF(ISBLANK(Tbl_ResidentData[[#This Row],[Enrollment '[mmm-yyyy']]]),"-",AND((Tbl_ResidentData[[#This Row],[Enrollment '[mmm-yyyy']]]&lt;=AL$4),IF(ISBLANK(Tbl_ResidentData[[#This Row],[Discharge '[mmm-yyyy']]]),TRUE,(Tbl_ResidentData[[#This Row],[Discharge '[mmm-yyyy']]]&gt;=AL$4)))))</f>
        <v>-</v>
      </c>
      <c r="AM30" s="121" t="str">
        <f ca="1">IF(AM$4&gt;NOW(),"-",IF(ISBLANK(Tbl_ResidentData[[#This Row],[Enrollment '[mmm-yyyy']]]),"-",AND((Tbl_ResidentData[[#This Row],[Enrollment '[mmm-yyyy']]]&lt;=AM$4),IF(ISBLANK(Tbl_ResidentData[[#This Row],[Discharge '[mmm-yyyy']]]),TRUE,(Tbl_ResidentData[[#This Row],[Discharge '[mmm-yyyy']]]&gt;=AM$4)))))</f>
        <v>-</v>
      </c>
      <c r="AN30" s="121" t="str">
        <f ca="1">IF(AN$4&gt;NOW(),"-",IF(ISBLANK(Tbl_ResidentData[[#This Row],[Enrollment '[mmm-yyyy']]]),"-",AND((Tbl_ResidentData[[#This Row],[Enrollment '[mmm-yyyy']]]&lt;=AN$4),IF(ISBLANK(Tbl_ResidentData[[#This Row],[Discharge '[mmm-yyyy']]]),TRUE,(Tbl_ResidentData[[#This Row],[Discharge '[mmm-yyyy']]]&gt;=AN$4)))))</f>
        <v>-</v>
      </c>
      <c r="AO30" s="121" t="str">
        <f ca="1">IF(AO$4&gt;NOW(),"-",IF(ISBLANK(Tbl_ResidentData[[#This Row],[Enrollment '[mmm-yyyy']]]),"-",AND((Tbl_ResidentData[[#This Row],[Enrollment '[mmm-yyyy']]]&lt;=AO$4),IF(ISBLANK(Tbl_ResidentData[[#This Row],[Discharge '[mmm-yyyy']]]),TRUE,(Tbl_ResidentData[[#This Row],[Discharge '[mmm-yyyy']]]&gt;=AO$4)))))</f>
        <v>-</v>
      </c>
      <c r="AP30" s="121" t="str">
        <f ca="1">IF(AP$4&gt;NOW(),"-",IF(ISBLANK(Tbl_ResidentData[[#This Row],[Enrollment '[mmm-yyyy']]]),"-",AND((Tbl_ResidentData[[#This Row],[Enrollment '[mmm-yyyy']]]&lt;=AP$4),IF(ISBLANK(Tbl_ResidentData[[#This Row],[Discharge '[mmm-yyyy']]]),TRUE,(Tbl_ResidentData[[#This Row],[Discharge '[mmm-yyyy']]]&gt;=AP$4)))))</f>
        <v>-</v>
      </c>
      <c r="AQ30" s="121" t="str">
        <f ca="1">IF(AQ$4&gt;NOW(),"-",IF(ISBLANK(Tbl_ResidentData[[#This Row],[Enrollment '[mmm-yyyy']]]),"-",AND((Tbl_ResidentData[[#This Row],[Enrollment '[mmm-yyyy']]]&lt;=AQ$4),IF(ISBLANK(Tbl_ResidentData[[#This Row],[Discharge '[mmm-yyyy']]]),TRUE,(Tbl_ResidentData[[#This Row],[Discharge '[mmm-yyyy']]]&gt;=AQ$4)))))</f>
        <v>-</v>
      </c>
      <c r="AR30" s="122" t="str">
        <f ca="1">IF(AR$4&gt;NOW(),"-",IF(ISBLANK(Tbl_ResidentData[[#This Row],[Enrollment '[mmm-yyyy']]]),"-",AND((Tbl_ResidentData[[#This Row],[Enrollment '[mmm-yyyy']]]&lt;=AR$4),IF(ISBLANK(Tbl_ResidentData[[#This Row],[Discharge '[mmm-yyyy']]]),TRUE,(Tbl_ResidentData[[#This Row],[Discharge '[mmm-yyyy']]]&gt;=AR$4)))))</f>
        <v>-</v>
      </c>
      <c r="AS3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3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3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3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3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3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3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3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3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3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3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3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3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3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3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3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3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3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3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3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3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3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3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3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30" s="120" t="b">
        <f ca="1">AND(Tbl_ResidentData[[#This Row],[PRN Med Started]]&lt;&gt;"",Tbl_ResidentData[[#This Row],[PRN Med Started]]&lt;=NOW(),Tbl_ResidentData[[#This Row],[PRN Med Started]]&lt;=AS$4,OR(Tbl_ResidentData[[#This Row],[PRN Med Discontinued]]&gt;AS$4,ISBLANK(Tbl_ResidentData[[#This Row],[PRN Med Discontinued]])))</f>
        <v>0</v>
      </c>
      <c r="BR30" s="121" t="b">
        <f ca="1">AND(Tbl_ResidentData[[#This Row],[PRN Med Started]]&lt;&gt;"",Tbl_ResidentData[[#This Row],[PRN Med Started]]&lt;=NOW(),Tbl_ResidentData[[#This Row],[PRN Med Started]]&lt;=AT$4,OR(Tbl_ResidentData[[#This Row],[PRN Med Discontinued]]&gt;AT$4,ISBLANK(Tbl_ResidentData[[#This Row],[PRN Med Discontinued]])))</f>
        <v>0</v>
      </c>
      <c r="BS30" s="121" t="b">
        <f ca="1">AND(Tbl_ResidentData[[#This Row],[PRN Med Started]]&lt;&gt;"",Tbl_ResidentData[[#This Row],[PRN Med Started]]&lt;=NOW(),Tbl_ResidentData[[#This Row],[PRN Med Started]]&lt;=AU$4,OR(Tbl_ResidentData[[#This Row],[PRN Med Discontinued]]&gt;AU$4,ISBLANK(Tbl_ResidentData[[#This Row],[PRN Med Discontinued]])))</f>
        <v>0</v>
      </c>
      <c r="BT30" s="121" t="b">
        <f ca="1">AND(Tbl_ResidentData[[#This Row],[PRN Med Started]]&lt;&gt;"",Tbl_ResidentData[[#This Row],[PRN Med Started]]&lt;=NOW(),Tbl_ResidentData[[#This Row],[PRN Med Started]]&lt;=AV$4,OR(Tbl_ResidentData[[#This Row],[PRN Med Discontinued]]&gt;AV$4,ISBLANK(Tbl_ResidentData[[#This Row],[PRN Med Discontinued]])))</f>
        <v>0</v>
      </c>
      <c r="BU30" s="121" t="b">
        <f ca="1">AND(Tbl_ResidentData[[#This Row],[PRN Med Started]]&lt;&gt;"",Tbl_ResidentData[[#This Row],[PRN Med Started]]&lt;=NOW(),Tbl_ResidentData[[#This Row],[PRN Med Started]]&lt;=AW$4,OR(Tbl_ResidentData[[#This Row],[PRN Med Discontinued]]&gt;AW$4,ISBLANK(Tbl_ResidentData[[#This Row],[PRN Med Discontinued]])))</f>
        <v>0</v>
      </c>
      <c r="BV30" s="121" t="b">
        <f ca="1">AND(Tbl_ResidentData[[#This Row],[PRN Med Started]]&lt;&gt;"",Tbl_ResidentData[[#This Row],[PRN Med Started]]&lt;=NOW(),Tbl_ResidentData[[#This Row],[PRN Med Started]]&lt;=AX$4,OR(Tbl_ResidentData[[#This Row],[PRN Med Discontinued]]&gt;AX$4,ISBLANK(Tbl_ResidentData[[#This Row],[PRN Med Discontinued]])))</f>
        <v>0</v>
      </c>
      <c r="BW30" s="121" t="b">
        <f ca="1">AND(Tbl_ResidentData[[#This Row],[PRN Med Started]]&lt;&gt;"",Tbl_ResidentData[[#This Row],[PRN Med Started]]&lt;=NOW(),Tbl_ResidentData[[#This Row],[PRN Med Started]]&lt;=AY$4,OR(Tbl_ResidentData[[#This Row],[PRN Med Discontinued]]&gt;AY$4,ISBLANK(Tbl_ResidentData[[#This Row],[PRN Med Discontinued]])))</f>
        <v>0</v>
      </c>
      <c r="BX30" s="121" t="b">
        <f ca="1">AND(Tbl_ResidentData[[#This Row],[PRN Med Started]]&lt;&gt;"",Tbl_ResidentData[[#This Row],[PRN Med Started]]&lt;=NOW(),Tbl_ResidentData[[#This Row],[PRN Med Started]]&lt;=AZ$4,OR(Tbl_ResidentData[[#This Row],[PRN Med Discontinued]]&gt;AZ$4,ISBLANK(Tbl_ResidentData[[#This Row],[PRN Med Discontinued]])))</f>
        <v>0</v>
      </c>
      <c r="BY30" s="121" t="b">
        <f ca="1">AND(Tbl_ResidentData[[#This Row],[PRN Med Started]]&lt;&gt;"",Tbl_ResidentData[[#This Row],[PRN Med Started]]&lt;=NOW(),Tbl_ResidentData[[#This Row],[PRN Med Started]]&lt;=BA$4,OR(Tbl_ResidentData[[#This Row],[PRN Med Discontinued]]&gt;BA$4,ISBLANK(Tbl_ResidentData[[#This Row],[PRN Med Discontinued]])))</f>
        <v>0</v>
      </c>
      <c r="BZ30" s="121" t="b">
        <f ca="1">AND(Tbl_ResidentData[[#This Row],[PRN Med Started]]&lt;&gt;"",Tbl_ResidentData[[#This Row],[PRN Med Started]]&lt;=NOW(),Tbl_ResidentData[[#This Row],[PRN Med Started]]&lt;=BB$4,OR(Tbl_ResidentData[[#This Row],[PRN Med Discontinued]]&gt;BB$4,ISBLANK(Tbl_ResidentData[[#This Row],[PRN Med Discontinued]])))</f>
        <v>0</v>
      </c>
      <c r="CA30" s="121" t="b">
        <f ca="1">AND(Tbl_ResidentData[[#This Row],[PRN Med Started]]&lt;&gt;"",Tbl_ResidentData[[#This Row],[PRN Med Started]]&lt;=NOW(),Tbl_ResidentData[[#This Row],[PRN Med Started]]&lt;=BC$4,OR(Tbl_ResidentData[[#This Row],[PRN Med Discontinued]]&gt;BC$4,ISBLANK(Tbl_ResidentData[[#This Row],[PRN Med Discontinued]])))</f>
        <v>0</v>
      </c>
      <c r="CB30" s="121" t="b">
        <f ca="1">AND(Tbl_ResidentData[[#This Row],[PRN Med Started]]&lt;&gt;"",Tbl_ResidentData[[#This Row],[PRN Med Started]]&lt;=NOW(),Tbl_ResidentData[[#This Row],[PRN Med Started]]&lt;=BD$4,OR(Tbl_ResidentData[[#This Row],[PRN Med Discontinued]]&gt;BD$4,ISBLANK(Tbl_ResidentData[[#This Row],[PRN Med Discontinued]])))</f>
        <v>0</v>
      </c>
      <c r="CC30" s="121" t="b">
        <f ca="1">AND(Tbl_ResidentData[[#This Row],[PRN Med Started]]&lt;&gt;"",Tbl_ResidentData[[#This Row],[PRN Med Started]]&lt;=NOW(),Tbl_ResidentData[[#This Row],[PRN Med Started]]&lt;=BE$4,OR(Tbl_ResidentData[[#This Row],[PRN Med Discontinued]]&gt;BE$4,ISBLANK(Tbl_ResidentData[[#This Row],[PRN Med Discontinued]])))</f>
        <v>0</v>
      </c>
      <c r="CD30" s="121" t="b">
        <f ca="1">AND(Tbl_ResidentData[[#This Row],[PRN Med Started]]&lt;&gt;"",Tbl_ResidentData[[#This Row],[PRN Med Started]]&lt;=NOW(),Tbl_ResidentData[[#This Row],[PRN Med Started]]&lt;=BF$4,OR(Tbl_ResidentData[[#This Row],[PRN Med Discontinued]]&gt;BF$4,ISBLANK(Tbl_ResidentData[[#This Row],[PRN Med Discontinued]])))</f>
        <v>0</v>
      </c>
      <c r="CE30" s="121" t="b">
        <f ca="1">AND(Tbl_ResidentData[[#This Row],[PRN Med Started]]&lt;&gt;"",Tbl_ResidentData[[#This Row],[PRN Med Started]]&lt;=NOW(),Tbl_ResidentData[[#This Row],[PRN Med Started]]&lt;=BG$4,OR(Tbl_ResidentData[[#This Row],[PRN Med Discontinued]]&gt;BG$4,ISBLANK(Tbl_ResidentData[[#This Row],[PRN Med Discontinued]])))</f>
        <v>0</v>
      </c>
      <c r="CF30" s="121" t="b">
        <f ca="1">AND(Tbl_ResidentData[[#This Row],[PRN Med Started]]&lt;&gt;"",Tbl_ResidentData[[#This Row],[PRN Med Started]]&lt;=NOW(),Tbl_ResidentData[[#This Row],[PRN Med Started]]&lt;=BH$4,OR(Tbl_ResidentData[[#This Row],[PRN Med Discontinued]]&gt;BH$4,ISBLANK(Tbl_ResidentData[[#This Row],[PRN Med Discontinued]])))</f>
        <v>0</v>
      </c>
      <c r="CG30" s="121" t="b">
        <f ca="1">AND(Tbl_ResidentData[[#This Row],[PRN Med Started]]&lt;&gt;"",Tbl_ResidentData[[#This Row],[PRN Med Started]]&lt;=NOW(),Tbl_ResidentData[[#This Row],[PRN Med Started]]&lt;=BI$4,OR(Tbl_ResidentData[[#This Row],[PRN Med Discontinued]]&gt;BI$4,ISBLANK(Tbl_ResidentData[[#This Row],[PRN Med Discontinued]])))</f>
        <v>0</v>
      </c>
      <c r="CH30" s="121" t="b">
        <f ca="1">AND(Tbl_ResidentData[[#This Row],[PRN Med Started]]&lt;&gt;"",Tbl_ResidentData[[#This Row],[PRN Med Started]]&lt;=NOW(),Tbl_ResidentData[[#This Row],[PRN Med Started]]&lt;=BJ$4,OR(Tbl_ResidentData[[#This Row],[PRN Med Discontinued]]&gt;BJ$4,ISBLANK(Tbl_ResidentData[[#This Row],[PRN Med Discontinued]])))</f>
        <v>0</v>
      </c>
      <c r="CI30" s="121" t="b">
        <f ca="1">AND(Tbl_ResidentData[[#This Row],[PRN Med Started]]&lt;&gt;"",Tbl_ResidentData[[#This Row],[PRN Med Started]]&lt;=NOW(),Tbl_ResidentData[[#This Row],[PRN Med Started]]&lt;=BK$4,OR(Tbl_ResidentData[[#This Row],[PRN Med Discontinued]]&gt;BK$4,ISBLANK(Tbl_ResidentData[[#This Row],[PRN Med Discontinued]])))</f>
        <v>0</v>
      </c>
      <c r="CJ30" s="121" t="b">
        <f ca="1">AND(Tbl_ResidentData[[#This Row],[PRN Med Started]]&lt;&gt;"",Tbl_ResidentData[[#This Row],[PRN Med Started]]&lt;=NOW(),Tbl_ResidentData[[#This Row],[PRN Med Started]]&lt;=BL$4,OR(Tbl_ResidentData[[#This Row],[PRN Med Discontinued]]&gt;BL$4,ISBLANK(Tbl_ResidentData[[#This Row],[PRN Med Discontinued]])))</f>
        <v>0</v>
      </c>
      <c r="CK30" s="121" t="b">
        <f ca="1">AND(Tbl_ResidentData[[#This Row],[PRN Med Started]]&lt;&gt;"",Tbl_ResidentData[[#This Row],[PRN Med Started]]&lt;=NOW(),Tbl_ResidentData[[#This Row],[PRN Med Started]]&lt;=BM$4,OR(Tbl_ResidentData[[#This Row],[PRN Med Discontinued]]&gt;BM$4,ISBLANK(Tbl_ResidentData[[#This Row],[PRN Med Discontinued]])))</f>
        <v>0</v>
      </c>
      <c r="CL30" s="121" t="b">
        <f ca="1">AND(Tbl_ResidentData[[#This Row],[PRN Med Started]]&lt;&gt;"",Tbl_ResidentData[[#This Row],[PRN Med Started]]&lt;=NOW(),Tbl_ResidentData[[#This Row],[PRN Med Started]]&lt;=BN$4,OR(Tbl_ResidentData[[#This Row],[PRN Med Discontinued]]&gt;BN$4,ISBLANK(Tbl_ResidentData[[#This Row],[PRN Med Discontinued]])))</f>
        <v>0</v>
      </c>
      <c r="CM30" s="121" t="b">
        <f ca="1">AND(Tbl_ResidentData[[#This Row],[PRN Med Started]]&lt;&gt;"",Tbl_ResidentData[[#This Row],[PRN Med Started]]&lt;=NOW(),Tbl_ResidentData[[#This Row],[PRN Med Started]]&lt;=BO$4,OR(Tbl_ResidentData[[#This Row],[PRN Med Discontinued]]&gt;BO$4,ISBLANK(Tbl_ResidentData[[#This Row],[PRN Med Discontinued]])))</f>
        <v>0</v>
      </c>
      <c r="CN30" s="122" t="b">
        <f ca="1">AND(Tbl_ResidentData[[#This Row],[PRN Med Started]]&lt;&gt;"",Tbl_ResidentData[[#This Row],[PRN Med Started]]&lt;=NOW(),Tbl_ResidentData[[#This Row],[PRN Med Started]]&lt;=BP$4,OR(Tbl_ResidentData[[#This Row],[PRN Med Discontinued]]&gt;BP$4,ISBLANK(Tbl_ResidentData[[#This Row],[PRN Med Discontinued]])))</f>
        <v>0</v>
      </c>
      <c r="CO30" s="120">
        <f ca="1">IF(OR(Tbl_ResidentData[[#This Row],[S1]]=TRUE,Tbl_ResidentData[[#This Row],[P1]]=TRUE),1,0)</f>
        <v>0</v>
      </c>
      <c r="CP30" s="121">
        <f ca="1">IF(OR(Tbl_ResidentData[[#This Row],[S2]]=TRUE,Tbl_ResidentData[[#This Row],[P2]]=TRUE),1,0)</f>
        <v>0</v>
      </c>
      <c r="CQ30" s="121">
        <f ca="1">IF(OR(Tbl_ResidentData[[#This Row],[S3]]=TRUE,Tbl_ResidentData[[#This Row],[P3]]=TRUE),1,0)</f>
        <v>0</v>
      </c>
      <c r="CR30" s="120">
        <f ca="1">IF(OR(Tbl_ResidentData[[#This Row],[S4]]=TRUE,Tbl_ResidentData[[#This Row],[P4]]=TRUE),1,0)</f>
        <v>0</v>
      </c>
      <c r="CS30" s="120">
        <f ca="1">IF(OR(Tbl_ResidentData[[#This Row],[S5]]=TRUE,Tbl_ResidentData[[#This Row],[P5]]=TRUE),1,0)</f>
        <v>0</v>
      </c>
      <c r="CT30" s="120">
        <f ca="1">IF(OR(Tbl_ResidentData[[#This Row],[S6]]=TRUE,Tbl_ResidentData[[#This Row],[P6]]=TRUE),1,0)</f>
        <v>0</v>
      </c>
      <c r="CU30" s="120">
        <f ca="1">IF(OR(Tbl_ResidentData[[#This Row],[S7]]=TRUE,Tbl_ResidentData[[#This Row],[P7]]=TRUE),1,0)</f>
        <v>0</v>
      </c>
      <c r="CV30" s="120">
        <f ca="1">IF(OR(Tbl_ResidentData[[#This Row],[S8]]=TRUE,Tbl_ResidentData[[#This Row],[P8]]=TRUE),1,0)</f>
        <v>0</v>
      </c>
      <c r="CW30" s="120">
        <f ca="1">IF(OR(Tbl_ResidentData[[#This Row],[S9]]=TRUE,Tbl_ResidentData[[#This Row],[P9]]=TRUE),1,0)</f>
        <v>0</v>
      </c>
      <c r="CX30" s="120">
        <f ca="1">IF(OR(Tbl_ResidentData[[#This Row],[S10]]=TRUE,Tbl_ResidentData[[#This Row],[P10]]=TRUE),1,0)</f>
        <v>0</v>
      </c>
      <c r="CY30" s="120">
        <f ca="1">IF(OR(Tbl_ResidentData[[#This Row],[S11]]=TRUE,Tbl_ResidentData[[#This Row],[P11]]=TRUE),1,0)</f>
        <v>0</v>
      </c>
      <c r="CZ30" s="120">
        <f ca="1">IF(OR(Tbl_ResidentData[[#This Row],[S12]]=TRUE,Tbl_ResidentData[[#This Row],[P12]]=TRUE),1,0)</f>
        <v>0</v>
      </c>
      <c r="DA30" s="120">
        <f ca="1">IF(OR(Tbl_ResidentData[[#This Row],[S13]]=TRUE,Tbl_ResidentData[[#This Row],[P13]]=TRUE),1,0)</f>
        <v>0</v>
      </c>
      <c r="DB30" s="120">
        <f ca="1">IF(OR(Tbl_ResidentData[[#This Row],[S14]]=TRUE,Tbl_ResidentData[[#This Row],[P14]]=TRUE),1,0)</f>
        <v>0</v>
      </c>
      <c r="DC30" s="120">
        <f ca="1">IF(OR(Tbl_ResidentData[[#This Row],[S15]]=TRUE,Tbl_ResidentData[[#This Row],[P15]]=TRUE),1,0)</f>
        <v>0</v>
      </c>
      <c r="DD30" s="120">
        <f ca="1">IF(OR(Tbl_ResidentData[[#This Row],[S16]]=TRUE,Tbl_ResidentData[[#This Row],[P16]]=TRUE),1,0)</f>
        <v>0</v>
      </c>
      <c r="DE30" s="120">
        <f ca="1">IF(OR(Tbl_ResidentData[[#This Row],[S17]]=TRUE,Tbl_ResidentData[[#This Row],[P17]]=TRUE),1,0)</f>
        <v>0</v>
      </c>
      <c r="DF30" s="120">
        <f ca="1">IF(OR(Tbl_ResidentData[[#This Row],[S18]]=TRUE,Tbl_ResidentData[[#This Row],[P18]]=TRUE),1,0)</f>
        <v>0</v>
      </c>
      <c r="DG30" s="120">
        <f ca="1">IF(OR(Tbl_ResidentData[[#This Row],[S19]]=TRUE,Tbl_ResidentData[[#This Row],[P19]]=TRUE),1,0)</f>
        <v>0</v>
      </c>
      <c r="DH30" s="120">
        <f ca="1">IF(OR(Tbl_ResidentData[[#This Row],[S20]]=TRUE,Tbl_ResidentData[[#This Row],[P20]]=TRUE),1,0)</f>
        <v>0</v>
      </c>
      <c r="DI30" s="120">
        <f ca="1">IF(OR(Tbl_ResidentData[[#This Row],[S21]]=TRUE,Tbl_ResidentData[[#This Row],[P21]]=TRUE),1,0)</f>
        <v>0</v>
      </c>
      <c r="DJ30" s="120">
        <f ca="1">IF(OR(Tbl_ResidentData[[#This Row],[S22]]=TRUE,Tbl_ResidentData[[#This Row],[P22]]=TRUE),1,0)</f>
        <v>0</v>
      </c>
      <c r="DK30" s="120">
        <f ca="1">IF(OR(Tbl_ResidentData[[#This Row],[S23]]=TRUE,Tbl_ResidentData[[#This Row],[P23]]=TRUE),1,0)</f>
        <v>0</v>
      </c>
      <c r="DL30" s="120">
        <f ca="1">IF(OR(Tbl_ResidentData[[#This Row],[S24]]=TRUE,Tbl_ResidentData[[#This Row],[P24]]=TRUE),1,0)</f>
        <v>0</v>
      </c>
      <c r="DM30" s="123" t="str">
        <f ca="1">IFERROR(INDEX($CO$4:$DL$4,MATCH(TRUE,INDEX((Tbl_ResidentData[[#This Row],[Over1]:[Over24]]&lt;&gt;0),0),0)),"")</f>
        <v/>
      </c>
      <c r="DN30" s="133" t="str">
        <f>IFERROR(INDEX(Tbl_PDSAData[Last DRT],MATCH(Tbl_ResidentData[Resident Name '[last, first']],Tbl_PDSAData[Resident Name (last, first)],0)),"")</f>
        <v/>
      </c>
      <c r="DO30" s="222" t="str">
        <f>IFERROR(INDEX(Tbl_PDSAData[Last MR],MATCH(Tbl_ResidentData[Resident Name '[last, first']],Tbl_PDSAData[Resident Name (last, first)],0)),"")</f>
        <v/>
      </c>
    </row>
    <row r="31" spans="1:119" x14ac:dyDescent="0.25">
      <c r="A31" s="179"/>
      <c r="B31" s="180"/>
      <c r="C31" s="180"/>
      <c r="D31" s="218"/>
      <c r="E31" s="179"/>
      <c r="F31" s="181"/>
      <c r="G31" s="181"/>
      <c r="H31" s="375"/>
      <c r="I31" s="188"/>
      <c r="J31" s="387"/>
      <c r="K31" s="178"/>
      <c r="L31" s="388"/>
      <c r="M31" s="185"/>
      <c r="N31" s="386"/>
      <c r="O31" s="178"/>
      <c r="P31" s="388"/>
      <c r="Q31" s="395"/>
      <c r="R31" s="396"/>
      <c r="S31" s="131" t="str">
        <f>IF(ISBLANK(Tbl_ResidentData[[#This Row],[Discharge '[mmm-yyyy']]]),IF(ISBLANK(Tbl_ResidentData[[#This Row],[Enrollment '[mmm-yyyy']]]),"","In Care Home"),"Discharged")</f>
        <v/>
      </c>
      <c r="T31" s="119" t="str">
        <f>IF(ISBLANK(Tbl_ResidentData[[#This Row],[Diagnosis (RAI)]]),IF(ISBLANK(Tbl_ResidentData[[#This Row],[Resident Name '[last, first']]]),"",0),IF(Tbl_ResidentData[[#This Row],[Diagnosis (RAI)]]="Other (see clinical notes)",0,1))</f>
        <v/>
      </c>
      <c r="U31" s="120" t="str">
        <f ca="1">IF(U$4&gt;NOW(),"-",IF(ISBLANK(Tbl_ResidentData[[#This Row],[Enrollment '[mmm-yyyy']]]),"-",AND((Tbl_ResidentData[[#This Row],[Enrollment '[mmm-yyyy']]]&lt;=U$4),IF(ISBLANK(Tbl_ResidentData[[#This Row],[Discharge '[mmm-yyyy']]]),TRUE,(Tbl_ResidentData[[#This Row],[Discharge '[mmm-yyyy']]]&gt;=U$4)))))</f>
        <v>-</v>
      </c>
      <c r="V31" s="121" t="str">
        <f ca="1">IF(V$4&gt;NOW(),"-",IF(ISBLANK(Tbl_ResidentData[[#This Row],[Enrollment '[mmm-yyyy']]]),"-",AND((Tbl_ResidentData[[#This Row],[Enrollment '[mmm-yyyy']]]&lt;=V$4),IF(ISBLANK(Tbl_ResidentData[[#This Row],[Discharge '[mmm-yyyy']]]),TRUE,(Tbl_ResidentData[[#This Row],[Discharge '[mmm-yyyy']]]&gt;=V$4)))))</f>
        <v>-</v>
      </c>
      <c r="W31" s="121" t="str">
        <f ca="1">IF(W$4&gt;NOW(),"-",IF(ISBLANK(Tbl_ResidentData[[#This Row],[Enrollment '[mmm-yyyy']]]),"-",AND((Tbl_ResidentData[[#This Row],[Enrollment '[mmm-yyyy']]]&lt;=W$4),IF(ISBLANK(Tbl_ResidentData[[#This Row],[Discharge '[mmm-yyyy']]]),TRUE,(Tbl_ResidentData[[#This Row],[Discharge '[mmm-yyyy']]]&gt;=W$4)))))</f>
        <v>-</v>
      </c>
      <c r="X31" s="121" t="str">
        <f ca="1">IF(X$4&gt;NOW(),"-",IF(ISBLANK(Tbl_ResidentData[[#This Row],[Enrollment '[mmm-yyyy']]]),"-",AND((Tbl_ResidentData[[#This Row],[Enrollment '[mmm-yyyy']]]&lt;=X$4),IF(ISBLANK(Tbl_ResidentData[[#This Row],[Discharge '[mmm-yyyy']]]),TRUE,(Tbl_ResidentData[[#This Row],[Discharge '[mmm-yyyy']]]&gt;=X$4)))))</f>
        <v>-</v>
      </c>
      <c r="Y31" s="121" t="str">
        <f ca="1">IF(Y$4&gt;NOW(),"-",IF(ISBLANK(Tbl_ResidentData[[#This Row],[Enrollment '[mmm-yyyy']]]),"-",AND((Tbl_ResidentData[[#This Row],[Enrollment '[mmm-yyyy']]]&lt;=Y$4),IF(ISBLANK(Tbl_ResidentData[[#This Row],[Discharge '[mmm-yyyy']]]),TRUE,(Tbl_ResidentData[[#This Row],[Discharge '[mmm-yyyy']]]&gt;=Y$4)))))</f>
        <v>-</v>
      </c>
      <c r="Z31" s="121" t="str">
        <f ca="1">IF(Z$4&gt;NOW(),"-",IF(ISBLANK(Tbl_ResidentData[[#This Row],[Enrollment '[mmm-yyyy']]]),"-",AND((Tbl_ResidentData[[#This Row],[Enrollment '[mmm-yyyy']]]&lt;=Z$4),IF(ISBLANK(Tbl_ResidentData[[#This Row],[Discharge '[mmm-yyyy']]]),TRUE,(Tbl_ResidentData[[#This Row],[Discharge '[mmm-yyyy']]]&gt;=Z$4)))))</f>
        <v>-</v>
      </c>
      <c r="AA31" s="121" t="str">
        <f ca="1">IF(AA$4&gt;NOW(),"-",IF(ISBLANK(Tbl_ResidentData[[#This Row],[Enrollment '[mmm-yyyy']]]),"-",AND((Tbl_ResidentData[[#This Row],[Enrollment '[mmm-yyyy']]]&lt;=AA$4),IF(ISBLANK(Tbl_ResidentData[[#This Row],[Discharge '[mmm-yyyy']]]),TRUE,(Tbl_ResidentData[[#This Row],[Discharge '[mmm-yyyy']]]&gt;=AA$4)))))</f>
        <v>-</v>
      </c>
      <c r="AB31" s="121" t="str">
        <f ca="1">IF(AB$4&gt;NOW(),"-",IF(ISBLANK(Tbl_ResidentData[[#This Row],[Enrollment '[mmm-yyyy']]]),"-",AND((Tbl_ResidentData[[#This Row],[Enrollment '[mmm-yyyy']]]&lt;=AB$4),IF(ISBLANK(Tbl_ResidentData[[#This Row],[Discharge '[mmm-yyyy']]]),TRUE,(Tbl_ResidentData[[#This Row],[Discharge '[mmm-yyyy']]]&gt;=AB$4)))))</f>
        <v>-</v>
      </c>
      <c r="AC31" s="121" t="str">
        <f ca="1">IF(AC$4&gt;NOW(),"-",IF(ISBLANK(Tbl_ResidentData[[#This Row],[Enrollment '[mmm-yyyy']]]),"-",AND((Tbl_ResidentData[[#This Row],[Enrollment '[mmm-yyyy']]]&lt;=AC$4),IF(ISBLANK(Tbl_ResidentData[[#This Row],[Discharge '[mmm-yyyy']]]),TRUE,(Tbl_ResidentData[[#This Row],[Discharge '[mmm-yyyy']]]&gt;=AC$4)))))</f>
        <v>-</v>
      </c>
      <c r="AD31" s="121" t="str">
        <f ca="1">IF(AD$4&gt;NOW(),"-",IF(ISBLANK(Tbl_ResidentData[[#This Row],[Enrollment '[mmm-yyyy']]]),"-",AND((Tbl_ResidentData[[#This Row],[Enrollment '[mmm-yyyy']]]&lt;=AD$4),IF(ISBLANK(Tbl_ResidentData[[#This Row],[Discharge '[mmm-yyyy']]]),TRUE,(Tbl_ResidentData[[#This Row],[Discharge '[mmm-yyyy']]]&gt;=AD$4)))))</f>
        <v>-</v>
      </c>
      <c r="AE31" s="121" t="str">
        <f ca="1">IF(AE$4&gt;NOW(),"-",IF(ISBLANK(Tbl_ResidentData[[#This Row],[Enrollment '[mmm-yyyy']]]),"-",AND((Tbl_ResidentData[[#This Row],[Enrollment '[mmm-yyyy']]]&lt;=AE$4),IF(ISBLANK(Tbl_ResidentData[[#This Row],[Discharge '[mmm-yyyy']]]),TRUE,(Tbl_ResidentData[[#This Row],[Discharge '[mmm-yyyy']]]&gt;=AE$4)))))</f>
        <v>-</v>
      </c>
      <c r="AF31" s="121" t="str">
        <f ca="1">IF(AF$4&gt;NOW(),"-",IF(ISBLANK(Tbl_ResidentData[[#This Row],[Enrollment '[mmm-yyyy']]]),"-",AND((Tbl_ResidentData[[#This Row],[Enrollment '[mmm-yyyy']]]&lt;=AF$4),IF(ISBLANK(Tbl_ResidentData[[#This Row],[Discharge '[mmm-yyyy']]]),TRUE,(Tbl_ResidentData[[#This Row],[Discharge '[mmm-yyyy']]]&gt;=AF$4)))))</f>
        <v>-</v>
      </c>
      <c r="AG31" s="121" t="str">
        <f ca="1">IF(AG$4&gt;NOW(),"-",IF(ISBLANK(Tbl_ResidentData[[#This Row],[Enrollment '[mmm-yyyy']]]),"-",AND((Tbl_ResidentData[[#This Row],[Enrollment '[mmm-yyyy']]]&lt;=AG$4),IF(ISBLANK(Tbl_ResidentData[[#This Row],[Discharge '[mmm-yyyy']]]),TRUE,(Tbl_ResidentData[[#This Row],[Discharge '[mmm-yyyy']]]&gt;=AG$4)))))</f>
        <v>-</v>
      </c>
      <c r="AH31" s="121" t="str">
        <f ca="1">IF(AH$4&gt;NOW(),"-",IF(ISBLANK(Tbl_ResidentData[[#This Row],[Enrollment '[mmm-yyyy']]]),"-",AND((Tbl_ResidentData[[#This Row],[Enrollment '[mmm-yyyy']]]&lt;=AH$4),IF(ISBLANK(Tbl_ResidentData[[#This Row],[Discharge '[mmm-yyyy']]]),TRUE,(Tbl_ResidentData[[#This Row],[Discharge '[mmm-yyyy']]]&gt;=AH$4)))))</f>
        <v>-</v>
      </c>
      <c r="AI31" s="121" t="str">
        <f ca="1">IF(AI$4&gt;NOW(),"-",IF(ISBLANK(Tbl_ResidentData[[#This Row],[Enrollment '[mmm-yyyy']]]),"-",AND((Tbl_ResidentData[[#This Row],[Enrollment '[mmm-yyyy']]]&lt;=AI$4),IF(ISBLANK(Tbl_ResidentData[[#This Row],[Discharge '[mmm-yyyy']]]),TRUE,(Tbl_ResidentData[[#This Row],[Discharge '[mmm-yyyy']]]&gt;=AI$4)))))</f>
        <v>-</v>
      </c>
      <c r="AJ31" s="121" t="str">
        <f ca="1">IF(AJ$4&gt;NOW(),"-",IF(ISBLANK(Tbl_ResidentData[[#This Row],[Enrollment '[mmm-yyyy']]]),"-",AND((Tbl_ResidentData[[#This Row],[Enrollment '[mmm-yyyy']]]&lt;=AJ$4),IF(ISBLANK(Tbl_ResidentData[[#This Row],[Discharge '[mmm-yyyy']]]),TRUE,(Tbl_ResidentData[[#This Row],[Discharge '[mmm-yyyy']]]&gt;=AJ$4)))))</f>
        <v>-</v>
      </c>
      <c r="AK31" s="121" t="str">
        <f ca="1">IF(AK$4&gt;NOW(),"-",IF(ISBLANK(Tbl_ResidentData[[#This Row],[Enrollment '[mmm-yyyy']]]),"-",AND((Tbl_ResidentData[[#This Row],[Enrollment '[mmm-yyyy']]]&lt;=AK$4),IF(ISBLANK(Tbl_ResidentData[[#This Row],[Discharge '[mmm-yyyy']]]),TRUE,(Tbl_ResidentData[[#This Row],[Discharge '[mmm-yyyy']]]&gt;=AK$4)))))</f>
        <v>-</v>
      </c>
      <c r="AL31" s="121" t="str">
        <f ca="1">IF(AL$4&gt;NOW(),"-",IF(ISBLANK(Tbl_ResidentData[[#This Row],[Enrollment '[mmm-yyyy']]]),"-",AND((Tbl_ResidentData[[#This Row],[Enrollment '[mmm-yyyy']]]&lt;=AL$4),IF(ISBLANK(Tbl_ResidentData[[#This Row],[Discharge '[mmm-yyyy']]]),TRUE,(Tbl_ResidentData[[#This Row],[Discharge '[mmm-yyyy']]]&gt;=AL$4)))))</f>
        <v>-</v>
      </c>
      <c r="AM31" s="121" t="str">
        <f ca="1">IF(AM$4&gt;NOW(),"-",IF(ISBLANK(Tbl_ResidentData[[#This Row],[Enrollment '[mmm-yyyy']]]),"-",AND((Tbl_ResidentData[[#This Row],[Enrollment '[mmm-yyyy']]]&lt;=AM$4),IF(ISBLANK(Tbl_ResidentData[[#This Row],[Discharge '[mmm-yyyy']]]),TRUE,(Tbl_ResidentData[[#This Row],[Discharge '[mmm-yyyy']]]&gt;=AM$4)))))</f>
        <v>-</v>
      </c>
      <c r="AN31" s="121" t="str">
        <f ca="1">IF(AN$4&gt;NOW(),"-",IF(ISBLANK(Tbl_ResidentData[[#This Row],[Enrollment '[mmm-yyyy']]]),"-",AND((Tbl_ResidentData[[#This Row],[Enrollment '[mmm-yyyy']]]&lt;=AN$4),IF(ISBLANK(Tbl_ResidentData[[#This Row],[Discharge '[mmm-yyyy']]]),TRUE,(Tbl_ResidentData[[#This Row],[Discharge '[mmm-yyyy']]]&gt;=AN$4)))))</f>
        <v>-</v>
      </c>
      <c r="AO31" s="121" t="str">
        <f ca="1">IF(AO$4&gt;NOW(),"-",IF(ISBLANK(Tbl_ResidentData[[#This Row],[Enrollment '[mmm-yyyy']]]),"-",AND((Tbl_ResidentData[[#This Row],[Enrollment '[mmm-yyyy']]]&lt;=AO$4),IF(ISBLANK(Tbl_ResidentData[[#This Row],[Discharge '[mmm-yyyy']]]),TRUE,(Tbl_ResidentData[[#This Row],[Discharge '[mmm-yyyy']]]&gt;=AO$4)))))</f>
        <v>-</v>
      </c>
      <c r="AP31" s="121" t="str">
        <f ca="1">IF(AP$4&gt;NOW(),"-",IF(ISBLANK(Tbl_ResidentData[[#This Row],[Enrollment '[mmm-yyyy']]]),"-",AND((Tbl_ResidentData[[#This Row],[Enrollment '[mmm-yyyy']]]&lt;=AP$4),IF(ISBLANK(Tbl_ResidentData[[#This Row],[Discharge '[mmm-yyyy']]]),TRUE,(Tbl_ResidentData[[#This Row],[Discharge '[mmm-yyyy']]]&gt;=AP$4)))))</f>
        <v>-</v>
      </c>
      <c r="AQ31" s="121" t="str">
        <f ca="1">IF(AQ$4&gt;NOW(),"-",IF(ISBLANK(Tbl_ResidentData[[#This Row],[Enrollment '[mmm-yyyy']]]),"-",AND((Tbl_ResidentData[[#This Row],[Enrollment '[mmm-yyyy']]]&lt;=AQ$4),IF(ISBLANK(Tbl_ResidentData[[#This Row],[Discharge '[mmm-yyyy']]]),TRUE,(Tbl_ResidentData[[#This Row],[Discharge '[mmm-yyyy']]]&gt;=AQ$4)))))</f>
        <v>-</v>
      </c>
      <c r="AR31" s="122" t="str">
        <f ca="1">IF(AR$4&gt;NOW(),"-",IF(ISBLANK(Tbl_ResidentData[[#This Row],[Enrollment '[mmm-yyyy']]]),"-",AND((Tbl_ResidentData[[#This Row],[Enrollment '[mmm-yyyy']]]&lt;=AR$4),IF(ISBLANK(Tbl_ResidentData[[#This Row],[Discharge '[mmm-yyyy']]]),TRUE,(Tbl_ResidentData[[#This Row],[Discharge '[mmm-yyyy']]]&gt;=AR$4)))))</f>
        <v>-</v>
      </c>
      <c r="AS3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3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3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3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3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3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3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3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3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3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3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3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3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3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3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3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3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3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3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3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3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3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3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3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31" s="120" t="b">
        <f ca="1">AND(Tbl_ResidentData[[#This Row],[PRN Med Started]]&lt;&gt;"",Tbl_ResidentData[[#This Row],[PRN Med Started]]&lt;=NOW(),Tbl_ResidentData[[#This Row],[PRN Med Started]]&lt;=AS$4,OR(Tbl_ResidentData[[#This Row],[PRN Med Discontinued]]&gt;AS$4,ISBLANK(Tbl_ResidentData[[#This Row],[PRN Med Discontinued]])))</f>
        <v>0</v>
      </c>
      <c r="BR31" s="121" t="b">
        <f ca="1">AND(Tbl_ResidentData[[#This Row],[PRN Med Started]]&lt;&gt;"",Tbl_ResidentData[[#This Row],[PRN Med Started]]&lt;=NOW(),Tbl_ResidentData[[#This Row],[PRN Med Started]]&lt;=AT$4,OR(Tbl_ResidentData[[#This Row],[PRN Med Discontinued]]&gt;AT$4,ISBLANK(Tbl_ResidentData[[#This Row],[PRN Med Discontinued]])))</f>
        <v>0</v>
      </c>
      <c r="BS31" s="121" t="b">
        <f ca="1">AND(Tbl_ResidentData[[#This Row],[PRN Med Started]]&lt;&gt;"",Tbl_ResidentData[[#This Row],[PRN Med Started]]&lt;=NOW(),Tbl_ResidentData[[#This Row],[PRN Med Started]]&lt;=AU$4,OR(Tbl_ResidentData[[#This Row],[PRN Med Discontinued]]&gt;AU$4,ISBLANK(Tbl_ResidentData[[#This Row],[PRN Med Discontinued]])))</f>
        <v>0</v>
      </c>
      <c r="BT31" s="121" t="b">
        <f ca="1">AND(Tbl_ResidentData[[#This Row],[PRN Med Started]]&lt;&gt;"",Tbl_ResidentData[[#This Row],[PRN Med Started]]&lt;=NOW(),Tbl_ResidentData[[#This Row],[PRN Med Started]]&lt;=AV$4,OR(Tbl_ResidentData[[#This Row],[PRN Med Discontinued]]&gt;AV$4,ISBLANK(Tbl_ResidentData[[#This Row],[PRN Med Discontinued]])))</f>
        <v>0</v>
      </c>
      <c r="BU31" s="121" t="b">
        <f ca="1">AND(Tbl_ResidentData[[#This Row],[PRN Med Started]]&lt;&gt;"",Tbl_ResidentData[[#This Row],[PRN Med Started]]&lt;=NOW(),Tbl_ResidentData[[#This Row],[PRN Med Started]]&lt;=AW$4,OR(Tbl_ResidentData[[#This Row],[PRN Med Discontinued]]&gt;AW$4,ISBLANK(Tbl_ResidentData[[#This Row],[PRN Med Discontinued]])))</f>
        <v>0</v>
      </c>
      <c r="BV31" s="121" t="b">
        <f ca="1">AND(Tbl_ResidentData[[#This Row],[PRN Med Started]]&lt;&gt;"",Tbl_ResidentData[[#This Row],[PRN Med Started]]&lt;=NOW(),Tbl_ResidentData[[#This Row],[PRN Med Started]]&lt;=AX$4,OR(Tbl_ResidentData[[#This Row],[PRN Med Discontinued]]&gt;AX$4,ISBLANK(Tbl_ResidentData[[#This Row],[PRN Med Discontinued]])))</f>
        <v>0</v>
      </c>
      <c r="BW31" s="121" t="b">
        <f ca="1">AND(Tbl_ResidentData[[#This Row],[PRN Med Started]]&lt;&gt;"",Tbl_ResidentData[[#This Row],[PRN Med Started]]&lt;=NOW(),Tbl_ResidentData[[#This Row],[PRN Med Started]]&lt;=AY$4,OR(Tbl_ResidentData[[#This Row],[PRN Med Discontinued]]&gt;AY$4,ISBLANK(Tbl_ResidentData[[#This Row],[PRN Med Discontinued]])))</f>
        <v>0</v>
      </c>
      <c r="BX31" s="121" t="b">
        <f ca="1">AND(Tbl_ResidentData[[#This Row],[PRN Med Started]]&lt;&gt;"",Tbl_ResidentData[[#This Row],[PRN Med Started]]&lt;=NOW(),Tbl_ResidentData[[#This Row],[PRN Med Started]]&lt;=AZ$4,OR(Tbl_ResidentData[[#This Row],[PRN Med Discontinued]]&gt;AZ$4,ISBLANK(Tbl_ResidentData[[#This Row],[PRN Med Discontinued]])))</f>
        <v>0</v>
      </c>
      <c r="BY31" s="121" t="b">
        <f ca="1">AND(Tbl_ResidentData[[#This Row],[PRN Med Started]]&lt;&gt;"",Tbl_ResidentData[[#This Row],[PRN Med Started]]&lt;=NOW(),Tbl_ResidentData[[#This Row],[PRN Med Started]]&lt;=BA$4,OR(Tbl_ResidentData[[#This Row],[PRN Med Discontinued]]&gt;BA$4,ISBLANK(Tbl_ResidentData[[#This Row],[PRN Med Discontinued]])))</f>
        <v>0</v>
      </c>
      <c r="BZ31" s="121" t="b">
        <f ca="1">AND(Tbl_ResidentData[[#This Row],[PRN Med Started]]&lt;&gt;"",Tbl_ResidentData[[#This Row],[PRN Med Started]]&lt;=NOW(),Tbl_ResidentData[[#This Row],[PRN Med Started]]&lt;=BB$4,OR(Tbl_ResidentData[[#This Row],[PRN Med Discontinued]]&gt;BB$4,ISBLANK(Tbl_ResidentData[[#This Row],[PRN Med Discontinued]])))</f>
        <v>0</v>
      </c>
      <c r="CA31" s="121" t="b">
        <f ca="1">AND(Tbl_ResidentData[[#This Row],[PRN Med Started]]&lt;&gt;"",Tbl_ResidentData[[#This Row],[PRN Med Started]]&lt;=NOW(),Tbl_ResidentData[[#This Row],[PRN Med Started]]&lt;=BC$4,OR(Tbl_ResidentData[[#This Row],[PRN Med Discontinued]]&gt;BC$4,ISBLANK(Tbl_ResidentData[[#This Row],[PRN Med Discontinued]])))</f>
        <v>0</v>
      </c>
      <c r="CB31" s="121" t="b">
        <f ca="1">AND(Tbl_ResidentData[[#This Row],[PRN Med Started]]&lt;&gt;"",Tbl_ResidentData[[#This Row],[PRN Med Started]]&lt;=NOW(),Tbl_ResidentData[[#This Row],[PRN Med Started]]&lt;=BD$4,OR(Tbl_ResidentData[[#This Row],[PRN Med Discontinued]]&gt;BD$4,ISBLANK(Tbl_ResidentData[[#This Row],[PRN Med Discontinued]])))</f>
        <v>0</v>
      </c>
      <c r="CC31" s="121" t="b">
        <f ca="1">AND(Tbl_ResidentData[[#This Row],[PRN Med Started]]&lt;&gt;"",Tbl_ResidentData[[#This Row],[PRN Med Started]]&lt;=NOW(),Tbl_ResidentData[[#This Row],[PRN Med Started]]&lt;=BE$4,OR(Tbl_ResidentData[[#This Row],[PRN Med Discontinued]]&gt;BE$4,ISBLANK(Tbl_ResidentData[[#This Row],[PRN Med Discontinued]])))</f>
        <v>0</v>
      </c>
      <c r="CD31" s="121" t="b">
        <f ca="1">AND(Tbl_ResidentData[[#This Row],[PRN Med Started]]&lt;&gt;"",Tbl_ResidentData[[#This Row],[PRN Med Started]]&lt;=NOW(),Tbl_ResidentData[[#This Row],[PRN Med Started]]&lt;=BF$4,OR(Tbl_ResidentData[[#This Row],[PRN Med Discontinued]]&gt;BF$4,ISBLANK(Tbl_ResidentData[[#This Row],[PRN Med Discontinued]])))</f>
        <v>0</v>
      </c>
      <c r="CE31" s="121" t="b">
        <f ca="1">AND(Tbl_ResidentData[[#This Row],[PRN Med Started]]&lt;&gt;"",Tbl_ResidentData[[#This Row],[PRN Med Started]]&lt;=NOW(),Tbl_ResidentData[[#This Row],[PRN Med Started]]&lt;=BG$4,OR(Tbl_ResidentData[[#This Row],[PRN Med Discontinued]]&gt;BG$4,ISBLANK(Tbl_ResidentData[[#This Row],[PRN Med Discontinued]])))</f>
        <v>0</v>
      </c>
      <c r="CF31" s="121" t="b">
        <f ca="1">AND(Tbl_ResidentData[[#This Row],[PRN Med Started]]&lt;&gt;"",Tbl_ResidentData[[#This Row],[PRN Med Started]]&lt;=NOW(),Tbl_ResidentData[[#This Row],[PRN Med Started]]&lt;=BH$4,OR(Tbl_ResidentData[[#This Row],[PRN Med Discontinued]]&gt;BH$4,ISBLANK(Tbl_ResidentData[[#This Row],[PRN Med Discontinued]])))</f>
        <v>0</v>
      </c>
      <c r="CG31" s="121" t="b">
        <f ca="1">AND(Tbl_ResidentData[[#This Row],[PRN Med Started]]&lt;&gt;"",Tbl_ResidentData[[#This Row],[PRN Med Started]]&lt;=NOW(),Tbl_ResidentData[[#This Row],[PRN Med Started]]&lt;=BI$4,OR(Tbl_ResidentData[[#This Row],[PRN Med Discontinued]]&gt;BI$4,ISBLANK(Tbl_ResidentData[[#This Row],[PRN Med Discontinued]])))</f>
        <v>0</v>
      </c>
      <c r="CH31" s="121" t="b">
        <f ca="1">AND(Tbl_ResidentData[[#This Row],[PRN Med Started]]&lt;&gt;"",Tbl_ResidentData[[#This Row],[PRN Med Started]]&lt;=NOW(),Tbl_ResidentData[[#This Row],[PRN Med Started]]&lt;=BJ$4,OR(Tbl_ResidentData[[#This Row],[PRN Med Discontinued]]&gt;BJ$4,ISBLANK(Tbl_ResidentData[[#This Row],[PRN Med Discontinued]])))</f>
        <v>0</v>
      </c>
      <c r="CI31" s="121" t="b">
        <f ca="1">AND(Tbl_ResidentData[[#This Row],[PRN Med Started]]&lt;&gt;"",Tbl_ResidentData[[#This Row],[PRN Med Started]]&lt;=NOW(),Tbl_ResidentData[[#This Row],[PRN Med Started]]&lt;=BK$4,OR(Tbl_ResidentData[[#This Row],[PRN Med Discontinued]]&gt;BK$4,ISBLANK(Tbl_ResidentData[[#This Row],[PRN Med Discontinued]])))</f>
        <v>0</v>
      </c>
      <c r="CJ31" s="121" t="b">
        <f ca="1">AND(Tbl_ResidentData[[#This Row],[PRN Med Started]]&lt;&gt;"",Tbl_ResidentData[[#This Row],[PRN Med Started]]&lt;=NOW(),Tbl_ResidentData[[#This Row],[PRN Med Started]]&lt;=BL$4,OR(Tbl_ResidentData[[#This Row],[PRN Med Discontinued]]&gt;BL$4,ISBLANK(Tbl_ResidentData[[#This Row],[PRN Med Discontinued]])))</f>
        <v>0</v>
      </c>
      <c r="CK31" s="121" t="b">
        <f ca="1">AND(Tbl_ResidentData[[#This Row],[PRN Med Started]]&lt;&gt;"",Tbl_ResidentData[[#This Row],[PRN Med Started]]&lt;=NOW(),Tbl_ResidentData[[#This Row],[PRN Med Started]]&lt;=BM$4,OR(Tbl_ResidentData[[#This Row],[PRN Med Discontinued]]&gt;BM$4,ISBLANK(Tbl_ResidentData[[#This Row],[PRN Med Discontinued]])))</f>
        <v>0</v>
      </c>
      <c r="CL31" s="121" t="b">
        <f ca="1">AND(Tbl_ResidentData[[#This Row],[PRN Med Started]]&lt;&gt;"",Tbl_ResidentData[[#This Row],[PRN Med Started]]&lt;=NOW(),Tbl_ResidentData[[#This Row],[PRN Med Started]]&lt;=BN$4,OR(Tbl_ResidentData[[#This Row],[PRN Med Discontinued]]&gt;BN$4,ISBLANK(Tbl_ResidentData[[#This Row],[PRN Med Discontinued]])))</f>
        <v>0</v>
      </c>
      <c r="CM31" s="121" t="b">
        <f ca="1">AND(Tbl_ResidentData[[#This Row],[PRN Med Started]]&lt;&gt;"",Tbl_ResidentData[[#This Row],[PRN Med Started]]&lt;=NOW(),Tbl_ResidentData[[#This Row],[PRN Med Started]]&lt;=BO$4,OR(Tbl_ResidentData[[#This Row],[PRN Med Discontinued]]&gt;BO$4,ISBLANK(Tbl_ResidentData[[#This Row],[PRN Med Discontinued]])))</f>
        <v>0</v>
      </c>
      <c r="CN31" s="122" t="b">
        <f ca="1">AND(Tbl_ResidentData[[#This Row],[PRN Med Started]]&lt;&gt;"",Tbl_ResidentData[[#This Row],[PRN Med Started]]&lt;=NOW(),Tbl_ResidentData[[#This Row],[PRN Med Started]]&lt;=BP$4,OR(Tbl_ResidentData[[#This Row],[PRN Med Discontinued]]&gt;BP$4,ISBLANK(Tbl_ResidentData[[#This Row],[PRN Med Discontinued]])))</f>
        <v>0</v>
      </c>
      <c r="CO31" s="120">
        <f ca="1">IF(OR(Tbl_ResidentData[[#This Row],[S1]]=TRUE,Tbl_ResidentData[[#This Row],[P1]]=TRUE),1,0)</f>
        <v>0</v>
      </c>
      <c r="CP31" s="121">
        <f ca="1">IF(OR(Tbl_ResidentData[[#This Row],[S2]]=TRUE,Tbl_ResidentData[[#This Row],[P2]]=TRUE),1,0)</f>
        <v>0</v>
      </c>
      <c r="CQ31" s="121">
        <f ca="1">IF(OR(Tbl_ResidentData[[#This Row],[S3]]=TRUE,Tbl_ResidentData[[#This Row],[P3]]=TRUE),1,0)</f>
        <v>0</v>
      </c>
      <c r="CR31" s="120">
        <f ca="1">IF(OR(Tbl_ResidentData[[#This Row],[S4]]=TRUE,Tbl_ResidentData[[#This Row],[P4]]=TRUE),1,0)</f>
        <v>0</v>
      </c>
      <c r="CS31" s="120">
        <f ca="1">IF(OR(Tbl_ResidentData[[#This Row],[S5]]=TRUE,Tbl_ResidentData[[#This Row],[P5]]=TRUE),1,0)</f>
        <v>0</v>
      </c>
      <c r="CT31" s="120">
        <f ca="1">IF(OR(Tbl_ResidentData[[#This Row],[S6]]=TRUE,Tbl_ResidentData[[#This Row],[P6]]=TRUE),1,0)</f>
        <v>0</v>
      </c>
      <c r="CU31" s="120">
        <f ca="1">IF(OR(Tbl_ResidentData[[#This Row],[S7]]=TRUE,Tbl_ResidentData[[#This Row],[P7]]=TRUE),1,0)</f>
        <v>0</v>
      </c>
      <c r="CV31" s="120">
        <f ca="1">IF(OR(Tbl_ResidentData[[#This Row],[S8]]=TRUE,Tbl_ResidentData[[#This Row],[P8]]=TRUE),1,0)</f>
        <v>0</v>
      </c>
      <c r="CW31" s="120">
        <f ca="1">IF(OR(Tbl_ResidentData[[#This Row],[S9]]=TRUE,Tbl_ResidentData[[#This Row],[P9]]=TRUE),1,0)</f>
        <v>0</v>
      </c>
      <c r="CX31" s="120">
        <f ca="1">IF(OR(Tbl_ResidentData[[#This Row],[S10]]=TRUE,Tbl_ResidentData[[#This Row],[P10]]=TRUE),1,0)</f>
        <v>0</v>
      </c>
      <c r="CY31" s="120">
        <f ca="1">IF(OR(Tbl_ResidentData[[#This Row],[S11]]=TRUE,Tbl_ResidentData[[#This Row],[P11]]=TRUE),1,0)</f>
        <v>0</v>
      </c>
      <c r="CZ31" s="120">
        <f ca="1">IF(OR(Tbl_ResidentData[[#This Row],[S12]]=TRUE,Tbl_ResidentData[[#This Row],[P12]]=TRUE),1,0)</f>
        <v>0</v>
      </c>
      <c r="DA31" s="120">
        <f ca="1">IF(OR(Tbl_ResidentData[[#This Row],[S13]]=TRUE,Tbl_ResidentData[[#This Row],[P13]]=TRUE),1,0)</f>
        <v>0</v>
      </c>
      <c r="DB31" s="120">
        <f ca="1">IF(OR(Tbl_ResidentData[[#This Row],[S14]]=TRUE,Tbl_ResidentData[[#This Row],[P14]]=TRUE),1,0)</f>
        <v>0</v>
      </c>
      <c r="DC31" s="120">
        <f ca="1">IF(OR(Tbl_ResidentData[[#This Row],[S15]]=TRUE,Tbl_ResidentData[[#This Row],[P15]]=TRUE),1,0)</f>
        <v>0</v>
      </c>
      <c r="DD31" s="120">
        <f ca="1">IF(OR(Tbl_ResidentData[[#This Row],[S16]]=TRUE,Tbl_ResidentData[[#This Row],[P16]]=TRUE),1,0)</f>
        <v>0</v>
      </c>
      <c r="DE31" s="120">
        <f ca="1">IF(OR(Tbl_ResidentData[[#This Row],[S17]]=TRUE,Tbl_ResidentData[[#This Row],[P17]]=TRUE),1,0)</f>
        <v>0</v>
      </c>
      <c r="DF31" s="120">
        <f ca="1">IF(OR(Tbl_ResidentData[[#This Row],[S18]]=TRUE,Tbl_ResidentData[[#This Row],[P18]]=TRUE),1,0)</f>
        <v>0</v>
      </c>
      <c r="DG31" s="120">
        <f ca="1">IF(OR(Tbl_ResidentData[[#This Row],[S19]]=TRUE,Tbl_ResidentData[[#This Row],[P19]]=TRUE),1,0)</f>
        <v>0</v>
      </c>
      <c r="DH31" s="120">
        <f ca="1">IF(OR(Tbl_ResidentData[[#This Row],[S20]]=TRUE,Tbl_ResidentData[[#This Row],[P20]]=TRUE),1,0)</f>
        <v>0</v>
      </c>
      <c r="DI31" s="120">
        <f ca="1">IF(OR(Tbl_ResidentData[[#This Row],[S21]]=TRUE,Tbl_ResidentData[[#This Row],[P21]]=TRUE),1,0)</f>
        <v>0</v>
      </c>
      <c r="DJ31" s="120">
        <f ca="1">IF(OR(Tbl_ResidentData[[#This Row],[S22]]=TRUE,Tbl_ResidentData[[#This Row],[P22]]=TRUE),1,0)</f>
        <v>0</v>
      </c>
      <c r="DK31" s="120">
        <f ca="1">IF(OR(Tbl_ResidentData[[#This Row],[S23]]=TRUE,Tbl_ResidentData[[#This Row],[P23]]=TRUE),1,0)</f>
        <v>0</v>
      </c>
      <c r="DL31" s="120">
        <f ca="1">IF(OR(Tbl_ResidentData[[#This Row],[S24]]=TRUE,Tbl_ResidentData[[#This Row],[P24]]=TRUE),1,0)</f>
        <v>0</v>
      </c>
      <c r="DM31" s="123" t="str">
        <f ca="1">IFERROR(INDEX($CO$4:$DL$4,MATCH(TRUE,INDEX((Tbl_ResidentData[[#This Row],[Over1]:[Over24]]&lt;&gt;0),0),0)),"")</f>
        <v/>
      </c>
      <c r="DN31" s="133" t="str">
        <f>IFERROR(INDEX(Tbl_PDSAData[Last DRT],MATCH(Tbl_ResidentData[Resident Name '[last, first']],Tbl_PDSAData[Resident Name (last, first)],0)),"")</f>
        <v/>
      </c>
      <c r="DO31" s="222" t="str">
        <f>IFERROR(INDEX(Tbl_PDSAData[Last MR],MATCH(Tbl_ResidentData[Resident Name '[last, first']],Tbl_PDSAData[Resident Name (last, first)],0)),"")</f>
        <v/>
      </c>
    </row>
    <row r="32" spans="1:119" x14ac:dyDescent="0.25">
      <c r="A32" s="179"/>
      <c r="B32" s="180"/>
      <c r="C32" s="180"/>
      <c r="D32" s="218"/>
      <c r="E32" s="179"/>
      <c r="F32" s="257"/>
      <c r="G32" s="376"/>
      <c r="H32" s="375"/>
      <c r="I32" s="186"/>
      <c r="J32" s="387"/>
      <c r="K32" s="178"/>
      <c r="L32" s="388"/>
      <c r="M32" s="187"/>
      <c r="N32" s="387"/>
      <c r="O32" s="178"/>
      <c r="P32" s="388"/>
      <c r="Q32" s="394"/>
      <c r="R32" s="388"/>
      <c r="S32" s="132" t="str">
        <f>IF(ISBLANK(Tbl_ResidentData[[#This Row],[Discharge '[mmm-yyyy']]]),IF(ISBLANK(Tbl_ResidentData[[#This Row],[Enrollment '[mmm-yyyy']]]),"","In Care Home"),"Discharged")</f>
        <v/>
      </c>
      <c r="T32" s="128" t="str">
        <f>IF(ISBLANK(Tbl_ResidentData[[#This Row],[Diagnosis (RAI)]]),IF(ISBLANK(Tbl_ResidentData[[#This Row],[Resident Name '[last, first']]]),"",0),IF(Tbl_ResidentData[[#This Row],[Diagnosis (RAI)]]="Other (see clinical notes)",0,1))</f>
        <v/>
      </c>
      <c r="U32" s="129" t="str">
        <f ca="1">IF(U$4&gt;NOW(),"-",IF(ISBLANK(Tbl_ResidentData[[#This Row],[Enrollment '[mmm-yyyy']]]),"-",AND((Tbl_ResidentData[[#This Row],[Enrollment '[mmm-yyyy']]]&lt;=U$4),IF(ISBLANK(Tbl_ResidentData[[#This Row],[Discharge '[mmm-yyyy']]]),TRUE,(Tbl_ResidentData[[#This Row],[Discharge '[mmm-yyyy']]]&gt;=U$4)))))</f>
        <v>-</v>
      </c>
      <c r="V32" s="121" t="str">
        <f ca="1">IF(V$4&gt;NOW(),"-",IF(ISBLANK(Tbl_ResidentData[[#This Row],[Enrollment '[mmm-yyyy']]]),"-",AND((Tbl_ResidentData[[#This Row],[Enrollment '[mmm-yyyy']]]&lt;=V$4),IF(ISBLANK(Tbl_ResidentData[[#This Row],[Discharge '[mmm-yyyy']]]),TRUE,(Tbl_ResidentData[[#This Row],[Discharge '[mmm-yyyy']]]&gt;=V$4)))))</f>
        <v>-</v>
      </c>
      <c r="W32" s="121" t="str">
        <f ca="1">IF(W$4&gt;NOW(),"-",IF(ISBLANK(Tbl_ResidentData[[#This Row],[Enrollment '[mmm-yyyy']]]),"-",AND((Tbl_ResidentData[[#This Row],[Enrollment '[mmm-yyyy']]]&lt;=W$4),IF(ISBLANK(Tbl_ResidentData[[#This Row],[Discharge '[mmm-yyyy']]]),TRUE,(Tbl_ResidentData[[#This Row],[Discharge '[mmm-yyyy']]]&gt;=W$4)))))</f>
        <v>-</v>
      </c>
      <c r="X32" s="121" t="str">
        <f ca="1">IF(X$4&gt;NOW(),"-",IF(ISBLANK(Tbl_ResidentData[[#This Row],[Enrollment '[mmm-yyyy']]]),"-",AND((Tbl_ResidentData[[#This Row],[Enrollment '[mmm-yyyy']]]&lt;=X$4),IF(ISBLANK(Tbl_ResidentData[[#This Row],[Discharge '[mmm-yyyy']]]),TRUE,(Tbl_ResidentData[[#This Row],[Discharge '[mmm-yyyy']]]&gt;=X$4)))))</f>
        <v>-</v>
      </c>
      <c r="Y32" s="121" t="str">
        <f ca="1">IF(Y$4&gt;NOW(),"-",IF(ISBLANK(Tbl_ResidentData[[#This Row],[Enrollment '[mmm-yyyy']]]),"-",AND((Tbl_ResidentData[[#This Row],[Enrollment '[mmm-yyyy']]]&lt;=Y$4),IF(ISBLANK(Tbl_ResidentData[[#This Row],[Discharge '[mmm-yyyy']]]),TRUE,(Tbl_ResidentData[[#This Row],[Discharge '[mmm-yyyy']]]&gt;=Y$4)))))</f>
        <v>-</v>
      </c>
      <c r="Z32" s="121" t="str">
        <f ca="1">IF(Z$4&gt;NOW(),"-",IF(ISBLANK(Tbl_ResidentData[[#This Row],[Enrollment '[mmm-yyyy']]]),"-",AND((Tbl_ResidentData[[#This Row],[Enrollment '[mmm-yyyy']]]&lt;=Z$4),IF(ISBLANK(Tbl_ResidentData[[#This Row],[Discharge '[mmm-yyyy']]]),TRUE,(Tbl_ResidentData[[#This Row],[Discharge '[mmm-yyyy']]]&gt;=Z$4)))))</f>
        <v>-</v>
      </c>
      <c r="AA32" s="121" t="str">
        <f ca="1">IF(AA$4&gt;NOW(),"-",IF(ISBLANK(Tbl_ResidentData[[#This Row],[Enrollment '[mmm-yyyy']]]),"-",AND((Tbl_ResidentData[[#This Row],[Enrollment '[mmm-yyyy']]]&lt;=AA$4),IF(ISBLANK(Tbl_ResidentData[[#This Row],[Discharge '[mmm-yyyy']]]),TRUE,(Tbl_ResidentData[[#This Row],[Discharge '[mmm-yyyy']]]&gt;=AA$4)))))</f>
        <v>-</v>
      </c>
      <c r="AB32" s="121" t="str">
        <f ca="1">IF(AB$4&gt;NOW(),"-",IF(ISBLANK(Tbl_ResidentData[[#This Row],[Enrollment '[mmm-yyyy']]]),"-",AND((Tbl_ResidentData[[#This Row],[Enrollment '[mmm-yyyy']]]&lt;=AB$4),IF(ISBLANK(Tbl_ResidentData[[#This Row],[Discharge '[mmm-yyyy']]]),TRUE,(Tbl_ResidentData[[#This Row],[Discharge '[mmm-yyyy']]]&gt;=AB$4)))))</f>
        <v>-</v>
      </c>
      <c r="AC32" s="121" t="str">
        <f ca="1">IF(AC$4&gt;NOW(),"-",IF(ISBLANK(Tbl_ResidentData[[#This Row],[Enrollment '[mmm-yyyy']]]),"-",AND((Tbl_ResidentData[[#This Row],[Enrollment '[mmm-yyyy']]]&lt;=AC$4),IF(ISBLANK(Tbl_ResidentData[[#This Row],[Discharge '[mmm-yyyy']]]),TRUE,(Tbl_ResidentData[[#This Row],[Discharge '[mmm-yyyy']]]&gt;=AC$4)))))</f>
        <v>-</v>
      </c>
      <c r="AD32" s="121" t="str">
        <f ca="1">IF(AD$4&gt;NOW(),"-",IF(ISBLANK(Tbl_ResidentData[[#This Row],[Enrollment '[mmm-yyyy']]]),"-",AND((Tbl_ResidentData[[#This Row],[Enrollment '[mmm-yyyy']]]&lt;=AD$4),IF(ISBLANK(Tbl_ResidentData[[#This Row],[Discharge '[mmm-yyyy']]]),TRUE,(Tbl_ResidentData[[#This Row],[Discharge '[mmm-yyyy']]]&gt;=AD$4)))))</f>
        <v>-</v>
      </c>
      <c r="AE32" s="121" t="str">
        <f ca="1">IF(AE$4&gt;NOW(),"-",IF(ISBLANK(Tbl_ResidentData[[#This Row],[Enrollment '[mmm-yyyy']]]),"-",AND((Tbl_ResidentData[[#This Row],[Enrollment '[mmm-yyyy']]]&lt;=AE$4),IF(ISBLANK(Tbl_ResidentData[[#This Row],[Discharge '[mmm-yyyy']]]),TRUE,(Tbl_ResidentData[[#This Row],[Discharge '[mmm-yyyy']]]&gt;=AE$4)))))</f>
        <v>-</v>
      </c>
      <c r="AF32" s="121" t="str">
        <f ca="1">IF(AF$4&gt;NOW(),"-",IF(ISBLANK(Tbl_ResidentData[[#This Row],[Enrollment '[mmm-yyyy']]]),"-",AND((Tbl_ResidentData[[#This Row],[Enrollment '[mmm-yyyy']]]&lt;=AF$4),IF(ISBLANK(Tbl_ResidentData[[#This Row],[Discharge '[mmm-yyyy']]]),TRUE,(Tbl_ResidentData[[#This Row],[Discharge '[mmm-yyyy']]]&gt;=AF$4)))))</f>
        <v>-</v>
      </c>
      <c r="AG32" s="121" t="str">
        <f ca="1">IF(AG$4&gt;NOW(),"-",IF(ISBLANK(Tbl_ResidentData[[#This Row],[Enrollment '[mmm-yyyy']]]),"-",AND((Tbl_ResidentData[[#This Row],[Enrollment '[mmm-yyyy']]]&lt;=AG$4),IF(ISBLANK(Tbl_ResidentData[[#This Row],[Discharge '[mmm-yyyy']]]),TRUE,(Tbl_ResidentData[[#This Row],[Discharge '[mmm-yyyy']]]&gt;=AG$4)))))</f>
        <v>-</v>
      </c>
      <c r="AH32" s="121" t="str">
        <f ca="1">IF(AH$4&gt;NOW(),"-",IF(ISBLANK(Tbl_ResidentData[[#This Row],[Enrollment '[mmm-yyyy']]]),"-",AND((Tbl_ResidentData[[#This Row],[Enrollment '[mmm-yyyy']]]&lt;=AH$4),IF(ISBLANK(Tbl_ResidentData[[#This Row],[Discharge '[mmm-yyyy']]]),TRUE,(Tbl_ResidentData[[#This Row],[Discharge '[mmm-yyyy']]]&gt;=AH$4)))))</f>
        <v>-</v>
      </c>
      <c r="AI32" s="121" t="str">
        <f ca="1">IF(AI$4&gt;NOW(),"-",IF(ISBLANK(Tbl_ResidentData[[#This Row],[Enrollment '[mmm-yyyy']]]),"-",AND((Tbl_ResidentData[[#This Row],[Enrollment '[mmm-yyyy']]]&lt;=AI$4),IF(ISBLANK(Tbl_ResidentData[[#This Row],[Discharge '[mmm-yyyy']]]),TRUE,(Tbl_ResidentData[[#This Row],[Discharge '[mmm-yyyy']]]&gt;=AI$4)))))</f>
        <v>-</v>
      </c>
      <c r="AJ32" s="121" t="str">
        <f ca="1">IF(AJ$4&gt;NOW(),"-",IF(ISBLANK(Tbl_ResidentData[[#This Row],[Enrollment '[mmm-yyyy']]]),"-",AND((Tbl_ResidentData[[#This Row],[Enrollment '[mmm-yyyy']]]&lt;=AJ$4),IF(ISBLANK(Tbl_ResidentData[[#This Row],[Discharge '[mmm-yyyy']]]),TRUE,(Tbl_ResidentData[[#This Row],[Discharge '[mmm-yyyy']]]&gt;=AJ$4)))))</f>
        <v>-</v>
      </c>
      <c r="AK32" s="121" t="str">
        <f ca="1">IF(AK$4&gt;NOW(),"-",IF(ISBLANK(Tbl_ResidentData[[#This Row],[Enrollment '[mmm-yyyy']]]),"-",AND((Tbl_ResidentData[[#This Row],[Enrollment '[mmm-yyyy']]]&lt;=AK$4),IF(ISBLANK(Tbl_ResidentData[[#This Row],[Discharge '[mmm-yyyy']]]),TRUE,(Tbl_ResidentData[[#This Row],[Discharge '[mmm-yyyy']]]&gt;=AK$4)))))</f>
        <v>-</v>
      </c>
      <c r="AL32" s="121" t="str">
        <f ca="1">IF(AL$4&gt;NOW(),"-",IF(ISBLANK(Tbl_ResidentData[[#This Row],[Enrollment '[mmm-yyyy']]]),"-",AND((Tbl_ResidentData[[#This Row],[Enrollment '[mmm-yyyy']]]&lt;=AL$4),IF(ISBLANK(Tbl_ResidentData[[#This Row],[Discharge '[mmm-yyyy']]]),TRUE,(Tbl_ResidentData[[#This Row],[Discharge '[mmm-yyyy']]]&gt;=AL$4)))))</f>
        <v>-</v>
      </c>
      <c r="AM32" s="121" t="str">
        <f ca="1">IF(AM$4&gt;NOW(),"-",IF(ISBLANK(Tbl_ResidentData[[#This Row],[Enrollment '[mmm-yyyy']]]),"-",AND((Tbl_ResidentData[[#This Row],[Enrollment '[mmm-yyyy']]]&lt;=AM$4),IF(ISBLANK(Tbl_ResidentData[[#This Row],[Discharge '[mmm-yyyy']]]),TRUE,(Tbl_ResidentData[[#This Row],[Discharge '[mmm-yyyy']]]&gt;=AM$4)))))</f>
        <v>-</v>
      </c>
      <c r="AN32" s="121" t="str">
        <f ca="1">IF(AN$4&gt;NOW(),"-",IF(ISBLANK(Tbl_ResidentData[[#This Row],[Enrollment '[mmm-yyyy']]]),"-",AND((Tbl_ResidentData[[#This Row],[Enrollment '[mmm-yyyy']]]&lt;=AN$4),IF(ISBLANK(Tbl_ResidentData[[#This Row],[Discharge '[mmm-yyyy']]]),TRUE,(Tbl_ResidentData[[#This Row],[Discharge '[mmm-yyyy']]]&gt;=AN$4)))))</f>
        <v>-</v>
      </c>
      <c r="AO32" s="121" t="str">
        <f ca="1">IF(AO$4&gt;NOW(),"-",IF(ISBLANK(Tbl_ResidentData[[#This Row],[Enrollment '[mmm-yyyy']]]),"-",AND((Tbl_ResidentData[[#This Row],[Enrollment '[mmm-yyyy']]]&lt;=AO$4),IF(ISBLANK(Tbl_ResidentData[[#This Row],[Discharge '[mmm-yyyy']]]),TRUE,(Tbl_ResidentData[[#This Row],[Discharge '[mmm-yyyy']]]&gt;=AO$4)))))</f>
        <v>-</v>
      </c>
      <c r="AP32" s="121" t="str">
        <f ca="1">IF(AP$4&gt;NOW(),"-",IF(ISBLANK(Tbl_ResidentData[[#This Row],[Enrollment '[mmm-yyyy']]]),"-",AND((Tbl_ResidentData[[#This Row],[Enrollment '[mmm-yyyy']]]&lt;=AP$4),IF(ISBLANK(Tbl_ResidentData[[#This Row],[Discharge '[mmm-yyyy']]]),TRUE,(Tbl_ResidentData[[#This Row],[Discharge '[mmm-yyyy']]]&gt;=AP$4)))))</f>
        <v>-</v>
      </c>
      <c r="AQ32" s="121" t="str">
        <f ca="1">IF(AQ$4&gt;NOW(),"-",IF(ISBLANK(Tbl_ResidentData[[#This Row],[Enrollment '[mmm-yyyy']]]),"-",AND((Tbl_ResidentData[[#This Row],[Enrollment '[mmm-yyyy']]]&lt;=AQ$4),IF(ISBLANK(Tbl_ResidentData[[#This Row],[Discharge '[mmm-yyyy']]]),TRUE,(Tbl_ResidentData[[#This Row],[Discharge '[mmm-yyyy']]]&gt;=AQ$4)))))</f>
        <v>-</v>
      </c>
      <c r="AR32" s="122" t="str">
        <f ca="1">IF(AR$4&gt;NOW(),"-",IF(ISBLANK(Tbl_ResidentData[[#This Row],[Enrollment '[mmm-yyyy']]]),"-",AND((Tbl_ResidentData[[#This Row],[Enrollment '[mmm-yyyy']]]&lt;=AR$4),IF(ISBLANK(Tbl_ResidentData[[#This Row],[Discharge '[mmm-yyyy']]]),TRUE,(Tbl_ResidentData[[#This Row],[Discharge '[mmm-yyyy']]]&gt;=AR$4)))))</f>
        <v>-</v>
      </c>
      <c r="AS3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32"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32"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32"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32"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32"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32"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32"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32"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32"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32"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32"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32"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32"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32"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32"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32"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32"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32"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32"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32"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3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3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3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32" s="120" t="b">
        <f ca="1">AND(Tbl_ResidentData[[#This Row],[PRN Med Started]]&lt;&gt;"",Tbl_ResidentData[[#This Row],[PRN Med Started]]&lt;=NOW(),Tbl_ResidentData[[#This Row],[PRN Med Started]]&lt;=AS$4,OR(Tbl_ResidentData[[#This Row],[PRN Med Discontinued]]&gt;AS$4,ISBLANK(Tbl_ResidentData[[#This Row],[PRN Med Discontinued]])))</f>
        <v>0</v>
      </c>
      <c r="BR32" s="121" t="b">
        <f ca="1">AND(Tbl_ResidentData[[#This Row],[PRN Med Started]]&lt;&gt;"",Tbl_ResidentData[[#This Row],[PRN Med Started]]&lt;=NOW(),Tbl_ResidentData[[#This Row],[PRN Med Started]]&lt;=AT$4,OR(Tbl_ResidentData[[#This Row],[PRN Med Discontinued]]&gt;AT$4,ISBLANK(Tbl_ResidentData[[#This Row],[PRN Med Discontinued]])))</f>
        <v>0</v>
      </c>
      <c r="BS32" s="129" t="b">
        <f ca="1">AND(Tbl_ResidentData[[#This Row],[PRN Med Started]]&lt;&gt;"",Tbl_ResidentData[[#This Row],[PRN Med Started]]&lt;=NOW(),Tbl_ResidentData[[#This Row],[PRN Med Started]]&lt;=AU$4,OR(Tbl_ResidentData[[#This Row],[PRN Med Discontinued]]&gt;AU$4,ISBLANK(Tbl_ResidentData[[#This Row],[PRN Med Discontinued]])))</f>
        <v>0</v>
      </c>
      <c r="BT32" s="129" t="b">
        <f ca="1">AND(Tbl_ResidentData[[#This Row],[PRN Med Started]]&lt;&gt;"",Tbl_ResidentData[[#This Row],[PRN Med Started]]&lt;=NOW(),Tbl_ResidentData[[#This Row],[PRN Med Started]]&lt;=AV$4,OR(Tbl_ResidentData[[#This Row],[PRN Med Discontinued]]&gt;AV$4,ISBLANK(Tbl_ResidentData[[#This Row],[PRN Med Discontinued]])))</f>
        <v>0</v>
      </c>
      <c r="BU32" s="129" t="b">
        <f ca="1">AND(Tbl_ResidentData[[#This Row],[PRN Med Started]]&lt;&gt;"",Tbl_ResidentData[[#This Row],[PRN Med Started]]&lt;=NOW(),Tbl_ResidentData[[#This Row],[PRN Med Started]]&lt;=AW$4,OR(Tbl_ResidentData[[#This Row],[PRN Med Discontinued]]&gt;AW$4,ISBLANK(Tbl_ResidentData[[#This Row],[PRN Med Discontinued]])))</f>
        <v>0</v>
      </c>
      <c r="BV32" s="129" t="b">
        <f ca="1">AND(Tbl_ResidentData[[#This Row],[PRN Med Started]]&lt;&gt;"",Tbl_ResidentData[[#This Row],[PRN Med Started]]&lt;=NOW(),Tbl_ResidentData[[#This Row],[PRN Med Started]]&lt;=AX$4,OR(Tbl_ResidentData[[#This Row],[PRN Med Discontinued]]&gt;AX$4,ISBLANK(Tbl_ResidentData[[#This Row],[PRN Med Discontinued]])))</f>
        <v>0</v>
      </c>
      <c r="BW32" s="129" t="b">
        <f ca="1">AND(Tbl_ResidentData[[#This Row],[PRN Med Started]]&lt;&gt;"",Tbl_ResidentData[[#This Row],[PRN Med Started]]&lt;=NOW(),Tbl_ResidentData[[#This Row],[PRN Med Started]]&lt;=AY$4,OR(Tbl_ResidentData[[#This Row],[PRN Med Discontinued]]&gt;AY$4,ISBLANK(Tbl_ResidentData[[#This Row],[PRN Med Discontinued]])))</f>
        <v>0</v>
      </c>
      <c r="BX32" s="129" t="b">
        <f ca="1">AND(Tbl_ResidentData[[#This Row],[PRN Med Started]]&lt;&gt;"",Tbl_ResidentData[[#This Row],[PRN Med Started]]&lt;=NOW(),Tbl_ResidentData[[#This Row],[PRN Med Started]]&lt;=AZ$4,OR(Tbl_ResidentData[[#This Row],[PRN Med Discontinued]]&gt;AZ$4,ISBLANK(Tbl_ResidentData[[#This Row],[PRN Med Discontinued]])))</f>
        <v>0</v>
      </c>
      <c r="BY32" s="129" t="b">
        <f ca="1">AND(Tbl_ResidentData[[#This Row],[PRN Med Started]]&lt;&gt;"",Tbl_ResidentData[[#This Row],[PRN Med Started]]&lt;=NOW(),Tbl_ResidentData[[#This Row],[PRN Med Started]]&lt;=BA$4,OR(Tbl_ResidentData[[#This Row],[PRN Med Discontinued]]&gt;BA$4,ISBLANK(Tbl_ResidentData[[#This Row],[PRN Med Discontinued]])))</f>
        <v>0</v>
      </c>
      <c r="BZ32" s="129" t="b">
        <f ca="1">AND(Tbl_ResidentData[[#This Row],[PRN Med Started]]&lt;&gt;"",Tbl_ResidentData[[#This Row],[PRN Med Started]]&lt;=NOW(),Tbl_ResidentData[[#This Row],[PRN Med Started]]&lt;=BB$4,OR(Tbl_ResidentData[[#This Row],[PRN Med Discontinued]]&gt;BB$4,ISBLANK(Tbl_ResidentData[[#This Row],[PRN Med Discontinued]])))</f>
        <v>0</v>
      </c>
      <c r="CA32" s="129" t="b">
        <f ca="1">AND(Tbl_ResidentData[[#This Row],[PRN Med Started]]&lt;&gt;"",Tbl_ResidentData[[#This Row],[PRN Med Started]]&lt;=NOW(),Tbl_ResidentData[[#This Row],[PRN Med Started]]&lt;=BC$4,OR(Tbl_ResidentData[[#This Row],[PRN Med Discontinued]]&gt;BC$4,ISBLANK(Tbl_ResidentData[[#This Row],[PRN Med Discontinued]])))</f>
        <v>0</v>
      </c>
      <c r="CB32" s="129" t="b">
        <f ca="1">AND(Tbl_ResidentData[[#This Row],[PRN Med Started]]&lt;&gt;"",Tbl_ResidentData[[#This Row],[PRN Med Started]]&lt;=NOW(),Tbl_ResidentData[[#This Row],[PRN Med Started]]&lt;=BD$4,OR(Tbl_ResidentData[[#This Row],[PRN Med Discontinued]]&gt;BD$4,ISBLANK(Tbl_ResidentData[[#This Row],[PRN Med Discontinued]])))</f>
        <v>0</v>
      </c>
      <c r="CC32" s="129" t="b">
        <f ca="1">AND(Tbl_ResidentData[[#This Row],[PRN Med Started]]&lt;&gt;"",Tbl_ResidentData[[#This Row],[PRN Med Started]]&lt;=NOW(),Tbl_ResidentData[[#This Row],[PRN Med Started]]&lt;=BE$4,OR(Tbl_ResidentData[[#This Row],[PRN Med Discontinued]]&gt;BE$4,ISBLANK(Tbl_ResidentData[[#This Row],[PRN Med Discontinued]])))</f>
        <v>0</v>
      </c>
      <c r="CD32" s="129" t="b">
        <f ca="1">AND(Tbl_ResidentData[[#This Row],[PRN Med Started]]&lt;&gt;"",Tbl_ResidentData[[#This Row],[PRN Med Started]]&lt;=NOW(),Tbl_ResidentData[[#This Row],[PRN Med Started]]&lt;=BF$4,OR(Tbl_ResidentData[[#This Row],[PRN Med Discontinued]]&gt;BF$4,ISBLANK(Tbl_ResidentData[[#This Row],[PRN Med Discontinued]])))</f>
        <v>0</v>
      </c>
      <c r="CE32" s="129" t="b">
        <f ca="1">AND(Tbl_ResidentData[[#This Row],[PRN Med Started]]&lt;&gt;"",Tbl_ResidentData[[#This Row],[PRN Med Started]]&lt;=NOW(),Tbl_ResidentData[[#This Row],[PRN Med Started]]&lt;=BG$4,OR(Tbl_ResidentData[[#This Row],[PRN Med Discontinued]]&gt;BG$4,ISBLANK(Tbl_ResidentData[[#This Row],[PRN Med Discontinued]])))</f>
        <v>0</v>
      </c>
      <c r="CF32" s="129" t="b">
        <f ca="1">AND(Tbl_ResidentData[[#This Row],[PRN Med Started]]&lt;&gt;"",Tbl_ResidentData[[#This Row],[PRN Med Started]]&lt;=NOW(),Tbl_ResidentData[[#This Row],[PRN Med Started]]&lt;=BH$4,OR(Tbl_ResidentData[[#This Row],[PRN Med Discontinued]]&gt;BH$4,ISBLANK(Tbl_ResidentData[[#This Row],[PRN Med Discontinued]])))</f>
        <v>0</v>
      </c>
      <c r="CG32" s="129" t="b">
        <f ca="1">AND(Tbl_ResidentData[[#This Row],[PRN Med Started]]&lt;&gt;"",Tbl_ResidentData[[#This Row],[PRN Med Started]]&lt;=NOW(),Tbl_ResidentData[[#This Row],[PRN Med Started]]&lt;=BI$4,OR(Tbl_ResidentData[[#This Row],[PRN Med Discontinued]]&gt;BI$4,ISBLANK(Tbl_ResidentData[[#This Row],[PRN Med Discontinued]])))</f>
        <v>0</v>
      </c>
      <c r="CH32" s="129" t="b">
        <f ca="1">AND(Tbl_ResidentData[[#This Row],[PRN Med Started]]&lt;&gt;"",Tbl_ResidentData[[#This Row],[PRN Med Started]]&lt;=NOW(),Tbl_ResidentData[[#This Row],[PRN Med Started]]&lt;=BJ$4,OR(Tbl_ResidentData[[#This Row],[PRN Med Discontinued]]&gt;BJ$4,ISBLANK(Tbl_ResidentData[[#This Row],[PRN Med Discontinued]])))</f>
        <v>0</v>
      </c>
      <c r="CI32" s="129" t="b">
        <f ca="1">AND(Tbl_ResidentData[[#This Row],[PRN Med Started]]&lt;&gt;"",Tbl_ResidentData[[#This Row],[PRN Med Started]]&lt;=NOW(),Tbl_ResidentData[[#This Row],[PRN Med Started]]&lt;=BK$4,OR(Tbl_ResidentData[[#This Row],[PRN Med Discontinued]]&gt;BK$4,ISBLANK(Tbl_ResidentData[[#This Row],[PRN Med Discontinued]])))</f>
        <v>0</v>
      </c>
      <c r="CJ32" s="129" t="b">
        <f ca="1">AND(Tbl_ResidentData[[#This Row],[PRN Med Started]]&lt;&gt;"",Tbl_ResidentData[[#This Row],[PRN Med Started]]&lt;=NOW(),Tbl_ResidentData[[#This Row],[PRN Med Started]]&lt;=BL$4,OR(Tbl_ResidentData[[#This Row],[PRN Med Discontinued]]&gt;BL$4,ISBLANK(Tbl_ResidentData[[#This Row],[PRN Med Discontinued]])))</f>
        <v>0</v>
      </c>
      <c r="CK32" s="129" t="b">
        <f ca="1">AND(Tbl_ResidentData[[#This Row],[PRN Med Started]]&lt;&gt;"",Tbl_ResidentData[[#This Row],[PRN Med Started]]&lt;=NOW(),Tbl_ResidentData[[#This Row],[PRN Med Started]]&lt;=BM$4,OR(Tbl_ResidentData[[#This Row],[PRN Med Discontinued]]&gt;BM$4,ISBLANK(Tbl_ResidentData[[#This Row],[PRN Med Discontinued]])))</f>
        <v>0</v>
      </c>
      <c r="CL32" s="129" t="b">
        <f ca="1">AND(Tbl_ResidentData[[#This Row],[PRN Med Started]]&lt;&gt;"",Tbl_ResidentData[[#This Row],[PRN Med Started]]&lt;=NOW(),Tbl_ResidentData[[#This Row],[PRN Med Started]]&lt;=BN$4,OR(Tbl_ResidentData[[#This Row],[PRN Med Discontinued]]&gt;BN$4,ISBLANK(Tbl_ResidentData[[#This Row],[PRN Med Discontinued]])))</f>
        <v>0</v>
      </c>
      <c r="CM32" s="121" t="b">
        <f ca="1">AND(Tbl_ResidentData[[#This Row],[PRN Med Started]]&lt;&gt;"",Tbl_ResidentData[[#This Row],[PRN Med Started]]&lt;=NOW(),Tbl_ResidentData[[#This Row],[PRN Med Started]]&lt;=BO$4,OR(Tbl_ResidentData[[#This Row],[PRN Med Discontinued]]&gt;BO$4,ISBLANK(Tbl_ResidentData[[#This Row],[PRN Med Discontinued]])))</f>
        <v>0</v>
      </c>
      <c r="CN32" s="122" t="b">
        <f ca="1">AND(Tbl_ResidentData[[#This Row],[PRN Med Started]]&lt;&gt;"",Tbl_ResidentData[[#This Row],[PRN Med Started]]&lt;=NOW(),Tbl_ResidentData[[#This Row],[PRN Med Started]]&lt;=BP$4,OR(Tbl_ResidentData[[#This Row],[PRN Med Discontinued]]&gt;BP$4,ISBLANK(Tbl_ResidentData[[#This Row],[PRN Med Discontinued]])))</f>
        <v>0</v>
      </c>
      <c r="CO32" s="120">
        <f ca="1">IF(OR(Tbl_ResidentData[[#This Row],[S1]]=TRUE,Tbl_ResidentData[[#This Row],[P1]]=TRUE),1,0)</f>
        <v>0</v>
      </c>
      <c r="CP32" s="121">
        <f ca="1">IF(OR(Tbl_ResidentData[[#This Row],[S2]]=TRUE,Tbl_ResidentData[[#This Row],[P2]]=TRUE),1,0)</f>
        <v>0</v>
      </c>
      <c r="CQ32" s="121">
        <f ca="1">IF(OR(Tbl_ResidentData[[#This Row],[S3]]=TRUE,Tbl_ResidentData[[#This Row],[P3]]=TRUE),1,0)</f>
        <v>0</v>
      </c>
      <c r="CR32" s="130">
        <f ca="1">IF(OR(Tbl_ResidentData[[#This Row],[S4]]=TRUE,Tbl_ResidentData[[#This Row],[P4]]=TRUE),1,0)</f>
        <v>0</v>
      </c>
      <c r="CS32" s="130">
        <f ca="1">IF(OR(Tbl_ResidentData[[#This Row],[S5]]=TRUE,Tbl_ResidentData[[#This Row],[P5]]=TRUE),1,0)</f>
        <v>0</v>
      </c>
      <c r="CT32" s="130">
        <f ca="1">IF(OR(Tbl_ResidentData[[#This Row],[S6]]=TRUE,Tbl_ResidentData[[#This Row],[P6]]=TRUE),1,0)</f>
        <v>0</v>
      </c>
      <c r="CU32" s="130">
        <f ca="1">IF(OR(Tbl_ResidentData[[#This Row],[S7]]=TRUE,Tbl_ResidentData[[#This Row],[P7]]=TRUE),1,0)</f>
        <v>0</v>
      </c>
      <c r="CV32" s="130">
        <f ca="1">IF(OR(Tbl_ResidentData[[#This Row],[S8]]=TRUE,Tbl_ResidentData[[#This Row],[P8]]=TRUE),1,0)</f>
        <v>0</v>
      </c>
      <c r="CW32" s="130">
        <f ca="1">IF(OR(Tbl_ResidentData[[#This Row],[S9]]=TRUE,Tbl_ResidentData[[#This Row],[P9]]=TRUE),1,0)</f>
        <v>0</v>
      </c>
      <c r="CX32" s="130">
        <f ca="1">IF(OR(Tbl_ResidentData[[#This Row],[S10]]=TRUE,Tbl_ResidentData[[#This Row],[P10]]=TRUE),1,0)</f>
        <v>0</v>
      </c>
      <c r="CY32" s="130">
        <f ca="1">IF(OR(Tbl_ResidentData[[#This Row],[S11]]=TRUE,Tbl_ResidentData[[#This Row],[P11]]=TRUE),1,0)</f>
        <v>0</v>
      </c>
      <c r="CZ32" s="130">
        <f ca="1">IF(OR(Tbl_ResidentData[[#This Row],[S12]]=TRUE,Tbl_ResidentData[[#This Row],[P12]]=TRUE),1,0)</f>
        <v>0</v>
      </c>
      <c r="DA32" s="130">
        <f ca="1">IF(OR(Tbl_ResidentData[[#This Row],[S13]]=TRUE,Tbl_ResidentData[[#This Row],[P13]]=TRUE),1,0)</f>
        <v>0</v>
      </c>
      <c r="DB32" s="130">
        <f ca="1">IF(OR(Tbl_ResidentData[[#This Row],[S14]]=TRUE,Tbl_ResidentData[[#This Row],[P14]]=TRUE),1,0)</f>
        <v>0</v>
      </c>
      <c r="DC32" s="130">
        <f ca="1">IF(OR(Tbl_ResidentData[[#This Row],[S15]]=TRUE,Tbl_ResidentData[[#This Row],[P15]]=TRUE),1,0)</f>
        <v>0</v>
      </c>
      <c r="DD32" s="130">
        <f ca="1">IF(OR(Tbl_ResidentData[[#This Row],[S16]]=TRUE,Tbl_ResidentData[[#This Row],[P16]]=TRUE),1,0)</f>
        <v>0</v>
      </c>
      <c r="DE32" s="130">
        <f ca="1">IF(OR(Tbl_ResidentData[[#This Row],[S17]]=TRUE,Tbl_ResidentData[[#This Row],[P17]]=TRUE),1,0)</f>
        <v>0</v>
      </c>
      <c r="DF32" s="130">
        <f ca="1">IF(OR(Tbl_ResidentData[[#This Row],[S18]]=TRUE,Tbl_ResidentData[[#This Row],[P18]]=TRUE),1,0)</f>
        <v>0</v>
      </c>
      <c r="DG32" s="130">
        <f ca="1">IF(OR(Tbl_ResidentData[[#This Row],[S19]]=TRUE,Tbl_ResidentData[[#This Row],[P19]]=TRUE),1,0)</f>
        <v>0</v>
      </c>
      <c r="DH32" s="130">
        <f ca="1">IF(OR(Tbl_ResidentData[[#This Row],[S20]]=TRUE,Tbl_ResidentData[[#This Row],[P20]]=TRUE),1,0)</f>
        <v>0</v>
      </c>
      <c r="DI32" s="130">
        <f ca="1">IF(OR(Tbl_ResidentData[[#This Row],[S21]]=TRUE,Tbl_ResidentData[[#This Row],[P21]]=TRUE),1,0)</f>
        <v>0</v>
      </c>
      <c r="DJ32" s="130">
        <f ca="1">IF(OR(Tbl_ResidentData[[#This Row],[S22]]=TRUE,Tbl_ResidentData[[#This Row],[P22]]=TRUE),1,0)</f>
        <v>0</v>
      </c>
      <c r="DK32" s="130">
        <f ca="1">IF(OR(Tbl_ResidentData[[#This Row],[S23]]=TRUE,Tbl_ResidentData[[#This Row],[P23]]=TRUE),1,0)</f>
        <v>0</v>
      </c>
      <c r="DL32" s="130">
        <f ca="1">IF(OR(Tbl_ResidentData[[#This Row],[S24]]=TRUE,Tbl_ResidentData[[#This Row],[P24]]=TRUE),1,0)</f>
        <v>0</v>
      </c>
      <c r="DM32" s="123" t="str">
        <f ca="1">IFERROR(INDEX($CO$4:$DL$4,MATCH(TRUE,INDEX((Tbl_ResidentData[[#This Row],[Over1]:[Over24]]&lt;&gt;0),0),0)),"")</f>
        <v/>
      </c>
      <c r="DN32" s="133" t="str">
        <f>IFERROR(INDEX(Tbl_PDSAData[Last DRT],MATCH(Tbl_ResidentData[Resident Name '[last, first']],Tbl_PDSAData[Resident Name (last, first)],0)),"")</f>
        <v/>
      </c>
      <c r="DO32" s="222" t="str">
        <f>IFERROR(INDEX(Tbl_PDSAData[Last MR],MATCH(Tbl_ResidentData[Resident Name '[last, first']],Tbl_PDSAData[Resident Name (last, first)],0)),"")</f>
        <v/>
      </c>
    </row>
    <row r="33" spans="1:119" x14ac:dyDescent="0.25">
      <c r="A33" s="179"/>
      <c r="B33" s="180"/>
      <c r="C33" s="180"/>
      <c r="D33" s="218"/>
      <c r="E33" s="179"/>
      <c r="F33" s="181"/>
      <c r="G33" s="181"/>
      <c r="H33" s="182"/>
      <c r="I33" s="185"/>
      <c r="J33" s="387"/>
      <c r="K33" s="178"/>
      <c r="L33" s="388"/>
      <c r="M33" s="185"/>
      <c r="N33" s="386"/>
      <c r="O33" s="178"/>
      <c r="P33" s="388"/>
      <c r="Q33" s="395"/>
      <c r="R33" s="396"/>
      <c r="S33" s="131" t="str">
        <f>IF(ISBLANK(Tbl_ResidentData[[#This Row],[Discharge '[mmm-yyyy']]]),IF(ISBLANK(Tbl_ResidentData[[#This Row],[Enrollment '[mmm-yyyy']]]),"","In Care Home"),"Discharged")</f>
        <v/>
      </c>
      <c r="T33" s="119" t="str">
        <f>IF(ISBLANK(Tbl_ResidentData[[#This Row],[Diagnosis (RAI)]]),IF(ISBLANK(Tbl_ResidentData[[#This Row],[Resident Name '[last, first']]]),"",0),IF(Tbl_ResidentData[[#This Row],[Diagnosis (RAI)]]="Other (see clinical notes)",0,1))</f>
        <v/>
      </c>
      <c r="U33" s="120" t="str">
        <f ca="1">IF(U$4&gt;NOW(),"-",IF(ISBLANK(Tbl_ResidentData[[#This Row],[Enrollment '[mmm-yyyy']]]),"-",AND((Tbl_ResidentData[[#This Row],[Enrollment '[mmm-yyyy']]]&lt;=U$4),IF(ISBLANK(Tbl_ResidentData[[#This Row],[Discharge '[mmm-yyyy']]]),TRUE,(Tbl_ResidentData[[#This Row],[Discharge '[mmm-yyyy']]]&gt;=U$4)))))</f>
        <v>-</v>
      </c>
      <c r="V33" s="121" t="str">
        <f ca="1">IF(V$4&gt;NOW(),"-",IF(ISBLANK(Tbl_ResidentData[[#This Row],[Enrollment '[mmm-yyyy']]]),"-",AND((Tbl_ResidentData[[#This Row],[Enrollment '[mmm-yyyy']]]&lt;=V$4),IF(ISBLANK(Tbl_ResidentData[[#This Row],[Discharge '[mmm-yyyy']]]),TRUE,(Tbl_ResidentData[[#This Row],[Discharge '[mmm-yyyy']]]&gt;=V$4)))))</f>
        <v>-</v>
      </c>
      <c r="W33" s="121" t="str">
        <f ca="1">IF(W$4&gt;NOW(),"-",IF(ISBLANK(Tbl_ResidentData[[#This Row],[Enrollment '[mmm-yyyy']]]),"-",AND((Tbl_ResidentData[[#This Row],[Enrollment '[mmm-yyyy']]]&lt;=W$4),IF(ISBLANK(Tbl_ResidentData[[#This Row],[Discharge '[mmm-yyyy']]]),TRUE,(Tbl_ResidentData[[#This Row],[Discharge '[mmm-yyyy']]]&gt;=W$4)))))</f>
        <v>-</v>
      </c>
      <c r="X33" s="121" t="str">
        <f ca="1">IF(X$4&gt;NOW(),"-",IF(ISBLANK(Tbl_ResidentData[[#This Row],[Enrollment '[mmm-yyyy']]]),"-",AND((Tbl_ResidentData[[#This Row],[Enrollment '[mmm-yyyy']]]&lt;=X$4),IF(ISBLANK(Tbl_ResidentData[[#This Row],[Discharge '[mmm-yyyy']]]),TRUE,(Tbl_ResidentData[[#This Row],[Discharge '[mmm-yyyy']]]&gt;=X$4)))))</f>
        <v>-</v>
      </c>
      <c r="Y33" s="121" t="str">
        <f ca="1">IF(Y$4&gt;NOW(),"-",IF(ISBLANK(Tbl_ResidentData[[#This Row],[Enrollment '[mmm-yyyy']]]),"-",AND((Tbl_ResidentData[[#This Row],[Enrollment '[mmm-yyyy']]]&lt;=Y$4),IF(ISBLANK(Tbl_ResidentData[[#This Row],[Discharge '[mmm-yyyy']]]),TRUE,(Tbl_ResidentData[[#This Row],[Discharge '[mmm-yyyy']]]&gt;=Y$4)))))</f>
        <v>-</v>
      </c>
      <c r="Z33" s="121" t="str">
        <f ca="1">IF(Z$4&gt;NOW(),"-",IF(ISBLANK(Tbl_ResidentData[[#This Row],[Enrollment '[mmm-yyyy']]]),"-",AND((Tbl_ResidentData[[#This Row],[Enrollment '[mmm-yyyy']]]&lt;=Z$4),IF(ISBLANK(Tbl_ResidentData[[#This Row],[Discharge '[mmm-yyyy']]]),TRUE,(Tbl_ResidentData[[#This Row],[Discharge '[mmm-yyyy']]]&gt;=Z$4)))))</f>
        <v>-</v>
      </c>
      <c r="AA33" s="121" t="str">
        <f ca="1">IF(AA$4&gt;NOW(),"-",IF(ISBLANK(Tbl_ResidentData[[#This Row],[Enrollment '[mmm-yyyy']]]),"-",AND((Tbl_ResidentData[[#This Row],[Enrollment '[mmm-yyyy']]]&lt;=AA$4),IF(ISBLANK(Tbl_ResidentData[[#This Row],[Discharge '[mmm-yyyy']]]),TRUE,(Tbl_ResidentData[[#This Row],[Discharge '[mmm-yyyy']]]&gt;=AA$4)))))</f>
        <v>-</v>
      </c>
      <c r="AB33" s="121" t="str">
        <f ca="1">IF(AB$4&gt;NOW(),"-",IF(ISBLANK(Tbl_ResidentData[[#This Row],[Enrollment '[mmm-yyyy']]]),"-",AND((Tbl_ResidentData[[#This Row],[Enrollment '[mmm-yyyy']]]&lt;=AB$4),IF(ISBLANK(Tbl_ResidentData[[#This Row],[Discharge '[mmm-yyyy']]]),TRUE,(Tbl_ResidentData[[#This Row],[Discharge '[mmm-yyyy']]]&gt;=AB$4)))))</f>
        <v>-</v>
      </c>
      <c r="AC33" s="121" t="str">
        <f ca="1">IF(AC$4&gt;NOW(),"-",IF(ISBLANK(Tbl_ResidentData[[#This Row],[Enrollment '[mmm-yyyy']]]),"-",AND((Tbl_ResidentData[[#This Row],[Enrollment '[mmm-yyyy']]]&lt;=AC$4),IF(ISBLANK(Tbl_ResidentData[[#This Row],[Discharge '[mmm-yyyy']]]),TRUE,(Tbl_ResidentData[[#This Row],[Discharge '[mmm-yyyy']]]&gt;=AC$4)))))</f>
        <v>-</v>
      </c>
      <c r="AD33" s="121" t="str">
        <f ca="1">IF(AD$4&gt;NOW(),"-",IF(ISBLANK(Tbl_ResidentData[[#This Row],[Enrollment '[mmm-yyyy']]]),"-",AND((Tbl_ResidentData[[#This Row],[Enrollment '[mmm-yyyy']]]&lt;=AD$4),IF(ISBLANK(Tbl_ResidentData[[#This Row],[Discharge '[mmm-yyyy']]]),TRUE,(Tbl_ResidentData[[#This Row],[Discharge '[mmm-yyyy']]]&gt;=AD$4)))))</f>
        <v>-</v>
      </c>
      <c r="AE33" s="121" t="str">
        <f ca="1">IF(AE$4&gt;NOW(),"-",IF(ISBLANK(Tbl_ResidentData[[#This Row],[Enrollment '[mmm-yyyy']]]),"-",AND((Tbl_ResidentData[[#This Row],[Enrollment '[mmm-yyyy']]]&lt;=AE$4),IF(ISBLANK(Tbl_ResidentData[[#This Row],[Discharge '[mmm-yyyy']]]),TRUE,(Tbl_ResidentData[[#This Row],[Discharge '[mmm-yyyy']]]&gt;=AE$4)))))</f>
        <v>-</v>
      </c>
      <c r="AF33" s="121" t="str">
        <f ca="1">IF(AF$4&gt;NOW(),"-",IF(ISBLANK(Tbl_ResidentData[[#This Row],[Enrollment '[mmm-yyyy']]]),"-",AND((Tbl_ResidentData[[#This Row],[Enrollment '[mmm-yyyy']]]&lt;=AF$4),IF(ISBLANK(Tbl_ResidentData[[#This Row],[Discharge '[mmm-yyyy']]]),TRUE,(Tbl_ResidentData[[#This Row],[Discharge '[mmm-yyyy']]]&gt;=AF$4)))))</f>
        <v>-</v>
      </c>
      <c r="AG33" s="121" t="str">
        <f ca="1">IF(AG$4&gt;NOW(),"-",IF(ISBLANK(Tbl_ResidentData[[#This Row],[Enrollment '[mmm-yyyy']]]),"-",AND((Tbl_ResidentData[[#This Row],[Enrollment '[mmm-yyyy']]]&lt;=AG$4),IF(ISBLANK(Tbl_ResidentData[[#This Row],[Discharge '[mmm-yyyy']]]),TRUE,(Tbl_ResidentData[[#This Row],[Discharge '[mmm-yyyy']]]&gt;=AG$4)))))</f>
        <v>-</v>
      </c>
      <c r="AH33" s="121" t="str">
        <f ca="1">IF(AH$4&gt;NOW(),"-",IF(ISBLANK(Tbl_ResidentData[[#This Row],[Enrollment '[mmm-yyyy']]]),"-",AND((Tbl_ResidentData[[#This Row],[Enrollment '[mmm-yyyy']]]&lt;=AH$4),IF(ISBLANK(Tbl_ResidentData[[#This Row],[Discharge '[mmm-yyyy']]]),TRUE,(Tbl_ResidentData[[#This Row],[Discharge '[mmm-yyyy']]]&gt;=AH$4)))))</f>
        <v>-</v>
      </c>
      <c r="AI33" s="121" t="str">
        <f ca="1">IF(AI$4&gt;NOW(),"-",IF(ISBLANK(Tbl_ResidentData[[#This Row],[Enrollment '[mmm-yyyy']]]),"-",AND((Tbl_ResidentData[[#This Row],[Enrollment '[mmm-yyyy']]]&lt;=AI$4),IF(ISBLANK(Tbl_ResidentData[[#This Row],[Discharge '[mmm-yyyy']]]),TRUE,(Tbl_ResidentData[[#This Row],[Discharge '[mmm-yyyy']]]&gt;=AI$4)))))</f>
        <v>-</v>
      </c>
      <c r="AJ33" s="121" t="str">
        <f ca="1">IF(AJ$4&gt;NOW(),"-",IF(ISBLANK(Tbl_ResidentData[[#This Row],[Enrollment '[mmm-yyyy']]]),"-",AND((Tbl_ResidentData[[#This Row],[Enrollment '[mmm-yyyy']]]&lt;=AJ$4),IF(ISBLANK(Tbl_ResidentData[[#This Row],[Discharge '[mmm-yyyy']]]),TRUE,(Tbl_ResidentData[[#This Row],[Discharge '[mmm-yyyy']]]&gt;=AJ$4)))))</f>
        <v>-</v>
      </c>
      <c r="AK33" s="121" t="str">
        <f ca="1">IF(AK$4&gt;NOW(),"-",IF(ISBLANK(Tbl_ResidentData[[#This Row],[Enrollment '[mmm-yyyy']]]),"-",AND((Tbl_ResidentData[[#This Row],[Enrollment '[mmm-yyyy']]]&lt;=AK$4),IF(ISBLANK(Tbl_ResidentData[[#This Row],[Discharge '[mmm-yyyy']]]),TRUE,(Tbl_ResidentData[[#This Row],[Discharge '[mmm-yyyy']]]&gt;=AK$4)))))</f>
        <v>-</v>
      </c>
      <c r="AL33" s="121" t="str">
        <f ca="1">IF(AL$4&gt;NOW(),"-",IF(ISBLANK(Tbl_ResidentData[[#This Row],[Enrollment '[mmm-yyyy']]]),"-",AND((Tbl_ResidentData[[#This Row],[Enrollment '[mmm-yyyy']]]&lt;=AL$4),IF(ISBLANK(Tbl_ResidentData[[#This Row],[Discharge '[mmm-yyyy']]]),TRUE,(Tbl_ResidentData[[#This Row],[Discharge '[mmm-yyyy']]]&gt;=AL$4)))))</f>
        <v>-</v>
      </c>
      <c r="AM33" s="121" t="str">
        <f ca="1">IF(AM$4&gt;NOW(),"-",IF(ISBLANK(Tbl_ResidentData[[#This Row],[Enrollment '[mmm-yyyy']]]),"-",AND((Tbl_ResidentData[[#This Row],[Enrollment '[mmm-yyyy']]]&lt;=AM$4),IF(ISBLANK(Tbl_ResidentData[[#This Row],[Discharge '[mmm-yyyy']]]),TRUE,(Tbl_ResidentData[[#This Row],[Discharge '[mmm-yyyy']]]&gt;=AM$4)))))</f>
        <v>-</v>
      </c>
      <c r="AN33" s="121" t="str">
        <f ca="1">IF(AN$4&gt;NOW(),"-",IF(ISBLANK(Tbl_ResidentData[[#This Row],[Enrollment '[mmm-yyyy']]]),"-",AND((Tbl_ResidentData[[#This Row],[Enrollment '[mmm-yyyy']]]&lt;=AN$4),IF(ISBLANK(Tbl_ResidentData[[#This Row],[Discharge '[mmm-yyyy']]]),TRUE,(Tbl_ResidentData[[#This Row],[Discharge '[mmm-yyyy']]]&gt;=AN$4)))))</f>
        <v>-</v>
      </c>
      <c r="AO33" s="121" t="str">
        <f ca="1">IF(AO$4&gt;NOW(),"-",IF(ISBLANK(Tbl_ResidentData[[#This Row],[Enrollment '[mmm-yyyy']]]),"-",AND((Tbl_ResidentData[[#This Row],[Enrollment '[mmm-yyyy']]]&lt;=AO$4),IF(ISBLANK(Tbl_ResidentData[[#This Row],[Discharge '[mmm-yyyy']]]),TRUE,(Tbl_ResidentData[[#This Row],[Discharge '[mmm-yyyy']]]&gt;=AO$4)))))</f>
        <v>-</v>
      </c>
      <c r="AP33" s="121" t="str">
        <f ca="1">IF(AP$4&gt;NOW(),"-",IF(ISBLANK(Tbl_ResidentData[[#This Row],[Enrollment '[mmm-yyyy']]]),"-",AND((Tbl_ResidentData[[#This Row],[Enrollment '[mmm-yyyy']]]&lt;=AP$4),IF(ISBLANK(Tbl_ResidentData[[#This Row],[Discharge '[mmm-yyyy']]]),TRUE,(Tbl_ResidentData[[#This Row],[Discharge '[mmm-yyyy']]]&gt;=AP$4)))))</f>
        <v>-</v>
      </c>
      <c r="AQ33" s="121" t="str">
        <f ca="1">IF(AQ$4&gt;NOW(),"-",IF(ISBLANK(Tbl_ResidentData[[#This Row],[Enrollment '[mmm-yyyy']]]),"-",AND((Tbl_ResidentData[[#This Row],[Enrollment '[mmm-yyyy']]]&lt;=AQ$4),IF(ISBLANK(Tbl_ResidentData[[#This Row],[Discharge '[mmm-yyyy']]]),TRUE,(Tbl_ResidentData[[#This Row],[Discharge '[mmm-yyyy']]]&gt;=AQ$4)))))</f>
        <v>-</v>
      </c>
      <c r="AR33" s="122" t="str">
        <f ca="1">IF(AR$4&gt;NOW(),"-",IF(ISBLANK(Tbl_ResidentData[[#This Row],[Enrollment '[mmm-yyyy']]]),"-",AND((Tbl_ResidentData[[#This Row],[Enrollment '[mmm-yyyy']]]&lt;=AR$4),IF(ISBLANK(Tbl_ResidentData[[#This Row],[Discharge '[mmm-yyyy']]]),TRUE,(Tbl_ResidentData[[#This Row],[Discharge '[mmm-yyyy']]]&gt;=AR$4)))))</f>
        <v>-</v>
      </c>
      <c r="AS3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3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3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3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3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3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3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3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3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3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3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3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3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3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3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3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3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3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3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3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3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3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3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3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33" s="120" t="b">
        <f ca="1">AND(Tbl_ResidentData[[#This Row],[PRN Med Started]]&lt;&gt;"",Tbl_ResidentData[[#This Row],[PRN Med Started]]&lt;=NOW(),Tbl_ResidentData[[#This Row],[PRN Med Started]]&lt;=AS$4,OR(Tbl_ResidentData[[#This Row],[PRN Med Discontinued]]&gt;AS$4,ISBLANK(Tbl_ResidentData[[#This Row],[PRN Med Discontinued]])))</f>
        <v>0</v>
      </c>
      <c r="BR33" s="121" t="b">
        <f ca="1">AND(Tbl_ResidentData[[#This Row],[PRN Med Started]]&lt;&gt;"",Tbl_ResidentData[[#This Row],[PRN Med Started]]&lt;=NOW(),Tbl_ResidentData[[#This Row],[PRN Med Started]]&lt;=AT$4,OR(Tbl_ResidentData[[#This Row],[PRN Med Discontinued]]&gt;AT$4,ISBLANK(Tbl_ResidentData[[#This Row],[PRN Med Discontinued]])))</f>
        <v>0</v>
      </c>
      <c r="BS33" s="121" t="b">
        <f ca="1">AND(Tbl_ResidentData[[#This Row],[PRN Med Started]]&lt;&gt;"",Tbl_ResidentData[[#This Row],[PRN Med Started]]&lt;=NOW(),Tbl_ResidentData[[#This Row],[PRN Med Started]]&lt;=AU$4,OR(Tbl_ResidentData[[#This Row],[PRN Med Discontinued]]&gt;AU$4,ISBLANK(Tbl_ResidentData[[#This Row],[PRN Med Discontinued]])))</f>
        <v>0</v>
      </c>
      <c r="BT33" s="121" t="b">
        <f ca="1">AND(Tbl_ResidentData[[#This Row],[PRN Med Started]]&lt;&gt;"",Tbl_ResidentData[[#This Row],[PRN Med Started]]&lt;=NOW(),Tbl_ResidentData[[#This Row],[PRN Med Started]]&lt;=AV$4,OR(Tbl_ResidentData[[#This Row],[PRN Med Discontinued]]&gt;AV$4,ISBLANK(Tbl_ResidentData[[#This Row],[PRN Med Discontinued]])))</f>
        <v>0</v>
      </c>
      <c r="BU33" s="121" t="b">
        <f ca="1">AND(Tbl_ResidentData[[#This Row],[PRN Med Started]]&lt;&gt;"",Tbl_ResidentData[[#This Row],[PRN Med Started]]&lt;=NOW(),Tbl_ResidentData[[#This Row],[PRN Med Started]]&lt;=AW$4,OR(Tbl_ResidentData[[#This Row],[PRN Med Discontinued]]&gt;AW$4,ISBLANK(Tbl_ResidentData[[#This Row],[PRN Med Discontinued]])))</f>
        <v>0</v>
      </c>
      <c r="BV33" s="121" t="b">
        <f ca="1">AND(Tbl_ResidentData[[#This Row],[PRN Med Started]]&lt;&gt;"",Tbl_ResidentData[[#This Row],[PRN Med Started]]&lt;=NOW(),Tbl_ResidentData[[#This Row],[PRN Med Started]]&lt;=AX$4,OR(Tbl_ResidentData[[#This Row],[PRN Med Discontinued]]&gt;AX$4,ISBLANK(Tbl_ResidentData[[#This Row],[PRN Med Discontinued]])))</f>
        <v>0</v>
      </c>
      <c r="BW33" s="121" t="b">
        <f ca="1">AND(Tbl_ResidentData[[#This Row],[PRN Med Started]]&lt;&gt;"",Tbl_ResidentData[[#This Row],[PRN Med Started]]&lt;=NOW(),Tbl_ResidentData[[#This Row],[PRN Med Started]]&lt;=AY$4,OR(Tbl_ResidentData[[#This Row],[PRN Med Discontinued]]&gt;AY$4,ISBLANK(Tbl_ResidentData[[#This Row],[PRN Med Discontinued]])))</f>
        <v>0</v>
      </c>
      <c r="BX33" s="121" t="b">
        <f ca="1">AND(Tbl_ResidentData[[#This Row],[PRN Med Started]]&lt;&gt;"",Tbl_ResidentData[[#This Row],[PRN Med Started]]&lt;=NOW(),Tbl_ResidentData[[#This Row],[PRN Med Started]]&lt;=AZ$4,OR(Tbl_ResidentData[[#This Row],[PRN Med Discontinued]]&gt;AZ$4,ISBLANK(Tbl_ResidentData[[#This Row],[PRN Med Discontinued]])))</f>
        <v>0</v>
      </c>
      <c r="BY33" s="121" t="b">
        <f ca="1">AND(Tbl_ResidentData[[#This Row],[PRN Med Started]]&lt;&gt;"",Tbl_ResidentData[[#This Row],[PRN Med Started]]&lt;=NOW(),Tbl_ResidentData[[#This Row],[PRN Med Started]]&lt;=BA$4,OR(Tbl_ResidentData[[#This Row],[PRN Med Discontinued]]&gt;BA$4,ISBLANK(Tbl_ResidentData[[#This Row],[PRN Med Discontinued]])))</f>
        <v>0</v>
      </c>
      <c r="BZ33" s="121" t="b">
        <f ca="1">AND(Tbl_ResidentData[[#This Row],[PRN Med Started]]&lt;&gt;"",Tbl_ResidentData[[#This Row],[PRN Med Started]]&lt;=NOW(),Tbl_ResidentData[[#This Row],[PRN Med Started]]&lt;=BB$4,OR(Tbl_ResidentData[[#This Row],[PRN Med Discontinued]]&gt;BB$4,ISBLANK(Tbl_ResidentData[[#This Row],[PRN Med Discontinued]])))</f>
        <v>0</v>
      </c>
      <c r="CA33" s="121" t="b">
        <f ca="1">AND(Tbl_ResidentData[[#This Row],[PRN Med Started]]&lt;&gt;"",Tbl_ResidentData[[#This Row],[PRN Med Started]]&lt;=NOW(),Tbl_ResidentData[[#This Row],[PRN Med Started]]&lt;=BC$4,OR(Tbl_ResidentData[[#This Row],[PRN Med Discontinued]]&gt;BC$4,ISBLANK(Tbl_ResidentData[[#This Row],[PRN Med Discontinued]])))</f>
        <v>0</v>
      </c>
      <c r="CB33" s="121" t="b">
        <f ca="1">AND(Tbl_ResidentData[[#This Row],[PRN Med Started]]&lt;&gt;"",Tbl_ResidentData[[#This Row],[PRN Med Started]]&lt;=NOW(),Tbl_ResidentData[[#This Row],[PRN Med Started]]&lt;=BD$4,OR(Tbl_ResidentData[[#This Row],[PRN Med Discontinued]]&gt;BD$4,ISBLANK(Tbl_ResidentData[[#This Row],[PRN Med Discontinued]])))</f>
        <v>0</v>
      </c>
      <c r="CC33" s="121" t="b">
        <f ca="1">AND(Tbl_ResidentData[[#This Row],[PRN Med Started]]&lt;&gt;"",Tbl_ResidentData[[#This Row],[PRN Med Started]]&lt;=NOW(),Tbl_ResidentData[[#This Row],[PRN Med Started]]&lt;=BE$4,OR(Tbl_ResidentData[[#This Row],[PRN Med Discontinued]]&gt;BE$4,ISBLANK(Tbl_ResidentData[[#This Row],[PRN Med Discontinued]])))</f>
        <v>0</v>
      </c>
      <c r="CD33" s="121" t="b">
        <f ca="1">AND(Tbl_ResidentData[[#This Row],[PRN Med Started]]&lt;&gt;"",Tbl_ResidentData[[#This Row],[PRN Med Started]]&lt;=NOW(),Tbl_ResidentData[[#This Row],[PRN Med Started]]&lt;=BF$4,OR(Tbl_ResidentData[[#This Row],[PRN Med Discontinued]]&gt;BF$4,ISBLANK(Tbl_ResidentData[[#This Row],[PRN Med Discontinued]])))</f>
        <v>0</v>
      </c>
      <c r="CE33" s="121" t="b">
        <f ca="1">AND(Tbl_ResidentData[[#This Row],[PRN Med Started]]&lt;&gt;"",Tbl_ResidentData[[#This Row],[PRN Med Started]]&lt;=NOW(),Tbl_ResidentData[[#This Row],[PRN Med Started]]&lt;=BG$4,OR(Tbl_ResidentData[[#This Row],[PRN Med Discontinued]]&gt;BG$4,ISBLANK(Tbl_ResidentData[[#This Row],[PRN Med Discontinued]])))</f>
        <v>0</v>
      </c>
      <c r="CF33" s="121" t="b">
        <f ca="1">AND(Tbl_ResidentData[[#This Row],[PRN Med Started]]&lt;&gt;"",Tbl_ResidentData[[#This Row],[PRN Med Started]]&lt;=NOW(),Tbl_ResidentData[[#This Row],[PRN Med Started]]&lt;=BH$4,OR(Tbl_ResidentData[[#This Row],[PRN Med Discontinued]]&gt;BH$4,ISBLANK(Tbl_ResidentData[[#This Row],[PRN Med Discontinued]])))</f>
        <v>0</v>
      </c>
      <c r="CG33" s="121" t="b">
        <f ca="1">AND(Tbl_ResidentData[[#This Row],[PRN Med Started]]&lt;&gt;"",Tbl_ResidentData[[#This Row],[PRN Med Started]]&lt;=NOW(),Tbl_ResidentData[[#This Row],[PRN Med Started]]&lt;=BI$4,OR(Tbl_ResidentData[[#This Row],[PRN Med Discontinued]]&gt;BI$4,ISBLANK(Tbl_ResidentData[[#This Row],[PRN Med Discontinued]])))</f>
        <v>0</v>
      </c>
      <c r="CH33" s="121" t="b">
        <f ca="1">AND(Tbl_ResidentData[[#This Row],[PRN Med Started]]&lt;&gt;"",Tbl_ResidentData[[#This Row],[PRN Med Started]]&lt;=NOW(),Tbl_ResidentData[[#This Row],[PRN Med Started]]&lt;=BJ$4,OR(Tbl_ResidentData[[#This Row],[PRN Med Discontinued]]&gt;BJ$4,ISBLANK(Tbl_ResidentData[[#This Row],[PRN Med Discontinued]])))</f>
        <v>0</v>
      </c>
      <c r="CI33" s="121" t="b">
        <f ca="1">AND(Tbl_ResidentData[[#This Row],[PRN Med Started]]&lt;&gt;"",Tbl_ResidentData[[#This Row],[PRN Med Started]]&lt;=NOW(),Tbl_ResidentData[[#This Row],[PRN Med Started]]&lt;=BK$4,OR(Tbl_ResidentData[[#This Row],[PRN Med Discontinued]]&gt;BK$4,ISBLANK(Tbl_ResidentData[[#This Row],[PRN Med Discontinued]])))</f>
        <v>0</v>
      </c>
      <c r="CJ33" s="121" t="b">
        <f ca="1">AND(Tbl_ResidentData[[#This Row],[PRN Med Started]]&lt;&gt;"",Tbl_ResidentData[[#This Row],[PRN Med Started]]&lt;=NOW(),Tbl_ResidentData[[#This Row],[PRN Med Started]]&lt;=BL$4,OR(Tbl_ResidentData[[#This Row],[PRN Med Discontinued]]&gt;BL$4,ISBLANK(Tbl_ResidentData[[#This Row],[PRN Med Discontinued]])))</f>
        <v>0</v>
      </c>
      <c r="CK33" s="121" t="b">
        <f ca="1">AND(Tbl_ResidentData[[#This Row],[PRN Med Started]]&lt;&gt;"",Tbl_ResidentData[[#This Row],[PRN Med Started]]&lt;=NOW(),Tbl_ResidentData[[#This Row],[PRN Med Started]]&lt;=BM$4,OR(Tbl_ResidentData[[#This Row],[PRN Med Discontinued]]&gt;BM$4,ISBLANK(Tbl_ResidentData[[#This Row],[PRN Med Discontinued]])))</f>
        <v>0</v>
      </c>
      <c r="CL33" s="121" t="b">
        <f ca="1">AND(Tbl_ResidentData[[#This Row],[PRN Med Started]]&lt;&gt;"",Tbl_ResidentData[[#This Row],[PRN Med Started]]&lt;=NOW(),Tbl_ResidentData[[#This Row],[PRN Med Started]]&lt;=BN$4,OR(Tbl_ResidentData[[#This Row],[PRN Med Discontinued]]&gt;BN$4,ISBLANK(Tbl_ResidentData[[#This Row],[PRN Med Discontinued]])))</f>
        <v>0</v>
      </c>
      <c r="CM33" s="121" t="b">
        <f ca="1">AND(Tbl_ResidentData[[#This Row],[PRN Med Started]]&lt;&gt;"",Tbl_ResidentData[[#This Row],[PRN Med Started]]&lt;=NOW(),Tbl_ResidentData[[#This Row],[PRN Med Started]]&lt;=BO$4,OR(Tbl_ResidentData[[#This Row],[PRN Med Discontinued]]&gt;BO$4,ISBLANK(Tbl_ResidentData[[#This Row],[PRN Med Discontinued]])))</f>
        <v>0</v>
      </c>
      <c r="CN33" s="122" t="b">
        <f ca="1">AND(Tbl_ResidentData[[#This Row],[PRN Med Started]]&lt;&gt;"",Tbl_ResidentData[[#This Row],[PRN Med Started]]&lt;=NOW(),Tbl_ResidentData[[#This Row],[PRN Med Started]]&lt;=BP$4,OR(Tbl_ResidentData[[#This Row],[PRN Med Discontinued]]&gt;BP$4,ISBLANK(Tbl_ResidentData[[#This Row],[PRN Med Discontinued]])))</f>
        <v>0</v>
      </c>
      <c r="CO33" s="120">
        <f ca="1">IF(OR(Tbl_ResidentData[[#This Row],[S1]]=TRUE,Tbl_ResidentData[[#This Row],[P1]]=TRUE),1,0)</f>
        <v>0</v>
      </c>
      <c r="CP33" s="121">
        <f ca="1">IF(OR(Tbl_ResidentData[[#This Row],[S2]]=TRUE,Tbl_ResidentData[[#This Row],[P2]]=TRUE),1,0)</f>
        <v>0</v>
      </c>
      <c r="CQ33" s="121">
        <f ca="1">IF(OR(Tbl_ResidentData[[#This Row],[S3]]=TRUE,Tbl_ResidentData[[#This Row],[P3]]=TRUE),1,0)</f>
        <v>0</v>
      </c>
      <c r="CR33" s="120">
        <f ca="1">IF(OR(Tbl_ResidentData[[#This Row],[S4]]=TRUE,Tbl_ResidentData[[#This Row],[P4]]=TRUE),1,0)</f>
        <v>0</v>
      </c>
      <c r="CS33" s="120">
        <f ca="1">IF(OR(Tbl_ResidentData[[#This Row],[S5]]=TRUE,Tbl_ResidentData[[#This Row],[P5]]=TRUE),1,0)</f>
        <v>0</v>
      </c>
      <c r="CT33" s="120">
        <f ca="1">IF(OR(Tbl_ResidentData[[#This Row],[S6]]=TRUE,Tbl_ResidentData[[#This Row],[P6]]=TRUE),1,0)</f>
        <v>0</v>
      </c>
      <c r="CU33" s="120">
        <f ca="1">IF(OR(Tbl_ResidentData[[#This Row],[S7]]=TRUE,Tbl_ResidentData[[#This Row],[P7]]=TRUE),1,0)</f>
        <v>0</v>
      </c>
      <c r="CV33" s="120">
        <f ca="1">IF(OR(Tbl_ResidentData[[#This Row],[S8]]=TRUE,Tbl_ResidentData[[#This Row],[P8]]=TRUE),1,0)</f>
        <v>0</v>
      </c>
      <c r="CW33" s="120">
        <f ca="1">IF(OR(Tbl_ResidentData[[#This Row],[S9]]=TRUE,Tbl_ResidentData[[#This Row],[P9]]=TRUE),1,0)</f>
        <v>0</v>
      </c>
      <c r="CX33" s="120">
        <f ca="1">IF(OR(Tbl_ResidentData[[#This Row],[S10]]=TRUE,Tbl_ResidentData[[#This Row],[P10]]=TRUE),1,0)</f>
        <v>0</v>
      </c>
      <c r="CY33" s="120">
        <f ca="1">IF(OR(Tbl_ResidentData[[#This Row],[S11]]=TRUE,Tbl_ResidentData[[#This Row],[P11]]=TRUE),1,0)</f>
        <v>0</v>
      </c>
      <c r="CZ33" s="120">
        <f ca="1">IF(OR(Tbl_ResidentData[[#This Row],[S12]]=TRUE,Tbl_ResidentData[[#This Row],[P12]]=TRUE),1,0)</f>
        <v>0</v>
      </c>
      <c r="DA33" s="120">
        <f ca="1">IF(OR(Tbl_ResidentData[[#This Row],[S13]]=TRUE,Tbl_ResidentData[[#This Row],[P13]]=TRUE),1,0)</f>
        <v>0</v>
      </c>
      <c r="DB33" s="120">
        <f ca="1">IF(OR(Tbl_ResidentData[[#This Row],[S14]]=TRUE,Tbl_ResidentData[[#This Row],[P14]]=TRUE),1,0)</f>
        <v>0</v>
      </c>
      <c r="DC33" s="120">
        <f ca="1">IF(OR(Tbl_ResidentData[[#This Row],[S15]]=TRUE,Tbl_ResidentData[[#This Row],[P15]]=TRUE),1,0)</f>
        <v>0</v>
      </c>
      <c r="DD33" s="120">
        <f ca="1">IF(OR(Tbl_ResidentData[[#This Row],[S16]]=TRUE,Tbl_ResidentData[[#This Row],[P16]]=TRUE),1,0)</f>
        <v>0</v>
      </c>
      <c r="DE33" s="120">
        <f ca="1">IF(OR(Tbl_ResidentData[[#This Row],[S17]]=TRUE,Tbl_ResidentData[[#This Row],[P17]]=TRUE),1,0)</f>
        <v>0</v>
      </c>
      <c r="DF33" s="120">
        <f ca="1">IF(OR(Tbl_ResidentData[[#This Row],[S18]]=TRUE,Tbl_ResidentData[[#This Row],[P18]]=TRUE),1,0)</f>
        <v>0</v>
      </c>
      <c r="DG33" s="120">
        <f ca="1">IF(OR(Tbl_ResidentData[[#This Row],[S19]]=TRUE,Tbl_ResidentData[[#This Row],[P19]]=TRUE),1,0)</f>
        <v>0</v>
      </c>
      <c r="DH33" s="120">
        <f ca="1">IF(OR(Tbl_ResidentData[[#This Row],[S20]]=TRUE,Tbl_ResidentData[[#This Row],[P20]]=TRUE),1,0)</f>
        <v>0</v>
      </c>
      <c r="DI33" s="120">
        <f ca="1">IF(OR(Tbl_ResidentData[[#This Row],[S21]]=TRUE,Tbl_ResidentData[[#This Row],[P21]]=TRUE),1,0)</f>
        <v>0</v>
      </c>
      <c r="DJ33" s="120">
        <f ca="1">IF(OR(Tbl_ResidentData[[#This Row],[S22]]=TRUE,Tbl_ResidentData[[#This Row],[P22]]=TRUE),1,0)</f>
        <v>0</v>
      </c>
      <c r="DK33" s="120">
        <f ca="1">IF(OR(Tbl_ResidentData[[#This Row],[S23]]=TRUE,Tbl_ResidentData[[#This Row],[P23]]=TRUE),1,0)</f>
        <v>0</v>
      </c>
      <c r="DL33" s="120">
        <f ca="1">IF(OR(Tbl_ResidentData[[#This Row],[S24]]=TRUE,Tbl_ResidentData[[#This Row],[P24]]=TRUE),1,0)</f>
        <v>0</v>
      </c>
      <c r="DM33" s="123" t="str">
        <f ca="1">IFERROR(INDEX($CO$4:$DL$4,MATCH(TRUE,INDEX((Tbl_ResidentData[[#This Row],[Over1]:[Over24]]&lt;&gt;0),0),0)),"")</f>
        <v/>
      </c>
      <c r="DN33" s="133" t="str">
        <f>IFERROR(INDEX(Tbl_PDSAData[Last DRT],MATCH(Tbl_ResidentData[Resident Name '[last, first']],Tbl_PDSAData[Resident Name (last, first)],0)),"")</f>
        <v/>
      </c>
      <c r="DO33" s="222" t="str">
        <f>IFERROR(INDEX(Tbl_PDSAData[Last MR],MATCH(Tbl_ResidentData[Resident Name '[last, first']],Tbl_PDSAData[Resident Name (last, first)],0)),"")</f>
        <v/>
      </c>
    </row>
    <row r="34" spans="1:119" x14ac:dyDescent="0.25">
      <c r="A34" s="179"/>
      <c r="B34" s="180"/>
      <c r="C34" s="180"/>
      <c r="D34" s="218"/>
      <c r="E34" s="179"/>
      <c r="F34" s="181"/>
      <c r="G34" s="181"/>
      <c r="H34" s="375"/>
      <c r="I34" s="185"/>
      <c r="J34" s="387"/>
      <c r="K34" s="178"/>
      <c r="L34" s="388"/>
      <c r="M34" s="185"/>
      <c r="N34" s="386"/>
      <c r="O34" s="178"/>
      <c r="P34" s="388"/>
      <c r="Q34" s="394"/>
      <c r="R34" s="388"/>
      <c r="S34" s="131" t="str">
        <f>IF(ISBLANK(Tbl_ResidentData[[#This Row],[Discharge '[mmm-yyyy']]]),IF(ISBLANK(Tbl_ResidentData[[#This Row],[Enrollment '[mmm-yyyy']]]),"","In Care Home"),"Discharged")</f>
        <v/>
      </c>
      <c r="T34" s="119" t="str">
        <f>IF(ISBLANK(Tbl_ResidentData[[#This Row],[Diagnosis (RAI)]]),IF(ISBLANK(Tbl_ResidentData[[#This Row],[Resident Name '[last, first']]]),"",0),IF(Tbl_ResidentData[[#This Row],[Diagnosis (RAI)]]="Other (see clinical notes)",0,1))</f>
        <v/>
      </c>
      <c r="U34" s="120" t="str">
        <f ca="1">IF(U$4&gt;NOW(),"-",IF(ISBLANK(Tbl_ResidentData[[#This Row],[Enrollment '[mmm-yyyy']]]),"-",AND((Tbl_ResidentData[[#This Row],[Enrollment '[mmm-yyyy']]]&lt;=U$4),IF(ISBLANK(Tbl_ResidentData[[#This Row],[Discharge '[mmm-yyyy']]]),TRUE,(Tbl_ResidentData[[#This Row],[Discharge '[mmm-yyyy']]]&gt;=U$4)))))</f>
        <v>-</v>
      </c>
      <c r="V34" s="121" t="str">
        <f ca="1">IF(V$4&gt;NOW(),"-",IF(ISBLANK(Tbl_ResidentData[[#This Row],[Enrollment '[mmm-yyyy']]]),"-",AND((Tbl_ResidentData[[#This Row],[Enrollment '[mmm-yyyy']]]&lt;=V$4),IF(ISBLANK(Tbl_ResidentData[[#This Row],[Discharge '[mmm-yyyy']]]),TRUE,(Tbl_ResidentData[[#This Row],[Discharge '[mmm-yyyy']]]&gt;=V$4)))))</f>
        <v>-</v>
      </c>
      <c r="W34" s="121" t="str">
        <f ca="1">IF(W$4&gt;NOW(),"-",IF(ISBLANK(Tbl_ResidentData[[#This Row],[Enrollment '[mmm-yyyy']]]),"-",AND((Tbl_ResidentData[[#This Row],[Enrollment '[mmm-yyyy']]]&lt;=W$4),IF(ISBLANK(Tbl_ResidentData[[#This Row],[Discharge '[mmm-yyyy']]]),TRUE,(Tbl_ResidentData[[#This Row],[Discharge '[mmm-yyyy']]]&gt;=W$4)))))</f>
        <v>-</v>
      </c>
      <c r="X34" s="121" t="str">
        <f ca="1">IF(X$4&gt;NOW(),"-",IF(ISBLANK(Tbl_ResidentData[[#This Row],[Enrollment '[mmm-yyyy']]]),"-",AND((Tbl_ResidentData[[#This Row],[Enrollment '[mmm-yyyy']]]&lt;=X$4),IF(ISBLANK(Tbl_ResidentData[[#This Row],[Discharge '[mmm-yyyy']]]),TRUE,(Tbl_ResidentData[[#This Row],[Discharge '[mmm-yyyy']]]&gt;=X$4)))))</f>
        <v>-</v>
      </c>
      <c r="Y34" s="121" t="str">
        <f ca="1">IF(Y$4&gt;NOW(),"-",IF(ISBLANK(Tbl_ResidentData[[#This Row],[Enrollment '[mmm-yyyy']]]),"-",AND((Tbl_ResidentData[[#This Row],[Enrollment '[mmm-yyyy']]]&lt;=Y$4),IF(ISBLANK(Tbl_ResidentData[[#This Row],[Discharge '[mmm-yyyy']]]),TRUE,(Tbl_ResidentData[[#This Row],[Discharge '[mmm-yyyy']]]&gt;=Y$4)))))</f>
        <v>-</v>
      </c>
      <c r="Z34" s="121" t="str">
        <f ca="1">IF(Z$4&gt;NOW(),"-",IF(ISBLANK(Tbl_ResidentData[[#This Row],[Enrollment '[mmm-yyyy']]]),"-",AND((Tbl_ResidentData[[#This Row],[Enrollment '[mmm-yyyy']]]&lt;=Z$4),IF(ISBLANK(Tbl_ResidentData[[#This Row],[Discharge '[mmm-yyyy']]]),TRUE,(Tbl_ResidentData[[#This Row],[Discharge '[mmm-yyyy']]]&gt;=Z$4)))))</f>
        <v>-</v>
      </c>
      <c r="AA34" s="121" t="str">
        <f ca="1">IF(AA$4&gt;NOW(),"-",IF(ISBLANK(Tbl_ResidentData[[#This Row],[Enrollment '[mmm-yyyy']]]),"-",AND((Tbl_ResidentData[[#This Row],[Enrollment '[mmm-yyyy']]]&lt;=AA$4),IF(ISBLANK(Tbl_ResidentData[[#This Row],[Discharge '[mmm-yyyy']]]),TRUE,(Tbl_ResidentData[[#This Row],[Discharge '[mmm-yyyy']]]&gt;=AA$4)))))</f>
        <v>-</v>
      </c>
      <c r="AB34" s="121" t="str">
        <f ca="1">IF(AB$4&gt;NOW(),"-",IF(ISBLANK(Tbl_ResidentData[[#This Row],[Enrollment '[mmm-yyyy']]]),"-",AND((Tbl_ResidentData[[#This Row],[Enrollment '[mmm-yyyy']]]&lt;=AB$4),IF(ISBLANK(Tbl_ResidentData[[#This Row],[Discharge '[mmm-yyyy']]]),TRUE,(Tbl_ResidentData[[#This Row],[Discharge '[mmm-yyyy']]]&gt;=AB$4)))))</f>
        <v>-</v>
      </c>
      <c r="AC34" s="121" t="str">
        <f ca="1">IF(AC$4&gt;NOW(),"-",IF(ISBLANK(Tbl_ResidentData[[#This Row],[Enrollment '[mmm-yyyy']]]),"-",AND((Tbl_ResidentData[[#This Row],[Enrollment '[mmm-yyyy']]]&lt;=AC$4),IF(ISBLANK(Tbl_ResidentData[[#This Row],[Discharge '[mmm-yyyy']]]),TRUE,(Tbl_ResidentData[[#This Row],[Discharge '[mmm-yyyy']]]&gt;=AC$4)))))</f>
        <v>-</v>
      </c>
      <c r="AD34" s="121" t="str">
        <f ca="1">IF(AD$4&gt;NOW(),"-",IF(ISBLANK(Tbl_ResidentData[[#This Row],[Enrollment '[mmm-yyyy']]]),"-",AND((Tbl_ResidentData[[#This Row],[Enrollment '[mmm-yyyy']]]&lt;=AD$4),IF(ISBLANK(Tbl_ResidentData[[#This Row],[Discharge '[mmm-yyyy']]]),TRUE,(Tbl_ResidentData[[#This Row],[Discharge '[mmm-yyyy']]]&gt;=AD$4)))))</f>
        <v>-</v>
      </c>
      <c r="AE34" s="121" t="str">
        <f ca="1">IF(AE$4&gt;NOW(),"-",IF(ISBLANK(Tbl_ResidentData[[#This Row],[Enrollment '[mmm-yyyy']]]),"-",AND((Tbl_ResidentData[[#This Row],[Enrollment '[mmm-yyyy']]]&lt;=AE$4),IF(ISBLANK(Tbl_ResidentData[[#This Row],[Discharge '[mmm-yyyy']]]),TRUE,(Tbl_ResidentData[[#This Row],[Discharge '[mmm-yyyy']]]&gt;=AE$4)))))</f>
        <v>-</v>
      </c>
      <c r="AF34" s="121" t="str">
        <f ca="1">IF(AF$4&gt;NOW(),"-",IF(ISBLANK(Tbl_ResidentData[[#This Row],[Enrollment '[mmm-yyyy']]]),"-",AND((Tbl_ResidentData[[#This Row],[Enrollment '[mmm-yyyy']]]&lt;=AF$4),IF(ISBLANK(Tbl_ResidentData[[#This Row],[Discharge '[mmm-yyyy']]]),TRUE,(Tbl_ResidentData[[#This Row],[Discharge '[mmm-yyyy']]]&gt;=AF$4)))))</f>
        <v>-</v>
      </c>
      <c r="AG34" s="121" t="str">
        <f ca="1">IF(AG$4&gt;NOW(),"-",IF(ISBLANK(Tbl_ResidentData[[#This Row],[Enrollment '[mmm-yyyy']]]),"-",AND((Tbl_ResidentData[[#This Row],[Enrollment '[mmm-yyyy']]]&lt;=AG$4),IF(ISBLANK(Tbl_ResidentData[[#This Row],[Discharge '[mmm-yyyy']]]),TRUE,(Tbl_ResidentData[[#This Row],[Discharge '[mmm-yyyy']]]&gt;=AG$4)))))</f>
        <v>-</v>
      </c>
      <c r="AH34" s="121" t="str">
        <f ca="1">IF(AH$4&gt;NOW(),"-",IF(ISBLANK(Tbl_ResidentData[[#This Row],[Enrollment '[mmm-yyyy']]]),"-",AND((Tbl_ResidentData[[#This Row],[Enrollment '[mmm-yyyy']]]&lt;=AH$4),IF(ISBLANK(Tbl_ResidentData[[#This Row],[Discharge '[mmm-yyyy']]]),TRUE,(Tbl_ResidentData[[#This Row],[Discharge '[mmm-yyyy']]]&gt;=AH$4)))))</f>
        <v>-</v>
      </c>
      <c r="AI34" s="121" t="str">
        <f ca="1">IF(AI$4&gt;NOW(),"-",IF(ISBLANK(Tbl_ResidentData[[#This Row],[Enrollment '[mmm-yyyy']]]),"-",AND((Tbl_ResidentData[[#This Row],[Enrollment '[mmm-yyyy']]]&lt;=AI$4),IF(ISBLANK(Tbl_ResidentData[[#This Row],[Discharge '[mmm-yyyy']]]),TRUE,(Tbl_ResidentData[[#This Row],[Discharge '[mmm-yyyy']]]&gt;=AI$4)))))</f>
        <v>-</v>
      </c>
      <c r="AJ34" s="121" t="str">
        <f ca="1">IF(AJ$4&gt;NOW(),"-",IF(ISBLANK(Tbl_ResidentData[[#This Row],[Enrollment '[mmm-yyyy']]]),"-",AND((Tbl_ResidentData[[#This Row],[Enrollment '[mmm-yyyy']]]&lt;=AJ$4),IF(ISBLANK(Tbl_ResidentData[[#This Row],[Discharge '[mmm-yyyy']]]),TRUE,(Tbl_ResidentData[[#This Row],[Discharge '[mmm-yyyy']]]&gt;=AJ$4)))))</f>
        <v>-</v>
      </c>
      <c r="AK34" s="121" t="str">
        <f ca="1">IF(AK$4&gt;NOW(),"-",IF(ISBLANK(Tbl_ResidentData[[#This Row],[Enrollment '[mmm-yyyy']]]),"-",AND((Tbl_ResidentData[[#This Row],[Enrollment '[mmm-yyyy']]]&lt;=AK$4),IF(ISBLANK(Tbl_ResidentData[[#This Row],[Discharge '[mmm-yyyy']]]),TRUE,(Tbl_ResidentData[[#This Row],[Discharge '[mmm-yyyy']]]&gt;=AK$4)))))</f>
        <v>-</v>
      </c>
      <c r="AL34" s="121" t="str">
        <f ca="1">IF(AL$4&gt;NOW(),"-",IF(ISBLANK(Tbl_ResidentData[[#This Row],[Enrollment '[mmm-yyyy']]]),"-",AND((Tbl_ResidentData[[#This Row],[Enrollment '[mmm-yyyy']]]&lt;=AL$4),IF(ISBLANK(Tbl_ResidentData[[#This Row],[Discharge '[mmm-yyyy']]]),TRUE,(Tbl_ResidentData[[#This Row],[Discharge '[mmm-yyyy']]]&gt;=AL$4)))))</f>
        <v>-</v>
      </c>
      <c r="AM34" s="121" t="str">
        <f ca="1">IF(AM$4&gt;NOW(),"-",IF(ISBLANK(Tbl_ResidentData[[#This Row],[Enrollment '[mmm-yyyy']]]),"-",AND((Tbl_ResidentData[[#This Row],[Enrollment '[mmm-yyyy']]]&lt;=AM$4),IF(ISBLANK(Tbl_ResidentData[[#This Row],[Discharge '[mmm-yyyy']]]),TRUE,(Tbl_ResidentData[[#This Row],[Discharge '[mmm-yyyy']]]&gt;=AM$4)))))</f>
        <v>-</v>
      </c>
      <c r="AN34" s="121" t="str">
        <f ca="1">IF(AN$4&gt;NOW(),"-",IF(ISBLANK(Tbl_ResidentData[[#This Row],[Enrollment '[mmm-yyyy']]]),"-",AND((Tbl_ResidentData[[#This Row],[Enrollment '[mmm-yyyy']]]&lt;=AN$4),IF(ISBLANK(Tbl_ResidentData[[#This Row],[Discharge '[mmm-yyyy']]]),TRUE,(Tbl_ResidentData[[#This Row],[Discharge '[mmm-yyyy']]]&gt;=AN$4)))))</f>
        <v>-</v>
      </c>
      <c r="AO34" s="121" t="str">
        <f ca="1">IF(AO$4&gt;NOW(),"-",IF(ISBLANK(Tbl_ResidentData[[#This Row],[Enrollment '[mmm-yyyy']]]),"-",AND((Tbl_ResidentData[[#This Row],[Enrollment '[mmm-yyyy']]]&lt;=AO$4),IF(ISBLANK(Tbl_ResidentData[[#This Row],[Discharge '[mmm-yyyy']]]),TRUE,(Tbl_ResidentData[[#This Row],[Discharge '[mmm-yyyy']]]&gt;=AO$4)))))</f>
        <v>-</v>
      </c>
      <c r="AP34" s="121" t="str">
        <f ca="1">IF(AP$4&gt;NOW(),"-",IF(ISBLANK(Tbl_ResidentData[[#This Row],[Enrollment '[mmm-yyyy']]]),"-",AND((Tbl_ResidentData[[#This Row],[Enrollment '[mmm-yyyy']]]&lt;=AP$4),IF(ISBLANK(Tbl_ResidentData[[#This Row],[Discharge '[mmm-yyyy']]]),TRUE,(Tbl_ResidentData[[#This Row],[Discharge '[mmm-yyyy']]]&gt;=AP$4)))))</f>
        <v>-</v>
      </c>
      <c r="AQ34" s="121" t="str">
        <f ca="1">IF(AQ$4&gt;NOW(),"-",IF(ISBLANK(Tbl_ResidentData[[#This Row],[Enrollment '[mmm-yyyy']]]),"-",AND((Tbl_ResidentData[[#This Row],[Enrollment '[mmm-yyyy']]]&lt;=AQ$4),IF(ISBLANK(Tbl_ResidentData[[#This Row],[Discharge '[mmm-yyyy']]]),TRUE,(Tbl_ResidentData[[#This Row],[Discharge '[mmm-yyyy']]]&gt;=AQ$4)))))</f>
        <v>-</v>
      </c>
      <c r="AR34" s="122" t="str">
        <f ca="1">IF(AR$4&gt;NOW(),"-",IF(ISBLANK(Tbl_ResidentData[[#This Row],[Enrollment '[mmm-yyyy']]]),"-",AND((Tbl_ResidentData[[#This Row],[Enrollment '[mmm-yyyy']]]&lt;=AR$4),IF(ISBLANK(Tbl_ResidentData[[#This Row],[Discharge '[mmm-yyyy']]]),TRUE,(Tbl_ResidentData[[#This Row],[Discharge '[mmm-yyyy']]]&gt;=AR$4)))))</f>
        <v>-</v>
      </c>
      <c r="AS3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3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3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3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3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3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3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3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3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3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3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3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3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3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3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3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3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3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3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3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3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3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3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3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34" s="120" t="b">
        <f ca="1">AND(Tbl_ResidentData[[#This Row],[PRN Med Started]]&lt;&gt;"",Tbl_ResidentData[[#This Row],[PRN Med Started]]&lt;=NOW(),Tbl_ResidentData[[#This Row],[PRN Med Started]]&lt;=AS$4,OR(Tbl_ResidentData[[#This Row],[PRN Med Discontinued]]&gt;AS$4,ISBLANK(Tbl_ResidentData[[#This Row],[PRN Med Discontinued]])))</f>
        <v>0</v>
      </c>
      <c r="BR34" s="121" t="b">
        <f ca="1">AND(Tbl_ResidentData[[#This Row],[PRN Med Started]]&lt;&gt;"",Tbl_ResidentData[[#This Row],[PRN Med Started]]&lt;=NOW(),Tbl_ResidentData[[#This Row],[PRN Med Started]]&lt;=AT$4,OR(Tbl_ResidentData[[#This Row],[PRN Med Discontinued]]&gt;AT$4,ISBLANK(Tbl_ResidentData[[#This Row],[PRN Med Discontinued]])))</f>
        <v>0</v>
      </c>
      <c r="BS34" s="121" t="b">
        <f ca="1">AND(Tbl_ResidentData[[#This Row],[PRN Med Started]]&lt;&gt;"",Tbl_ResidentData[[#This Row],[PRN Med Started]]&lt;=NOW(),Tbl_ResidentData[[#This Row],[PRN Med Started]]&lt;=AU$4,OR(Tbl_ResidentData[[#This Row],[PRN Med Discontinued]]&gt;AU$4,ISBLANK(Tbl_ResidentData[[#This Row],[PRN Med Discontinued]])))</f>
        <v>0</v>
      </c>
      <c r="BT34" s="121" t="b">
        <f ca="1">AND(Tbl_ResidentData[[#This Row],[PRN Med Started]]&lt;&gt;"",Tbl_ResidentData[[#This Row],[PRN Med Started]]&lt;=NOW(),Tbl_ResidentData[[#This Row],[PRN Med Started]]&lt;=AV$4,OR(Tbl_ResidentData[[#This Row],[PRN Med Discontinued]]&gt;AV$4,ISBLANK(Tbl_ResidentData[[#This Row],[PRN Med Discontinued]])))</f>
        <v>0</v>
      </c>
      <c r="BU34" s="121" t="b">
        <f ca="1">AND(Tbl_ResidentData[[#This Row],[PRN Med Started]]&lt;&gt;"",Tbl_ResidentData[[#This Row],[PRN Med Started]]&lt;=NOW(),Tbl_ResidentData[[#This Row],[PRN Med Started]]&lt;=AW$4,OR(Tbl_ResidentData[[#This Row],[PRN Med Discontinued]]&gt;AW$4,ISBLANK(Tbl_ResidentData[[#This Row],[PRN Med Discontinued]])))</f>
        <v>0</v>
      </c>
      <c r="BV34" s="121" t="b">
        <f ca="1">AND(Tbl_ResidentData[[#This Row],[PRN Med Started]]&lt;&gt;"",Tbl_ResidentData[[#This Row],[PRN Med Started]]&lt;=NOW(),Tbl_ResidentData[[#This Row],[PRN Med Started]]&lt;=AX$4,OR(Tbl_ResidentData[[#This Row],[PRN Med Discontinued]]&gt;AX$4,ISBLANK(Tbl_ResidentData[[#This Row],[PRN Med Discontinued]])))</f>
        <v>0</v>
      </c>
      <c r="BW34" s="121" t="b">
        <f ca="1">AND(Tbl_ResidentData[[#This Row],[PRN Med Started]]&lt;&gt;"",Tbl_ResidentData[[#This Row],[PRN Med Started]]&lt;=NOW(),Tbl_ResidentData[[#This Row],[PRN Med Started]]&lt;=AY$4,OR(Tbl_ResidentData[[#This Row],[PRN Med Discontinued]]&gt;AY$4,ISBLANK(Tbl_ResidentData[[#This Row],[PRN Med Discontinued]])))</f>
        <v>0</v>
      </c>
      <c r="BX34" s="121" t="b">
        <f ca="1">AND(Tbl_ResidentData[[#This Row],[PRN Med Started]]&lt;&gt;"",Tbl_ResidentData[[#This Row],[PRN Med Started]]&lt;=NOW(),Tbl_ResidentData[[#This Row],[PRN Med Started]]&lt;=AZ$4,OR(Tbl_ResidentData[[#This Row],[PRN Med Discontinued]]&gt;AZ$4,ISBLANK(Tbl_ResidentData[[#This Row],[PRN Med Discontinued]])))</f>
        <v>0</v>
      </c>
      <c r="BY34" s="121" t="b">
        <f ca="1">AND(Tbl_ResidentData[[#This Row],[PRN Med Started]]&lt;&gt;"",Tbl_ResidentData[[#This Row],[PRN Med Started]]&lt;=NOW(),Tbl_ResidentData[[#This Row],[PRN Med Started]]&lt;=BA$4,OR(Tbl_ResidentData[[#This Row],[PRN Med Discontinued]]&gt;BA$4,ISBLANK(Tbl_ResidentData[[#This Row],[PRN Med Discontinued]])))</f>
        <v>0</v>
      </c>
      <c r="BZ34" s="121" t="b">
        <f ca="1">AND(Tbl_ResidentData[[#This Row],[PRN Med Started]]&lt;&gt;"",Tbl_ResidentData[[#This Row],[PRN Med Started]]&lt;=NOW(),Tbl_ResidentData[[#This Row],[PRN Med Started]]&lt;=BB$4,OR(Tbl_ResidentData[[#This Row],[PRN Med Discontinued]]&gt;BB$4,ISBLANK(Tbl_ResidentData[[#This Row],[PRN Med Discontinued]])))</f>
        <v>0</v>
      </c>
      <c r="CA34" s="121" t="b">
        <f ca="1">AND(Tbl_ResidentData[[#This Row],[PRN Med Started]]&lt;&gt;"",Tbl_ResidentData[[#This Row],[PRN Med Started]]&lt;=NOW(),Tbl_ResidentData[[#This Row],[PRN Med Started]]&lt;=BC$4,OR(Tbl_ResidentData[[#This Row],[PRN Med Discontinued]]&gt;BC$4,ISBLANK(Tbl_ResidentData[[#This Row],[PRN Med Discontinued]])))</f>
        <v>0</v>
      </c>
      <c r="CB34" s="121" t="b">
        <f ca="1">AND(Tbl_ResidentData[[#This Row],[PRN Med Started]]&lt;&gt;"",Tbl_ResidentData[[#This Row],[PRN Med Started]]&lt;=NOW(),Tbl_ResidentData[[#This Row],[PRN Med Started]]&lt;=BD$4,OR(Tbl_ResidentData[[#This Row],[PRN Med Discontinued]]&gt;BD$4,ISBLANK(Tbl_ResidentData[[#This Row],[PRN Med Discontinued]])))</f>
        <v>0</v>
      </c>
      <c r="CC34" s="121" t="b">
        <f ca="1">AND(Tbl_ResidentData[[#This Row],[PRN Med Started]]&lt;&gt;"",Tbl_ResidentData[[#This Row],[PRN Med Started]]&lt;=NOW(),Tbl_ResidentData[[#This Row],[PRN Med Started]]&lt;=BE$4,OR(Tbl_ResidentData[[#This Row],[PRN Med Discontinued]]&gt;BE$4,ISBLANK(Tbl_ResidentData[[#This Row],[PRN Med Discontinued]])))</f>
        <v>0</v>
      </c>
      <c r="CD34" s="121" t="b">
        <f ca="1">AND(Tbl_ResidentData[[#This Row],[PRN Med Started]]&lt;&gt;"",Tbl_ResidentData[[#This Row],[PRN Med Started]]&lt;=NOW(),Tbl_ResidentData[[#This Row],[PRN Med Started]]&lt;=BF$4,OR(Tbl_ResidentData[[#This Row],[PRN Med Discontinued]]&gt;BF$4,ISBLANK(Tbl_ResidentData[[#This Row],[PRN Med Discontinued]])))</f>
        <v>0</v>
      </c>
      <c r="CE34" s="121" t="b">
        <f ca="1">AND(Tbl_ResidentData[[#This Row],[PRN Med Started]]&lt;&gt;"",Tbl_ResidentData[[#This Row],[PRN Med Started]]&lt;=NOW(),Tbl_ResidentData[[#This Row],[PRN Med Started]]&lt;=BG$4,OR(Tbl_ResidentData[[#This Row],[PRN Med Discontinued]]&gt;BG$4,ISBLANK(Tbl_ResidentData[[#This Row],[PRN Med Discontinued]])))</f>
        <v>0</v>
      </c>
      <c r="CF34" s="121" t="b">
        <f ca="1">AND(Tbl_ResidentData[[#This Row],[PRN Med Started]]&lt;&gt;"",Tbl_ResidentData[[#This Row],[PRN Med Started]]&lt;=NOW(),Tbl_ResidentData[[#This Row],[PRN Med Started]]&lt;=BH$4,OR(Tbl_ResidentData[[#This Row],[PRN Med Discontinued]]&gt;BH$4,ISBLANK(Tbl_ResidentData[[#This Row],[PRN Med Discontinued]])))</f>
        <v>0</v>
      </c>
      <c r="CG34" s="121" t="b">
        <f ca="1">AND(Tbl_ResidentData[[#This Row],[PRN Med Started]]&lt;&gt;"",Tbl_ResidentData[[#This Row],[PRN Med Started]]&lt;=NOW(),Tbl_ResidentData[[#This Row],[PRN Med Started]]&lt;=BI$4,OR(Tbl_ResidentData[[#This Row],[PRN Med Discontinued]]&gt;BI$4,ISBLANK(Tbl_ResidentData[[#This Row],[PRN Med Discontinued]])))</f>
        <v>0</v>
      </c>
      <c r="CH34" s="121" t="b">
        <f ca="1">AND(Tbl_ResidentData[[#This Row],[PRN Med Started]]&lt;&gt;"",Tbl_ResidentData[[#This Row],[PRN Med Started]]&lt;=NOW(),Tbl_ResidentData[[#This Row],[PRN Med Started]]&lt;=BJ$4,OR(Tbl_ResidentData[[#This Row],[PRN Med Discontinued]]&gt;BJ$4,ISBLANK(Tbl_ResidentData[[#This Row],[PRN Med Discontinued]])))</f>
        <v>0</v>
      </c>
      <c r="CI34" s="121" t="b">
        <f ca="1">AND(Tbl_ResidentData[[#This Row],[PRN Med Started]]&lt;&gt;"",Tbl_ResidentData[[#This Row],[PRN Med Started]]&lt;=NOW(),Tbl_ResidentData[[#This Row],[PRN Med Started]]&lt;=BK$4,OR(Tbl_ResidentData[[#This Row],[PRN Med Discontinued]]&gt;BK$4,ISBLANK(Tbl_ResidentData[[#This Row],[PRN Med Discontinued]])))</f>
        <v>0</v>
      </c>
      <c r="CJ34" s="121" t="b">
        <f ca="1">AND(Tbl_ResidentData[[#This Row],[PRN Med Started]]&lt;&gt;"",Tbl_ResidentData[[#This Row],[PRN Med Started]]&lt;=NOW(),Tbl_ResidentData[[#This Row],[PRN Med Started]]&lt;=BL$4,OR(Tbl_ResidentData[[#This Row],[PRN Med Discontinued]]&gt;BL$4,ISBLANK(Tbl_ResidentData[[#This Row],[PRN Med Discontinued]])))</f>
        <v>0</v>
      </c>
      <c r="CK34" s="121" t="b">
        <f ca="1">AND(Tbl_ResidentData[[#This Row],[PRN Med Started]]&lt;&gt;"",Tbl_ResidentData[[#This Row],[PRN Med Started]]&lt;=NOW(),Tbl_ResidentData[[#This Row],[PRN Med Started]]&lt;=BM$4,OR(Tbl_ResidentData[[#This Row],[PRN Med Discontinued]]&gt;BM$4,ISBLANK(Tbl_ResidentData[[#This Row],[PRN Med Discontinued]])))</f>
        <v>0</v>
      </c>
      <c r="CL34" s="121" t="b">
        <f ca="1">AND(Tbl_ResidentData[[#This Row],[PRN Med Started]]&lt;&gt;"",Tbl_ResidentData[[#This Row],[PRN Med Started]]&lt;=NOW(),Tbl_ResidentData[[#This Row],[PRN Med Started]]&lt;=BN$4,OR(Tbl_ResidentData[[#This Row],[PRN Med Discontinued]]&gt;BN$4,ISBLANK(Tbl_ResidentData[[#This Row],[PRN Med Discontinued]])))</f>
        <v>0</v>
      </c>
      <c r="CM34" s="121" t="b">
        <f ca="1">AND(Tbl_ResidentData[[#This Row],[PRN Med Started]]&lt;&gt;"",Tbl_ResidentData[[#This Row],[PRN Med Started]]&lt;=NOW(),Tbl_ResidentData[[#This Row],[PRN Med Started]]&lt;=BO$4,OR(Tbl_ResidentData[[#This Row],[PRN Med Discontinued]]&gt;BO$4,ISBLANK(Tbl_ResidentData[[#This Row],[PRN Med Discontinued]])))</f>
        <v>0</v>
      </c>
      <c r="CN34" s="122" t="b">
        <f ca="1">AND(Tbl_ResidentData[[#This Row],[PRN Med Started]]&lt;&gt;"",Tbl_ResidentData[[#This Row],[PRN Med Started]]&lt;=NOW(),Tbl_ResidentData[[#This Row],[PRN Med Started]]&lt;=BP$4,OR(Tbl_ResidentData[[#This Row],[PRN Med Discontinued]]&gt;BP$4,ISBLANK(Tbl_ResidentData[[#This Row],[PRN Med Discontinued]])))</f>
        <v>0</v>
      </c>
      <c r="CO34" s="120">
        <f ca="1">IF(OR(Tbl_ResidentData[[#This Row],[S1]]=TRUE,Tbl_ResidentData[[#This Row],[P1]]=TRUE),1,0)</f>
        <v>0</v>
      </c>
      <c r="CP34" s="121">
        <f ca="1">IF(OR(Tbl_ResidentData[[#This Row],[S2]]=TRUE,Tbl_ResidentData[[#This Row],[P2]]=TRUE),1,0)</f>
        <v>0</v>
      </c>
      <c r="CQ34" s="121">
        <f ca="1">IF(OR(Tbl_ResidentData[[#This Row],[S3]]=TRUE,Tbl_ResidentData[[#This Row],[P3]]=TRUE),1,0)</f>
        <v>0</v>
      </c>
      <c r="CR34" s="120">
        <f ca="1">IF(OR(Tbl_ResidentData[[#This Row],[S4]]=TRUE,Tbl_ResidentData[[#This Row],[P4]]=TRUE),1,0)</f>
        <v>0</v>
      </c>
      <c r="CS34" s="120">
        <f ca="1">IF(OR(Tbl_ResidentData[[#This Row],[S5]]=TRUE,Tbl_ResidentData[[#This Row],[P5]]=TRUE),1,0)</f>
        <v>0</v>
      </c>
      <c r="CT34" s="120">
        <f ca="1">IF(OR(Tbl_ResidentData[[#This Row],[S6]]=TRUE,Tbl_ResidentData[[#This Row],[P6]]=TRUE),1,0)</f>
        <v>0</v>
      </c>
      <c r="CU34" s="120">
        <f ca="1">IF(OR(Tbl_ResidentData[[#This Row],[S7]]=TRUE,Tbl_ResidentData[[#This Row],[P7]]=TRUE),1,0)</f>
        <v>0</v>
      </c>
      <c r="CV34" s="120">
        <f ca="1">IF(OR(Tbl_ResidentData[[#This Row],[S8]]=TRUE,Tbl_ResidentData[[#This Row],[P8]]=TRUE),1,0)</f>
        <v>0</v>
      </c>
      <c r="CW34" s="120">
        <f ca="1">IF(OR(Tbl_ResidentData[[#This Row],[S9]]=TRUE,Tbl_ResidentData[[#This Row],[P9]]=TRUE),1,0)</f>
        <v>0</v>
      </c>
      <c r="CX34" s="120">
        <f ca="1">IF(OR(Tbl_ResidentData[[#This Row],[S10]]=TRUE,Tbl_ResidentData[[#This Row],[P10]]=TRUE),1,0)</f>
        <v>0</v>
      </c>
      <c r="CY34" s="120">
        <f ca="1">IF(OR(Tbl_ResidentData[[#This Row],[S11]]=TRUE,Tbl_ResidentData[[#This Row],[P11]]=TRUE),1,0)</f>
        <v>0</v>
      </c>
      <c r="CZ34" s="120">
        <f ca="1">IF(OR(Tbl_ResidentData[[#This Row],[S12]]=TRUE,Tbl_ResidentData[[#This Row],[P12]]=TRUE),1,0)</f>
        <v>0</v>
      </c>
      <c r="DA34" s="120">
        <f ca="1">IF(OR(Tbl_ResidentData[[#This Row],[S13]]=TRUE,Tbl_ResidentData[[#This Row],[P13]]=TRUE),1,0)</f>
        <v>0</v>
      </c>
      <c r="DB34" s="120">
        <f ca="1">IF(OR(Tbl_ResidentData[[#This Row],[S14]]=TRUE,Tbl_ResidentData[[#This Row],[P14]]=TRUE),1,0)</f>
        <v>0</v>
      </c>
      <c r="DC34" s="120">
        <f ca="1">IF(OR(Tbl_ResidentData[[#This Row],[S15]]=TRUE,Tbl_ResidentData[[#This Row],[P15]]=TRUE),1,0)</f>
        <v>0</v>
      </c>
      <c r="DD34" s="120">
        <f ca="1">IF(OR(Tbl_ResidentData[[#This Row],[S16]]=TRUE,Tbl_ResidentData[[#This Row],[P16]]=TRUE),1,0)</f>
        <v>0</v>
      </c>
      <c r="DE34" s="120">
        <f ca="1">IF(OR(Tbl_ResidentData[[#This Row],[S17]]=TRUE,Tbl_ResidentData[[#This Row],[P17]]=TRUE),1,0)</f>
        <v>0</v>
      </c>
      <c r="DF34" s="120">
        <f ca="1">IF(OR(Tbl_ResidentData[[#This Row],[S18]]=TRUE,Tbl_ResidentData[[#This Row],[P18]]=TRUE),1,0)</f>
        <v>0</v>
      </c>
      <c r="DG34" s="120">
        <f ca="1">IF(OR(Tbl_ResidentData[[#This Row],[S19]]=TRUE,Tbl_ResidentData[[#This Row],[P19]]=TRUE),1,0)</f>
        <v>0</v>
      </c>
      <c r="DH34" s="120">
        <f ca="1">IF(OR(Tbl_ResidentData[[#This Row],[S20]]=TRUE,Tbl_ResidentData[[#This Row],[P20]]=TRUE),1,0)</f>
        <v>0</v>
      </c>
      <c r="DI34" s="120">
        <f ca="1">IF(OR(Tbl_ResidentData[[#This Row],[S21]]=TRUE,Tbl_ResidentData[[#This Row],[P21]]=TRUE),1,0)</f>
        <v>0</v>
      </c>
      <c r="DJ34" s="120">
        <f ca="1">IF(OR(Tbl_ResidentData[[#This Row],[S22]]=TRUE,Tbl_ResidentData[[#This Row],[P22]]=TRUE),1,0)</f>
        <v>0</v>
      </c>
      <c r="DK34" s="120">
        <f ca="1">IF(OR(Tbl_ResidentData[[#This Row],[S23]]=TRUE,Tbl_ResidentData[[#This Row],[P23]]=TRUE),1,0)</f>
        <v>0</v>
      </c>
      <c r="DL34" s="120">
        <f ca="1">IF(OR(Tbl_ResidentData[[#This Row],[S24]]=TRUE,Tbl_ResidentData[[#This Row],[P24]]=TRUE),1,0)</f>
        <v>0</v>
      </c>
      <c r="DM34" s="123" t="str">
        <f ca="1">IFERROR(INDEX($CO$4:$DL$4,MATCH(TRUE,INDEX((Tbl_ResidentData[[#This Row],[Over1]:[Over24]]&lt;&gt;0),0),0)),"")</f>
        <v/>
      </c>
      <c r="DN34" s="133" t="str">
        <f>IFERROR(INDEX(Tbl_PDSAData[Last DRT],MATCH(Tbl_ResidentData[Resident Name '[last, first']],Tbl_PDSAData[Resident Name (last, first)],0)),"")</f>
        <v/>
      </c>
      <c r="DO34" s="222" t="str">
        <f>IFERROR(INDEX(Tbl_PDSAData[Last MR],MATCH(Tbl_ResidentData[Resident Name '[last, first']],Tbl_PDSAData[Resident Name (last, first)],0)),"")</f>
        <v/>
      </c>
    </row>
    <row r="35" spans="1:119" x14ac:dyDescent="0.25">
      <c r="A35" s="179"/>
      <c r="B35" s="180"/>
      <c r="C35" s="180"/>
      <c r="D35" s="218"/>
      <c r="E35" s="179"/>
      <c r="F35" s="179"/>
      <c r="G35" s="181"/>
      <c r="H35" s="375"/>
      <c r="I35" s="186"/>
      <c r="J35" s="387"/>
      <c r="K35" s="178"/>
      <c r="L35" s="388"/>
      <c r="M35" s="187"/>
      <c r="N35" s="387"/>
      <c r="O35" s="178"/>
      <c r="P35" s="388"/>
      <c r="Q35" s="395"/>
      <c r="R35" s="396"/>
      <c r="S35" s="132" t="str">
        <f>IF(ISBLANK(Tbl_ResidentData[[#This Row],[Discharge '[mmm-yyyy']]]),IF(ISBLANK(Tbl_ResidentData[[#This Row],[Enrollment '[mmm-yyyy']]]),"","In Care Home"),"Discharged")</f>
        <v/>
      </c>
      <c r="T35" s="128" t="str">
        <f>IF(ISBLANK(Tbl_ResidentData[[#This Row],[Diagnosis (RAI)]]),IF(ISBLANK(Tbl_ResidentData[[#This Row],[Resident Name '[last, first']]]),"",0),IF(Tbl_ResidentData[[#This Row],[Diagnosis (RAI)]]="Other (see clinical notes)",0,1))</f>
        <v/>
      </c>
      <c r="U35" s="129" t="str">
        <f ca="1">IF(U$4&gt;NOW(),"-",IF(ISBLANK(Tbl_ResidentData[[#This Row],[Enrollment '[mmm-yyyy']]]),"-",AND((Tbl_ResidentData[[#This Row],[Enrollment '[mmm-yyyy']]]&lt;=U$4),IF(ISBLANK(Tbl_ResidentData[[#This Row],[Discharge '[mmm-yyyy']]]),TRUE,(Tbl_ResidentData[[#This Row],[Discharge '[mmm-yyyy']]]&gt;=U$4)))))</f>
        <v>-</v>
      </c>
      <c r="V35" s="121" t="str">
        <f ca="1">IF(V$4&gt;NOW(),"-",IF(ISBLANK(Tbl_ResidentData[[#This Row],[Enrollment '[mmm-yyyy']]]),"-",AND((Tbl_ResidentData[[#This Row],[Enrollment '[mmm-yyyy']]]&lt;=V$4),IF(ISBLANK(Tbl_ResidentData[[#This Row],[Discharge '[mmm-yyyy']]]),TRUE,(Tbl_ResidentData[[#This Row],[Discharge '[mmm-yyyy']]]&gt;=V$4)))))</f>
        <v>-</v>
      </c>
      <c r="W35" s="121" t="str">
        <f ca="1">IF(W$4&gt;NOW(),"-",IF(ISBLANK(Tbl_ResidentData[[#This Row],[Enrollment '[mmm-yyyy']]]),"-",AND((Tbl_ResidentData[[#This Row],[Enrollment '[mmm-yyyy']]]&lt;=W$4),IF(ISBLANK(Tbl_ResidentData[[#This Row],[Discharge '[mmm-yyyy']]]),TRUE,(Tbl_ResidentData[[#This Row],[Discharge '[mmm-yyyy']]]&gt;=W$4)))))</f>
        <v>-</v>
      </c>
      <c r="X35" s="121" t="str">
        <f ca="1">IF(X$4&gt;NOW(),"-",IF(ISBLANK(Tbl_ResidentData[[#This Row],[Enrollment '[mmm-yyyy']]]),"-",AND((Tbl_ResidentData[[#This Row],[Enrollment '[mmm-yyyy']]]&lt;=X$4),IF(ISBLANK(Tbl_ResidentData[[#This Row],[Discharge '[mmm-yyyy']]]),TRUE,(Tbl_ResidentData[[#This Row],[Discharge '[mmm-yyyy']]]&gt;=X$4)))))</f>
        <v>-</v>
      </c>
      <c r="Y35" s="121" t="str">
        <f ca="1">IF(Y$4&gt;NOW(),"-",IF(ISBLANK(Tbl_ResidentData[[#This Row],[Enrollment '[mmm-yyyy']]]),"-",AND((Tbl_ResidentData[[#This Row],[Enrollment '[mmm-yyyy']]]&lt;=Y$4),IF(ISBLANK(Tbl_ResidentData[[#This Row],[Discharge '[mmm-yyyy']]]),TRUE,(Tbl_ResidentData[[#This Row],[Discharge '[mmm-yyyy']]]&gt;=Y$4)))))</f>
        <v>-</v>
      </c>
      <c r="Z35" s="121" t="str">
        <f ca="1">IF(Z$4&gt;NOW(),"-",IF(ISBLANK(Tbl_ResidentData[[#This Row],[Enrollment '[mmm-yyyy']]]),"-",AND((Tbl_ResidentData[[#This Row],[Enrollment '[mmm-yyyy']]]&lt;=Z$4),IF(ISBLANK(Tbl_ResidentData[[#This Row],[Discharge '[mmm-yyyy']]]),TRUE,(Tbl_ResidentData[[#This Row],[Discharge '[mmm-yyyy']]]&gt;=Z$4)))))</f>
        <v>-</v>
      </c>
      <c r="AA35" s="121" t="str">
        <f ca="1">IF(AA$4&gt;NOW(),"-",IF(ISBLANK(Tbl_ResidentData[[#This Row],[Enrollment '[mmm-yyyy']]]),"-",AND((Tbl_ResidentData[[#This Row],[Enrollment '[mmm-yyyy']]]&lt;=AA$4),IF(ISBLANK(Tbl_ResidentData[[#This Row],[Discharge '[mmm-yyyy']]]),TRUE,(Tbl_ResidentData[[#This Row],[Discharge '[mmm-yyyy']]]&gt;=AA$4)))))</f>
        <v>-</v>
      </c>
      <c r="AB35" s="121" t="str">
        <f ca="1">IF(AB$4&gt;NOW(),"-",IF(ISBLANK(Tbl_ResidentData[[#This Row],[Enrollment '[mmm-yyyy']]]),"-",AND((Tbl_ResidentData[[#This Row],[Enrollment '[mmm-yyyy']]]&lt;=AB$4),IF(ISBLANK(Tbl_ResidentData[[#This Row],[Discharge '[mmm-yyyy']]]),TRUE,(Tbl_ResidentData[[#This Row],[Discharge '[mmm-yyyy']]]&gt;=AB$4)))))</f>
        <v>-</v>
      </c>
      <c r="AC35" s="121" t="str">
        <f ca="1">IF(AC$4&gt;NOW(),"-",IF(ISBLANK(Tbl_ResidentData[[#This Row],[Enrollment '[mmm-yyyy']]]),"-",AND((Tbl_ResidentData[[#This Row],[Enrollment '[mmm-yyyy']]]&lt;=AC$4),IF(ISBLANK(Tbl_ResidentData[[#This Row],[Discharge '[mmm-yyyy']]]),TRUE,(Tbl_ResidentData[[#This Row],[Discharge '[mmm-yyyy']]]&gt;=AC$4)))))</f>
        <v>-</v>
      </c>
      <c r="AD35" s="121" t="str">
        <f ca="1">IF(AD$4&gt;NOW(),"-",IF(ISBLANK(Tbl_ResidentData[[#This Row],[Enrollment '[mmm-yyyy']]]),"-",AND((Tbl_ResidentData[[#This Row],[Enrollment '[mmm-yyyy']]]&lt;=AD$4),IF(ISBLANK(Tbl_ResidentData[[#This Row],[Discharge '[mmm-yyyy']]]),TRUE,(Tbl_ResidentData[[#This Row],[Discharge '[mmm-yyyy']]]&gt;=AD$4)))))</f>
        <v>-</v>
      </c>
      <c r="AE35" s="121" t="str">
        <f ca="1">IF(AE$4&gt;NOW(),"-",IF(ISBLANK(Tbl_ResidentData[[#This Row],[Enrollment '[mmm-yyyy']]]),"-",AND((Tbl_ResidentData[[#This Row],[Enrollment '[mmm-yyyy']]]&lt;=AE$4),IF(ISBLANK(Tbl_ResidentData[[#This Row],[Discharge '[mmm-yyyy']]]),TRUE,(Tbl_ResidentData[[#This Row],[Discharge '[mmm-yyyy']]]&gt;=AE$4)))))</f>
        <v>-</v>
      </c>
      <c r="AF35" s="121" t="str">
        <f ca="1">IF(AF$4&gt;NOW(),"-",IF(ISBLANK(Tbl_ResidentData[[#This Row],[Enrollment '[mmm-yyyy']]]),"-",AND((Tbl_ResidentData[[#This Row],[Enrollment '[mmm-yyyy']]]&lt;=AF$4),IF(ISBLANK(Tbl_ResidentData[[#This Row],[Discharge '[mmm-yyyy']]]),TRUE,(Tbl_ResidentData[[#This Row],[Discharge '[mmm-yyyy']]]&gt;=AF$4)))))</f>
        <v>-</v>
      </c>
      <c r="AG35" s="121" t="str">
        <f ca="1">IF(AG$4&gt;NOW(),"-",IF(ISBLANK(Tbl_ResidentData[[#This Row],[Enrollment '[mmm-yyyy']]]),"-",AND((Tbl_ResidentData[[#This Row],[Enrollment '[mmm-yyyy']]]&lt;=AG$4),IF(ISBLANK(Tbl_ResidentData[[#This Row],[Discharge '[mmm-yyyy']]]),TRUE,(Tbl_ResidentData[[#This Row],[Discharge '[mmm-yyyy']]]&gt;=AG$4)))))</f>
        <v>-</v>
      </c>
      <c r="AH35" s="121" t="str">
        <f ca="1">IF(AH$4&gt;NOW(),"-",IF(ISBLANK(Tbl_ResidentData[[#This Row],[Enrollment '[mmm-yyyy']]]),"-",AND((Tbl_ResidentData[[#This Row],[Enrollment '[mmm-yyyy']]]&lt;=AH$4),IF(ISBLANK(Tbl_ResidentData[[#This Row],[Discharge '[mmm-yyyy']]]),TRUE,(Tbl_ResidentData[[#This Row],[Discharge '[mmm-yyyy']]]&gt;=AH$4)))))</f>
        <v>-</v>
      </c>
      <c r="AI35" s="121" t="str">
        <f ca="1">IF(AI$4&gt;NOW(),"-",IF(ISBLANK(Tbl_ResidentData[[#This Row],[Enrollment '[mmm-yyyy']]]),"-",AND((Tbl_ResidentData[[#This Row],[Enrollment '[mmm-yyyy']]]&lt;=AI$4),IF(ISBLANK(Tbl_ResidentData[[#This Row],[Discharge '[mmm-yyyy']]]),TRUE,(Tbl_ResidentData[[#This Row],[Discharge '[mmm-yyyy']]]&gt;=AI$4)))))</f>
        <v>-</v>
      </c>
      <c r="AJ35" s="121" t="str">
        <f ca="1">IF(AJ$4&gt;NOW(),"-",IF(ISBLANK(Tbl_ResidentData[[#This Row],[Enrollment '[mmm-yyyy']]]),"-",AND((Tbl_ResidentData[[#This Row],[Enrollment '[mmm-yyyy']]]&lt;=AJ$4),IF(ISBLANK(Tbl_ResidentData[[#This Row],[Discharge '[mmm-yyyy']]]),TRUE,(Tbl_ResidentData[[#This Row],[Discharge '[mmm-yyyy']]]&gt;=AJ$4)))))</f>
        <v>-</v>
      </c>
      <c r="AK35" s="121" t="str">
        <f ca="1">IF(AK$4&gt;NOW(),"-",IF(ISBLANK(Tbl_ResidentData[[#This Row],[Enrollment '[mmm-yyyy']]]),"-",AND((Tbl_ResidentData[[#This Row],[Enrollment '[mmm-yyyy']]]&lt;=AK$4),IF(ISBLANK(Tbl_ResidentData[[#This Row],[Discharge '[mmm-yyyy']]]),TRUE,(Tbl_ResidentData[[#This Row],[Discharge '[mmm-yyyy']]]&gt;=AK$4)))))</f>
        <v>-</v>
      </c>
      <c r="AL35" s="121" t="str">
        <f ca="1">IF(AL$4&gt;NOW(),"-",IF(ISBLANK(Tbl_ResidentData[[#This Row],[Enrollment '[mmm-yyyy']]]),"-",AND((Tbl_ResidentData[[#This Row],[Enrollment '[mmm-yyyy']]]&lt;=AL$4),IF(ISBLANK(Tbl_ResidentData[[#This Row],[Discharge '[mmm-yyyy']]]),TRUE,(Tbl_ResidentData[[#This Row],[Discharge '[mmm-yyyy']]]&gt;=AL$4)))))</f>
        <v>-</v>
      </c>
      <c r="AM35" s="121" t="str">
        <f ca="1">IF(AM$4&gt;NOW(),"-",IF(ISBLANK(Tbl_ResidentData[[#This Row],[Enrollment '[mmm-yyyy']]]),"-",AND((Tbl_ResidentData[[#This Row],[Enrollment '[mmm-yyyy']]]&lt;=AM$4),IF(ISBLANK(Tbl_ResidentData[[#This Row],[Discharge '[mmm-yyyy']]]),TRUE,(Tbl_ResidentData[[#This Row],[Discharge '[mmm-yyyy']]]&gt;=AM$4)))))</f>
        <v>-</v>
      </c>
      <c r="AN35" s="121" t="str">
        <f ca="1">IF(AN$4&gt;NOW(),"-",IF(ISBLANK(Tbl_ResidentData[[#This Row],[Enrollment '[mmm-yyyy']]]),"-",AND((Tbl_ResidentData[[#This Row],[Enrollment '[mmm-yyyy']]]&lt;=AN$4),IF(ISBLANK(Tbl_ResidentData[[#This Row],[Discharge '[mmm-yyyy']]]),TRUE,(Tbl_ResidentData[[#This Row],[Discharge '[mmm-yyyy']]]&gt;=AN$4)))))</f>
        <v>-</v>
      </c>
      <c r="AO35" s="121" t="str">
        <f ca="1">IF(AO$4&gt;NOW(),"-",IF(ISBLANK(Tbl_ResidentData[[#This Row],[Enrollment '[mmm-yyyy']]]),"-",AND((Tbl_ResidentData[[#This Row],[Enrollment '[mmm-yyyy']]]&lt;=AO$4),IF(ISBLANK(Tbl_ResidentData[[#This Row],[Discharge '[mmm-yyyy']]]),TRUE,(Tbl_ResidentData[[#This Row],[Discharge '[mmm-yyyy']]]&gt;=AO$4)))))</f>
        <v>-</v>
      </c>
      <c r="AP35" s="121" t="str">
        <f ca="1">IF(AP$4&gt;NOW(),"-",IF(ISBLANK(Tbl_ResidentData[[#This Row],[Enrollment '[mmm-yyyy']]]),"-",AND((Tbl_ResidentData[[#This Row],[Enrollment '[mmm-yyyy']]]&lt;=AP$4),IF(ISBLANK(Tbl_ResidentData[[#This Row],[Discharge '[mmm-yyyy']]]),TRUE,(Tbl_ResidentData[[#This Row],[Discharge '[mmm-yyyy']]]&gt;=AP$4)))))</f>
        <v>-</v>
      </c>
      <c r="AQ35" s="121" t="str">
        <f ca="1">IF(AQ$4&gt;NOW(),"-",IF(ISBLANK(Tbl_ResidentData[[#This Row],[Enrollment '[mmm-yyyy']]]),"-",AND((Tbl_ResidentData[[#This Row],[Enrollment '[mmm-yyyy']]]&lt;=AQ$4),IF(ISBLANK(Tbl_ResidentData[[#This Row],[Discharge '[mmm-yyyy']]]),TRUE,(Tbl_ResidentData[[#This Row],[Discharge '[mmm-yyyy']]]&gt;=AQ$4)))))</f>
        <v>-</v>
      </c>
      <c r="AR35" s="122" t="str">
        <f ca="1">IF(AR$4&gt;NOW(),"-",IF(ISBLANK(Tbl_ResidentData[[#This Row],[Enrollment '[mmm-yyyy']]]),"-",AND((Tbl_ResidentData[[#This Row],[Enrollment '[mmm-yyyy']]]&lt;=AR$4),IF(ISBLANK(Tbl_ResidentData[[#This Row],[Discharge '[mmm-yyyy']]]),TRUE,(Tbl_ResidentData[[#This Row],[Discharge '[mmm-yyyy']]]&gt;=AR$4)))))</f>
        <v>-</v>
      </c>
      <c r="AS3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35"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35"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35"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35"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35"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35"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35"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35"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35"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35"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35"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35"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35"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35"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35"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35"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35"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35"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35"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35"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3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3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3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35" s="120" t="b">
        <f ca="1">AND(Tbl_ResidentData[[#This Row],[PRN Med Started]]&lt;&gt;"",Tbl_ResidentData[[#This Row],[PRN Med Started]]&lt;=NOW(),Tbl_ResidentData[[#This Row],[PRN Med Started]]&lt;=AS$4,OR(Tbl_ResidentData[[#This Row],[PRN Med Discontinued]]&gt;AS$4,ISBLANK(Tbl_ResidentData[[#This Row],[PRN Med Discontinued]])))</f>
        <v>0</v>
      </c>
      <c r="BR35" s="121" t="b">
        <f ca="1">AND(Tbl_ResidentData[[#This Row],[PRN Med Started]]&lt;&gt;"",Tbl_ResidentData[[#This Row],[PRN Med Started]]&lt;=NOW(),Tbl_ResidentData[[#This Row],[PRN Med Started]]&lt;=AT$4,OR(Tbl_ResidentData[[#This Row],[PRN Med Discontinued]]&gt;AT$4,ISBLANK(Tbl_ResidentData[[#This Row],[PRN Med Discontinued]])))</f>
        <v>0</v>
      </c>
      <c r="BS35" s="129" t="b">
        <f ca="1">AND(Tbl_ResidentData[[#This Row],[PRN Med Started]]&lt;&gt;"",Tbl_ResidentData[[#This Row],[PRN Med Started]]&lt;=NOW(),Tbl_ResidentData[[#This Row],[PRN Med Started]]&lt;=AU$4,OR(Tbl_ResidentData[[#This Row],[PRN Med Discontinued]]&gt;AU$4,ISBLANK(Tbl_ResidentData[[#This Row],[PRN Med Discontinued]])))</f>
        <v>0</v>
      </c>
      <c r="BT35" s="129" t="b">
        <f ca="1">AND(Tbl_ResidentData[[#This Row],[PRN Med Started]]&lt;&gt;"",Tbl_ResidentData[[#This Row],[PRN Med Started]]&lt;=NOW(),Tbl_ResidentData[[#This Row],[PRN Med Started]]&lt;=AV$4,OR(Tbl_ResidentData[[#This Row],[PRN Med Discontinued]]&gt;AV$4,ISBLANK(Tbl_ResidentData[[#This Row],[PRN Med Discontinued]])))</f>
        <v>0</v>
      </c>
      <c r="BU35" s="129" t="b">
        <f ca="1">AND(Tbl_ResidentData[[#This Row],[PRN Med Started]]&lt;&gt;"",Tbl_ResidentData[[#This Row],[PRN Med Started]]&lt;=NOW(),Tbl_ResidentData[[#This Row],[PRN Med Started]]&lt;=AW$4,OR(Tbl_ResidentData[[#This Row],[PRN Med Discontinued]]&gt;AW$4,ISBLANK(Tbl_ResidentData[[#This Row],[PRN Med Discontinued]])))</f>
        <v>0</v>
      </c>
      <c r="BV35" s="129" t="b">
        <f ca="1">AND(Tbl_ResidentData[[#This Row],[PRN Med Started]]&lt;&gt;"",Tbl_ResidentData[[#This Row],[PRN Med Started]]&lt;=NOW(),Tbl_ResidentData[[#This Row],[PRN Med Started]]&lt;=AX$4,OR(Tbl_ResidentData[[#This Row],[PRN Med Discontinued]]&gt;AX$4,ISBLANK(Tbl_ResidentData[[#This Row],[PRN Med Discontinued]])))</f>
        <v>0</v>
      </c>
      <c r="BW35" s="129" t="b">
        <f ca="1">AND(Tbl_ResidentData[[#This Row],[PRN Med Started]]&lt;&gt;"",Tbl_ResidentData[[#This Row],[PRN Med Started]]&lt;=NOW(),Tbl_ResidentData[[#This Row],[PRN Med Started]]&lt;=AY$4,OR(Tbl_ResidentData[[#This Row],[PRN Med Discontinued]]&gt;AY$4,ISBLANK(Tbl_ResidentData[[#This Row],[PRN Med Discontinued]])))</f>
        <v>0</v>
      </c>
      <c r="BX35" s="129" t="b">
        <f ca="1">AND(Tbl_ResidentData[[#This Row],[PRN Med Started]]&lt;&gt;"",Tbl_ResidentData[[#This Row],[PRN Med Started]]&lt;=NOW(),Tbl_ResidentData[[#This Row],[PRN Med Started]]&lt;=AZ$4,OR(Tbl_ResidentData[[#This Row],[PRN Med Discontinued]]&gt;AZ$4,ISBLANK(Tbl_ResidentData[[#This Row],[PRN Med Discontinued]])))</f>
        <v>0</v>
      </c>
      <c r="BY35" s="129" t="b">
        <f ca="1">AND(Tbl_ResidentData[[#This Row],[PRN Med Started]]&lt;&gt;"",Tbl_ResidentData[[#This Row],[PRN Med Started]]&lt;=NOW(),Tbl_ResidentData[[#This Row],[PRN Med Started]]&lt;=BA$4,OR(Tbl_ResidentData[[#This Row],[PRN Med Discontinued]]&gt;BA$4,ISBLANK(Tbl_ResidentData[[#This Row],[PRN Med Discontinued]])))</f>
        <v>0</v>
      </c>
      <c r="BZ35" s="129" t="b">
        <f ca="1">AND(Tbl_ResidentData[[#This Row],[PRN Med Started]]&lt;&gt;"",Tbl_ResidentData[[#This Row],[PRN Med Started]]&lt;=NOW(),Tbl_ResidentData[[#This Row],[PRN Med Started]]&lt;=BB$4,OR(Tbl_ResidentData[[#This Row],[PRN Med Discontinued]]&gt;BB$4,ISBLANK(Tbl_ResidentData[[#This Row],[PRN Med Discontinued]])))</f>
        <v>0</v>
      </c>
      <c r="CA35" s="129" t="b">
        <f ca="1">AND(Tbl_ResidentData[[#This Row],[PRN Med Started]]&lt;&gt;"",Tbl_ResidentData[[#This Row],[PRN Med Started]]&lt;=NOW(),Tbl_ResidentData[[#This Row],[PRN Med Started]]&lt;=BC$4,OR(Tbl_ResidentData[[#This Row],[PRN Med Discontinued]]&gt;BC$4,ISBLANK(Tbl_ResidentData[[#This Row],[PRN Med Discontinued]])))</f>
        <v>0</v>
      </c>
      <c r="CB35" s="129" t="b">
        <f ca="1">AND(Tbl_ResidentData[[#This Row],[PRN Med Started]]&lt;&gt;"",Tbl_ResidentData[[#This Row],[PRN Med Started]]&lt;=NOW(),Tbl_ResidentData[[#This Row],[PRN Med Started]]&lt;=BD$4,OR(Tbl_ResidentData[[#This Row],[PRN Med Discontinued]]&gt;BD$4,ISBLANK(Tbl_ResidentData[[#This Row],[PRN Med Discontinued]])))</f>
        <v>0</v>
      </c>
      <c r="CC35" s="129" t="b">
        <f ca="1">AND(Tbl_ResidentData[[#This Row],[PRN Med Started]]&lt;&gt;"",Tbl_ResidentData[[#This Row],[PRN Med Started]]&lt;=NOW(),Tbl_ResidentData[[#This Row],[PRN Med Started]]&lt;=BE$4,OR(Tbl_ResidentData[[#This Row],[PRN Med Discontinued]]&gt;BE$4,ISBLANK(Tbl_ResidentData[[#This Row],[PRN Med Discontinued]])))</f>
        <v>0</v>
      </c>
      <c r="CD35" s="129" t="b">
        <f ca="1">AND(Tbl_ResidentData[[#This Row],[PRN Med Started]]&lt;&gt;"",Tbl_ResidentData[[#This Row],[PRN Med Started]]&lt;=NOW(),Tbl_ResidentData[[#This Row],[PRN Med Started]]&lt;=BF$4,OR(Tbl_ResidentData[[#This Row],[PRN Med Discontinued]]&gt;BF$4,ISBLANK(Tbl_ResidentData[[#This Row],[PRN Med Discontinued]])))</f>
        <v>0</v>
      </c>
      <c r="CE35" s="129" t="b">
        <f ca="1">AND(Tbl_ResidentData[[#This Row],[PRN Med Started]]&lt;&gt;"",Tbl_ResidentData[[#This Row],[PRN Med Started]]&lt;=NOW(),Tbl_ResidentData[[#This Row],[PRN Med Started]]&lt;=BG$4,OR(Tbl_ResidentData[[#This Row],[PRN Med Discontinued]]&gt;BG$4,ISBLANK(Tbl_ResidentData[[#This Row],[PRN Med Discontinued]])))</f>
        <v>0</v>
      </c>
      <c r="CF35" s="129" t="b">
        <f ca="1">AND(Tbl_ResidentData[[#This Row],[PRN Med Started]]&lt;&gt;"",Tbl_ResidentData[[#This Row],[PRN Med Started]]&lt;=NOW(),Tbl_ResidentData[[#This Row],[PRN Med Started]]&lt;=BH$4,OR(Tbl_ResidentData[[#This Row],[PRN Med Discontinued]]&gt;BH$4,ISBLANK(Tbl_ResidentData[[#This Row],[PRN Med Discontinued]])))</f>
        <v>0</v>
      </c>
      <c r="CG35" s="129" t="b">
        <f ca="1">AND(Tbl_ResidentData[[#This Row],[PRN Med Started]]&lt;&gt;"",Tbl_ResidentData[[#This Row],[PRN Med Started]]&lt;=NOW(),Tbl_ResidentData[[#This Row],[PRN Med Started]]&lt;=BI$4,OR(Tbl_ResidentData[[#This Row],[PRN Med Discontinued]]&gt;BI$4,ISBLANK(Tbl_ResidentData[[#This Row],[PRN Med Discontinued]])))</f>
        <v>0</v>
      </c>
      <c r="CH35" s="129" t="b">
        <f ca="1">AND(Tbl_ResidentData[[#This Row],[PRN Med Started]]&lt;&gt;"",Tbl_ResidentData[[#This Row],[PRN Med Started]]&lt;=NOW(),Tbl_ResidentData[[#This Row],[PRN Med Started]]&lt;=BJ$4,OR(Tbl_ResidentData[[#This Row],[PRN Med Discontinued]]&gt;BJ$4,ISBLANK(Tbl_ResidentData[[#This Row],[PRN Med Discontinued]])))</f>
        <v>0</v>
      </c>
      <c r="CI35" s="129" t="b">
        <f ca="1">AND(Tbl_ResidentData[[#This Row],[PRN Med Started]]&lt;&gt;"",Tbl_ResidentData[[#This Row],[PRN Med Started]]&lt;=NOW(),Tbl_ResidentData[[#This Row],[PRN Med Started]]&lt;=BK$4,OR(Tbl_ResidentData[[#This Row],[PRN Med Discontinued]]&gt;BK$4,ISBLANK(Tbl_ResidentData[[#This Row],[PRN Med Discontinued]])))</f>
        <v>0</v>
      </c>
      <c r="CJ35" s="129" t="b">
        <f ca="1">AND(Tbl_ResidentData[[#This Row],[PRN Med Started]]&lt;&gt;"",Tbl_ResidentData[[#This Row],[PRN Med Started]]&lt;=NOW(),Tbl_ResidentData[[#This Row],[PRN Med Started]]&lt;=BL$4,OR(Tbl_ResidentData[[#This Row],[PRN Med Discontinued]]&gt;BL$4,ISBLANK(Tbl_ResidentData[[#This Row],[PRN Med Discontinued]])))</f>
        <v>0</v>
      </c>
      <c r="CK35" s="129" t="b">
        <f ca="1">AND(Tbl_ResidentData[[#This Row],[PRN Med Started]]&lt;&gt;"",Tbl_ResidentData[[#This Row],[PRN Med Started]]&lt;=NOW(),Tbl_ResidentData[[#This Row],[PRN Med Started]]&lt;=BM$4,OR(Tbl_ResidentData[[#This Row],[PRN Med Discontinued]]&gt;BM$4,ISBLANK(Tbl_ResidentData[[#This Row],[PRN Med Discontinued]])))</f>
        <v>0</v>
      </c>
      <c r="CL35" s="129" t="b">
        <f ca="1">AND(Tbl_ResidentData[[#This Row],[PRN Med Started]]&lt;&gt;"",Tbl_ResidentData[[#This Row],[PRN Med Started]]&lt;=NOW(),Tbl_ResidentData[[#This Row],[PRN Med Started]]&lt;=BN$4,OR(Tbl_ResidentData[[#This Row],[PRN Med Discontinued]]&gt;BN$4,ISBLANK(Tbl_ResidentData[[#This Row],[PRN Med Discontinued]])))</f>
        <v>0</v>
      </c>
      <c r="CM35" s="121" t="b">
        <f ca="1">AND(Tbl_ResidentData[[#This Row],[PRN Med Started]]&lt;&gt;"",Tbl_ResidentData[[#This Row],[PRN Med Started]]&lt;=NOW(),Tbl_ResidentData[[#This Row],[PRN Med Started]]&lt;=BO$4,OR(Tbl_ResidentData[[#This Row],[PRN Med Discontinued]]&gt;BO$4,ISBLANK(Tbl_ResidentData[[#This Row],[PRN Med Discontinued]])))</f>
        <v>0</v>
      </c>
      <c r="CN35" s="122" t="b">
        <f ca="1">AND(Tbl_ResidentData[[#This Row],[PRN Med Started]]&lt;&gt;"",Tbl_ResidentData[[#This Row],[PRN Med Started]]&lt;=NOW(),Tbl_ResidentData[[#This Row],[PRN Med Started]]&lt;=BP$4,OR(Tbl_ResidentData[[#This Row],[PRN Med Discontinued]]&gt;BP$4,ISBLANK(Tbl_ResidentData[[#This Row],[PRN Med Discontinued]])))</f>
        <v>0</v>
      </c>
      <c r="CO35" s="120">
        <f ca="1">IF(OR(Tbl_ResidentData[[#This Row],[S1]]=TRUE,Tbl_ResidentData[[#This Row],[P1]]=TRUE),1,0)</f>
        <v>0</v>
      </c>
      <c r="CP35" s="121">
        <f ca="1">IF(OR(Tbl_ResidentData[[#This Row],[S2]]=TRUE,Tbl_ResidentData[[#This Row],[P2]]=TRUE),1,0)</f>
        <v>0</v>
      </c>
      <c r="CQ35" s="121">
        <f ca="1">IF(OR(Tbl_ResidentData[[#This Row],[S3]]=TRUE,Tbl_ResidentData[[#This Row],[P3]]=TRUE),1,0)</f>
        <v>0</v>
      </c>
      <c r="CR35" s="130">
        <f ca="1">IF(OR(Tbl_ResidentData[[#This Row],[S4]]=TRUE,Tbl_ResidentData[[#This Row],[P4]]=TRUE),1,0)</f>
        <v>0</v>
      </c>
      <c r="CS35" s="130">
        <f ca="1">IF(OR(Tbl_ResidentData[[#This Row],[S5]]=TRUE,Tbl_ResidentData[[#This Row],[P5]]=TRUE),1,0)</f>
        <v>0</v>
      </c>
      <c r="CT35" s="130">
        <f ca="1">IF(OR(Tbl_ResidentData[[#This Row],[S6]]=TRUE,Tbl_ResidentData[[#This Row],[P6]]=TRUE),1,0)</f>
        <v>0</v>
      </c>
      <c r="CU35" s="130">
        <f ca="1">IF(OR(Tbl_ResidentData[[#This Row],[S7]]=TRUE,Tbl_ResidentData[[#This Row],[P7]]=TRUE),1,0)</f>
        <v>0</v>
      </c>
      <c r="CV35" s="130">
        <f ca="1">IF(OR(Tbl_ResidentData[[#This Row],[S8]]=TRUE,Tbl_ResidentData[[#This Row],[P8]]=TRUE),1,0)</f>
        <v>0</v>
      </c>
      <c r="CW35" s="130">
        <f ca="1">IF(OR(Tbl_ResidentData[[#This Row],[S9]]=TRUE,Tbl_ResidentData[[#This Row],[P9]]=TRUE),1,0)</f>
        <v>0</v>
      </c>
      <c r="CX35" s="130">
        <f ca="1">IF(OR(Tbl_ResidentData[[#This Row],[S10]]=TRUE,Tbl_ResidentData[[#This Row],[P10]]=TRUE),1,0)</f>
        <v>0</v>
      </c>
      <c r="CY35" s="130">
        <f ca="1">IF(OR(Tbl_ResidentData[[#This Row],[S11]]=TRUE,Tbl_ResidentData[[#This Row],[P11]]=TRUE),1,0)</f>
        <v>0</v>
      </c>
      <c r="CZ35" s="130">
        <f ca="1">IF(OR(Tbl_ResidentData[[#This Row],[S12]]=TRUE,Tbl_ResidentData[[#This Row],[P12]]=TRUE),1,0)</f>
        <v>0</v>
      </c>
      <c r="DA35" s="130">
        <f ca="1">IF(OR(Tbl_ResidentData[[#This Row],[S13]]=TRUE,Tbl_ResidentData[[#This Row],[P13]]=TRUE),1,0)</f>
        <v>0</v>
      </c>
      <c r="DB35" s="130">
        <f ca="1">IF(OR(Tbl_ResidentData[[#This Row],[S14]]=TRUE,Tbl_ResidentData[[#This Row],[P14]]=TRUE),1,0)</f>
        <v>0</v>
      </c>
      <c r="DC35" s="130">
        <f ca="1">IF(OR(Tbl_ResidentData[[#This Row],[S15]]=TRUE,Tbl_ResidentData[[#This Row],[P15]]=TRUE),1,0)</f>
        <v>0</v>
      </c>
      <c r="DD35" s="130">
        <f ca="1">IF(OR(Tbl_ResidentData[[#This Row],[S16]]=TRUE,Tbl_ResidentData[[#This Row],[P16]]=TRUE),1,0)</f>
        <v>0</v>
      </c>
      <c r="DE35" s="130">
        <f ca="1">IF(OR(Tbl_ResidentData[[#This Row],[S17]]=TRUE,Tbl_ResidentData[[#This Row],[P17]]=TRUE),1,0)</f>
        <v>0</v>
      </c>
      <c r="DF35" s="130">
        <f ca="1">IF(OR(Tbl_ResidentData[[#This Row],[S18]]=TRUE,Tbl_ResidentData[[#This Row],[P18]]=TRUE),1,0)</f>
        <v>0</v>
      </c>
      <c r="DG35" s="130">
        <f ca="1">IF(OR(Tbl_ResidentData[[#This Row],[S19]]=TRUE,Tbl_ResidentData[[#This Row],[P19]]=TRUE),1,0)</f>
        <v>0</v>
      </c>
      <c r="DH35" s="130">
        <f ca="1">IF(OR(Tbl_ResidentData[[#This Row],[S20]]=TRUE,Tbl_ResidentData[[#This Row],[P20]]=TRUE),1,0)</f>
        <v>0</v>
      </c>
      <c r="DI35" s="130">
        <f ca="1">IF(OR(Tbl_ResidentData[[#This Row],[S21]]=TRUE,Tbl_ResidentData[[#This Row],[P21]]=TRUE),1,0)</f>
        <v>0</v>
      </c>
      <c r="DJ35" s="130">
        <f ca="1">IF(OR(Tbl_ResidentData[[#This Row],[S22]]=TRUE,Tbl_ResidentData[[#This Row],[P22]]=TRUE),1,0)</f>
        <v>0</v>
      </c>
      <c r="DK35" s="130">
        <f ca="1">IF(OR(Tbl_ResidentData[[#This Row],[S23]]=TRUE,Tbl_ResidentData[[#This Row],[P23]]=TRUE),1,0)</f>
        <v>0</v>
      </c>
      <c r="DL35" s="130">
        <f ca="1">IF(OR(Tbl_ResidentData[[#This Row],[S24]]=TRUE,Tbl_ResidentData[[#This Row],[P24]]=TRUE),1,0)</f>
        <v>0</v>
      </c>
      <c r="DM35" s="123" t="str">
        <f ca="1">IFERROR(INDEX($CO$4:$DL$4,MATCH(TRUE,INDEX((Tbl_ResidentData[[#This Row],[Over1]:[Over24]]&lt;&gt;0),0),0)),"")</f>
        <v/>
      </c>
      <c r="DN35" s="133" t="str">
        <f>IFERROR(INDEX(Tbl_PDSAData[Last DRT],MATCH(Tbl_ResidentData[Resident Name '[last, first']],Tbl_PDSAData[Resident Name (last, first)],0)),"")</f>
        <v/>
      </c>
      <c r="DO35" s="222" t="str">
        <f>IFERROR(INDEX(Tbl_PDSAData[Last MR],MATCH(Tbl_ResidentData[Resident Name '[last, first']],Tbl_PDSAData[Resident Name (last, first)],0)),"")</f>
        <v/>
      </c>
    </row>
    <row r="36" spans="1:119" x14ac:dyDescent="0.25">
      <c r="A36" s="179"/>
      <c r="B36" s="180"/>
      <c r="C36" s="180"/>
      <c r="D36" s="218"/>
      <c r="E36" s="179"/>
      <c r="F36" s="181"/>
      <c r="G36" s="181"/>
      <c r="H36" s="182"/>
      <c r="I36" s="185"/>
      <c r="J36" s="387"/>
      <c r="K36" s="178"/>
      <c r="L36" s="388"/>
      <c r="M36" s="185"/>
      <c r="N36" s="386"/>
      <c r="O36" s="178"/>
      <c r="P36" s="388"/>
      <c r="Q36" s="394"/>
      <c r="R36" s="388"/>
      <c r="S36" s="131" t="str">
        <f>IF(ISBLANK(Tbl_ResidentData[[#This Row],[Discharge '[mmm-yyyy']]]),IF(ISBLANK(Tbl_ResidentData[[#This Row],[Enrollment '[mmm-yyyy']]]),"","In Care Home"),"Discharged")</f>
        <v/>
      </c>
      <c r="T36" s="119" t="str">
        <f>IF(ISBLANK(Tbl_ResidentData[[#This Row],[Diagnosis (RAI)]]),IF(ISBLANK(Tbl_ResidentData[[#This Row],[Resident Name '[last, first']]]),"",0),IF(Tbl_ResidentData[[#This Row],[Diagnosis (RAI)]]="Other (see clinical notes)",0,1))</f>
        <v/>
      </c>
      <c r="U36" s="120" t="str">
        <f ca="1">IF(U$4&gt;NOW(),"-",IF(ISBLANK(Tbl_ResidentData[[#This Row],[Enrollment '[mmm-yyyy']]]),"-",AND((Tbl_ResidentData[[#This Row],[Enrollment '[mmm-yyyy']]]&lt;=U$4),IF(ISBLANK(Tbl_ResidentData[[#This Row],[Discharge '[mmm-yyyy']]]),TRUE,(Tbl_ResidentData[[#This Row],[Discharge '[mmm-yyyy']]]&gt;=U$4)))))</f>
        <v>-</v>
      </c>
      <c r="V36" s="121" t="str">
        <f ca="1">IF(V$4&gt;NOW(),"-",IF(ISBLANK(Tbl_ResidentData[[#This Row],[Enrollment '[mmm-yyyy']]]),"-",AND((Tbl_ResidentData[[#This Row],[Enrollment '[mmm-yyyy']]]&lt;=V$4),IF(ISBLANK(Tbl_ResidentData[[#This Row],[Discharge '[mmm-yyyy']]]),TRUE,(Tbl_ResidentData[[#This Row],[Discharge '[mmm-yyyy']]]&gt;=V$4)))))</f>
        <v>-</v>
      </c>
      <c r="W36" s="121" t="str">
        <f ca="1">IF(W$4&gt;NOW(),"-",IF(ISBLANK(Tbl_ResidentData[[#This Row],[Enrollment '[mmm-yyyy']]]),"-",AND((Tbl_ResidentData[[#This Row],[Enrollment '[mmm-yyyy']]]&lt;=W$4),IF(ISBLANK(Tbl_ResidentData[[#This Row],[Discharge '[mmm-yyyy']]]),TRUE,(Tbl_ResidentData[[#This Row],[Discharge '[mmm-yyyy']]]&gt;=W$4)))))</f>
        <v>-</v>
      </c>
      <c r="X36" s="121" t="str">
        <f ca="1">IF(X$4&gt;NOW(),"-",IF(ISBLANK(Tbl_ResidentData[[#This Row],[Enrollment '[mmm-yyyy']]]),"-",AND((Tbl_ResidentData[[#This Row],[Enrollment '[mmm-yyyy']]]&lt;=X$4),IF(ISBLANK(Tbl_ResidentData[[#This Row],[Discharge '[mmm-yyyy']]]),TRUE,(Tbl_ResidentData[[#This Row],[Discharge '[mmm-yyyy']]]&gt;=X$4)))))</f>
        <v>-</v>
      </c>
      <c r="Y36" s="121" t="str">
        <f ca="1">IF(Y$4&gt;NOW(),"-",IF(ISBLANK(Tbl_ResidentData[[#This Row],[Enrollment '[mmm-yyyy']]]),"-",AND((Tbl_ResidentData[[#This Row],[Enrollment '[mmm-yyyy']]]&lt;=Y$4),IF(ISBLANK(Tbl_ResidentData[[#This Row],[Discharge '[mmm-yyyy']]]),TRUE,(Tbl_ResidentData[[#This Row],[Discharge '[mmm-yyyy']]]&gt;=Y$4)))))</f>
        <v>-</v>
      </c>
      <c r="Z36" s="121" t="str">
        <f ca="1">IF(Z$4&gt;NOW(),"-",IF(ISBLANK(Tbl_ResidentData[[#This Row],[Enrollment '[mmm-yyyy']]]),"-",AND((Tbl_ResidentData[[#This Row],[Enrollment '[mmm-yyyy']]]&lt;=Z$4),IF(ISBLANK(Tbl_ResidentData[[#This Row],[Discharge '[mmm-yyyy']]]),TRUE,(Tbl_ResidentData[[#This Row],[Discharge '[mmm-yyyy']]]&gt;=Z$4)))))</f>
        <v>-</v>
      </c>
      <c r="AA36" s="121" t="str">
        <f ca="1">IF(AA$4&gt;NOW(),"-",IF(ISBLANK(Tbl_ResidentData[[#This Row],[Enrollment '[mmm-yyyy']]]),"-",AND((Tbl_ResidentData[[#This Row],[Enrollment '[mmm-yyyy']]]&lt;=AA$4),IF(ISBLANK(Tbl_ResidentData[[#This Row],[Discharge '[mmm-yyyy']]]),TRUE,(Tbl_ResidentData[[#This Row],[Discharge '[mmm-yyyy']]]&gt;=AA$4)))))</f>
        <v>-</v>
      </c>
      <c r="AB36" s="121" t="str">
        <f ca="1">IF(AB$4&gt;NOW(),"-",IF(ISBLANK(Tbl_ResidentData[[#This Row],[Enrollment '[mmm-yyyy']]]),"-",AND((Tbl_ResidentData[[#This Row],[Enrollment '[mmm-yyyy']]]&lt;=AB$4),IF(ISBLANK(Tbl_ResidentData[[#This Row],[Discharge '[mmm-yyyy']]]),TRUE,(Tbl_ResidentData[[#This Row],[Discharge '[mmm-yyyy']]]&gt;=AB$4)))))</f>
        <v>-</v>
      </c>
      <c r="AC36" s="121" t="str">
        <f ca="1">IF(AC$4&gt;NOW(),"-",IF(ISBLANK(Tbl_ResidentData[[#This Row],[Enrollment '[mmm-yyyy']]]),"-",AND((Tbl_ResidentData[[#This Row],[Enrollment '[mmm-yyyy']]]&lt;=AC$4),IF(ISBLANK(Tbl_ResidentData[[#This Row],[Discharge '[mmm-yyyy']]]),TRUE,(Tbl_ResidentData[[#This Row],[Discharge '[mmm-yyyy']]]&gt;=AC$4)))))</f>
        <v>-</v>
      </c>
      <c r="AD36" s="121" t="str">
        <f ca="1">IF(AD$4&gt;NOW(),"-",IF(ISBLANK(Tbl_ResidentData[[#This Row],[Enrollment '[mmm-yyyy']]]),"-",AND((Tbl_ResidentData[[#This Row],[Enrollment '[mmm-yyyy']]]&lt;=AD$4),IF(ISBLANK(Tbl_ResidentData[[#This Row],[Discharge '[mmm-yyyy']]]),TRUE,(Tbl_ResidentData[[#This Row],[Discharge '[mmm-yyyy']]]&gt;=AD$4)))))</f>
        <v>-</v>
      </c>
      <c r="AE36" s="121" t="str">
        <f ca="1">IF(AE$4&gt;NOW(),"-",IF(ISBLANK(Tbl_ResidentData[[#This Row],[Enrollment '[mmm-yyyy']]]),"-",AND((Tbl_ResidentData[[#This Row],[Enrollment '[mmm-yyyy']]]&lt;=AE$4),IF(ISBLANK(Tbl_ResidentData[[#This Row],[Discharge '[mmm-yyyy']]]),TRUE,(Tbl_ResidentData[[#This Row],[Discharge '[mmm-yyyy']]]&gt;=AE$4)))))</f>
        <v>-</v>
      </c>
      <c r="AF36" s="121" t="str">
        <f ca="1">IF(AF$4&gt;NOW(),"-",IF(ISBLANK(Tbl_ResidentData[[#This Row],[Enrollment '[mmm-yyyy']]]),"-",AND((Tbl_ResidentData[[#This Row],[Enrollment '[mmm-yyyy']]]&lt;=AF$4),IF(ISBLANK(Tbl_ResidentData[[#This Row],[Discharge '[mmm-yyyy']]]),TRUE,(Tbl_ResidentData[[#This Row],[Discharge '[mmm-yyyy']]]&gt;=AF$4)))))</f>
        <v>-</v>
      </c>
      <c r="AG36" s="121" t="str">
        <f ca="1">IF(AG$4&gt;NOW(),"-",IF(ISBLANK(Tbl_ResidentData[[#This Row],[Enrollment '[mmm-yyyy']]]),"-",AND((Tbl_ResidentData[[#This Row],[Enrollment '[mmm-yyyy']]]&lt;=AG$4),IF(ISBLANK(Tbl_ResidentData[[#This Row],[Discharge '[mmm-yyyy']]]),TRUE,(Tbl_ResidentData[[#This Row],[Discharge '[mmm-yyyy']]]&gt;=AG$4)))))</f>
        <v>-</v>
      </c>
      <c r="AH36" s="121" t="str">
        <f ca="1">IF(AH$4&gt;NOW(),"-",IF(ISBLANK(Tbl_ResidentData[[#This Row],[Enrollment '[mmm-yyyy']]]),"-",AND((Tbl_ResidentData[[#This Row],[Enrollment '[mmm-yyyy']]]&lt;=AH$4),IF(ISBLANK(Tbl_ResidentData[[#This Row],[Discharge '[mmm-yyyy']]]),TRUE,(Tbl_ResidentData[[#This Row],[Discharge '[mmm-yyyy']]]&gt;=AH$4)))))</f>
        <v>-</v>
      </c>
      <c r="AI36" s="121" t="str">
        <f ca="1">IF(AI$4&gt;NOW(),"-",IF(ISBLANK(Tbl_ResidentData[[#This Row],[Enrollment '[mmm-yyyy']]]),"-",AND((Tbl_ResidentData[[#This Row],[Enrollment '[mmm-yyyy']]]&lt;=AI$4),IF(ISBLANK(Tbl_ResidentData[[#This Row],[Discharge '[mmm-yyyy']]]),TRUE,(Tbl_ResidentData[[#This Row],[Discharge '[mmm-yyyy']]]&gt;=AI$4)))))</f>
        <v>-</v>
      </c>
      <c r="AJ36" s="121" t="str">
        <f ca="1">IF(AJ$4&gt;NOW(),"-",IF(ISBLANK(Tbl_ResidentData[[#This Row],[Enrollment '[mmm-yyyy']]]),"-",AND((Tbl_ResidentData[[#This Row],[Enrollment '[mmm-yyyy']]]&lt;=AJ$4),IF(ISBLANK(Tbl_ResidentData[[#This Row],[Discharge '[mmm-yyyy']]]),TRUE,(Tbl_ResidentData[[#This Row],[Discharge '[mmm-yyyy']]]&gt;=AJ$4)))))</f>
        <v>-</v>
      </c>
      <c r="AK36" s="121" t="str">
        <f ca="1">IF(AK$4&gt;NOW(),"-",IF(ISBLANK(Tbl_ResidentData[[#This Row],[Enrollment '[mmm-yyyy']]]),"-",AND((Tbl_ResidentData[[#This Row],[Enrollment '[mmm-yyyy']]]&lt;=AK$4),IF(ISBLANK(Tbl_ResidentData[[#This Row],[Discharge '[mmm-yyyy']]]),TRUE,(Tbl_ResidentData[[#This Row],[Discharge '[mmm-yyyy']]]&gt;=AK$4)))))</f>
        <v>-</v>
      </c>
      <c r="AL36" s="121" t="str">
        <f ca="1">IF(AL$4&gt;NOW(),"-",IF(ISBLANK(Tbl_ResidentData[[#This Row],[Enrollment '[mmm-yyyy']]]),"-",AND((Tbl_ResidentData[[#This Row],[Enrollment '[mmm-yyyy']]]&lt;=AL$4),IF(ISBLANK(Tbl_ResidentData[[#This Row],[Discharge '[mmm-yyyy']]]),TRUE,(Tbl_ResidentData[[#This Row],[Discharge '[mmm-yyyy']]]&gt;=AL$4)))))</f>
        <v>-</v>
      </c>
      <c r="AM36" s="121" t="str">
        <f ca="1">IF(AM$4&gt;NOW(),"-",IF(ISBLANK(Tbl_ResidentData[[#This Row],[Enrollment '[mmm-yyyy']]]),"-",AND((Tbl_ResidentData[[#This Row],[Enrollment '[mmm-yyyy']]]&lt;=AM$4),IF(ISBLANK(Tbl_ResidentData[[#This Row],[Discharge '[mmm-yyyy']]]),TRUE,(Tbl_ResidentData[[#This Row],[Discharge '[mmm-yyyy']]]&gt;=AM$4)))))</f>
        <v>-</v>
      </c>
      <c r="AN36" s="121" t="str">
        <f ca="1">IF(AN$4&gt;NOW(),"-",IF(ISBLANK(Tbl_ResidentData[[#This Row],[Enrollment '[mmm-yyyy']]]),"-",AND((Tbl_ResidentData[[#This Row],[Enrollment '[mmm-yyyy']]]&lt;=AN$4),IF(ISBLANK(Tbl_ResidentData[[#This Row],[Discharge '[mmm-yyyy']]]),TRUE,(Tbl_ResidentData[[#This Row],[Discharge '[mmm-yyyy']]]&gt;=AN$4)))))</f>
        <v>-</v>
      </c>
      <c r="AO36" s="121" t="str">
        <f ca="1">IF(AO$4&gt;NOW(),"-",IF(ISBLANK(Tbl_ResidentData[[#This Row],[Enrollment '[mmm-yyyy']]]),"-",AND((Tbl_ResidentData[[#This Row],[Enrollment '[mmm-yyyy']]]&lt;=AO$4),IF(ISBLANK(Tbl_ResidentData[[#This Row],[Discharge '[mmm-yyyy']]]),TRUE,(Tbl_ResidentData[[#This Row],[Discharge '[mmm-yyyy']]]&gt;=AO$4)))))</f>
        <v>-</v>
      </c>
      <c r="AP36" s="121" t="str">
        <f ca="1">IF(AP$4&gt;NOW(),"-",IF(ISBLANK(Tbl_ResidentData[[#This Row],[Enrollment '[mmm-yyyy']]]),"-",AND((Tbl_ResidentData[[#This Row],[Enrollment '[mmm-yyyy']]]&lt;=AP$4),IF(ISBLANK(Tbl_ResidentData[[#This Row],[Discharge '[mmm-yyyy']]]),TRUE,(Tbl_ResidentData[[#This Row],[Discharge '[mmm-yyyy']]]&gt;=AP$4)))))</f>
        <v>-</v>
      </c>
      <c r="AQ36" s="121" t="str">
        <f ca="1">IF(AQ$4&gt;NOW(),"-",IF(ISBLANK(Tbl_ResidentData[[#This Row],[Enrollment '[mmm-yyyy']]]),"-",AND((Tbl_ResidentData[[#This Row],[Enrollment '[mmm-yyyy']]]&lt;=AQ$4),IF(ISBLANK(Tbl_ResidentData[[#This Row],[Discharge '[mmm-yyyy']]]),TRUE,(Tbl_ResidentData[[#This Row],[Discharge '[mmm-yyyy']]]&gt;=AQ$4)))))</f>
        <v>-</v>
      </c>
      <c r="AR36" s="122" t="str">
        <f ca="1">IF(AR$4&gt;NOW(),"-",IF(ISBLANK(Tbl_ResidentData[[#This Row],[Enrollment '[mmm-yyyy']]]),"-",AND((Tbl_ResidentData[[#This Row],[Enrollment '[mmm-yyyy']]]&lt;=AR$4),IF(ISBLANK(Tbl_ResidentData[[#This Row],[Discharge '[mmm-yyyy']]]),TRUE,(Tbl_ResidentData[[#This Row],[Discharge '[mmm-yyyy']]]&gt;=AR$4)))))</f>
        <v>-</v>
      </c>
      <c r="AS3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3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3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3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3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3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3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3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3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3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3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3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3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3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3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3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3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3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3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3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3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3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3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3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36" s="120" t="b">
        <f ca="1">AND(Tbl_ResidentData[[#This Row],[PRN Med Started]]&lt;&gt;"",Tbl_ResidentData[[#This Row],[PRN Med Started]]&lt;=NOW(),Tbl_ResidentData[[#This Row],[PRN Med Started]]&lt;=AS$4,OR(Tbl_ResidentData[[#This Row],[PRN Med Discontinued]]&gt;AS$4,ISBLANK(Tbl_ResidentData[[#This Row],[PRN Med Discontinued]])))</f>
        <v>0</v>
      </c>
      <c r="BR36" s="121" t="b">
        <f ca="1">AND(Tbl_ResidentData[[#This Row],[PRN Med Started]]&lt;&gt;"",Tbl_ResidentData[[#This Row],[PRN Med Started]]&lt;=NOW(),Tbl_ResidentData[[#This Row],[PRN Med Started]]&lt;=AT$4,OR(Tbl_ResidentData[[#This Row],[PRN Med Discontinued]]&gt;AT$4,ISBLANK(Tbl_ResidentData[[#This Row],[PRN Med Discontinued]])))</f>
        <v>0</v>
      </c>
      <c r="BS36" s="121" t="b">
        <f ca="1">AND(Tbl_ResidentData[[#This Row],[PRN Med Started]]&lt;&gt;"",Tbl_ResidentData[[#This Row],[PRN Med Started]]&lt;=NOW(),Tbl_ResidentData[[#This Row],[PRN Med Started]]&lt;=AU$4,OR(Tbl_ResidentData[[#This Row],[PRN Med Discontinued]]&gt;AU$4,ISBLANK(Tbl_ResidentData[[#This Row],[PRN Med Discontinued]])))</f>
        <v>0</v>
      </c>
      <c r="BT36" s="121" t="b">
        <f ca="1">AND(Tbl_ResidentData[[#This Row],[PRN Med Started]]&lt;&gt;"",Tbl_ResidentData[[#This Row],[PRN Med Started]]&lt;=NOW(),Tbl_ResidentData[[#This Row],[PRN Med Started]]&lt;=AV$4,OR(Tbl_ResidentData[[#This Row],[PRN Med Discontinued]]&gt;AV$4,ISBLANK(Tbl_ResidentData[[#This Row],[PRN Med Discontinued]])))</f>
        <v>0</v>
      </c>
      <c r="BU36" s="121" t="b">
        <f ca="1">AND(Tbl_ResidentData[[#This Row],[PRN Med Started]]&lt;&gt;"",Tbl_ResidentData[[#This Row],[PRN Med Started]]&lt;=NOW(),Tbl_ResidentData[[#This Row],[PRN Med Started]]&lt;=AW$4,OR(Tbl_ResidentData[[#This Row],[PRN Med Discontinued]]&gt;AW$4,ISBLANK(Tbl_ResidentData[[#This Row],[PRN Med Discontinued]])))</f>
        <v>0</v>
      </c>
      <c r="BV36" s="121" t="b">
        <f ca="1">AND(Tbl_ResidentData[[#This Row],[PRN Med Started]]&lt;&gt;"",Tbl_ResidentData[[#This Row],[PRN Med Started]]&lt;=NOW(),Tbl_ResidentData[[#This Row],[PRN Med Started]]&lt;=AX$4,OR(Tbl_ResidentData[[#This Row],[PRN Med Discontinued]]&gt;AX$4,ISBLANK(Tbl_ResidentData[[#This Row],[PRN Med Discontinued]])))</f>
        <v>0</v>
      </c>
      <c r="BW36" s="121" t="b">
        <f ca="1">AND(Tbl_ResidentData[[#This Row],[PRN Med Started]]&lt;&gt;"",Tbl_ResidentData[[#This Row],[PRN Med Started]]&lt;=NOW(),Tbl_ResidentData[[#This Row],[PRN Med Started]]&lt;=AY$4,OR(Tbl_ResidentData[[#This Row],[PRN Med Discontinued]]&gt;AY$4,ISBLANK(Tbl_ResidentData[[#This Row],[PRN Med Discontinued]])))</f>
        <v>0</v>
      </c>
      <c r="BX36" s="121" t="b">
        <f ca="1">AND(Tbl_ResidentData[[#This Row],[PRN Med Started]]&lt;&gt;"",Tbl_ResidentData[[#This Row],[PRN Med Started]]&lt;=NOW(),Tbl_ResidentData[[#This Row],[PRN Med Started]]&lt;=AZ$4,OR(Tbl_ResidentData[[#This Row],[PRN Med Discontinued]]&gt;AZ$4,ISBLANK(Tbl_ResidentData[[#This Row],[PRN Med Discontinued]])))</f>
        <v>0</v>
      </c>
      <c r="BY36" s="121" t="b">
        <f ca="1">AND(Tbl_ResidentData[[#This Row],[PRN Med Started]]&lt;&gt;"",Tbl_ResidentData[[#This Row],[PRN Med Started]]&lt;=NOW(),Tbl_ResidentData[[#This Row],[PRN Med Started]]&lt;=BA$4,OR(Tbl_ResidentData[[#This Row],[PRN Med Discontinued]]&gt;BA$4,ISBLANK(Tbl_ResidentData[[#This Row],[PRN Med Discontinued]])))</f>
        <v>0</v>
      </c>
      <c r="BZ36" s="121" t="b">
        <f ca="1">AND(Tbl_ResidentData[[#This Row],[PRN Med Started]]&lt;&gt;"",Tbl_ResidentData[[#This Row],[PRN Med Started]]&lt;=NOW(),Tbl_ResidentData[[#This Row],[PRN Med Started]]&lt;=BB$4,OR(Tbl_ResidentData[[#This Row],[PRN Med Discontinued]]&gt;BB$4,ISBLANK(Tbl_ResidentData[[#This Row],[PRN Med Discontinued]])))</f>
        <v>0</v>
      </c>
      <c r="CA36" s="121" t="b">
        <f ca="1">AND(Tbl_ResidentData[[#This Row],[PRN Med Started]]&lt;&gt;"",Tbl_ResidentData[[#This Row],[PRN Med Started]]&lt;=NOW(),Tbl_ResidentData[[#This Row],[PRN Med Started]]&lt;=BC$4,OR(Tbl_ResidentData[[#This Row],[PRN Med Discontinued]]&gt;BC$4,ISBLANK(Tbl_ResidentData[[#This Row],[PRN Med Discontinued]])))</f>
        <v>0</v>
      </c>
      <c r="CB36" s="121" t="b">
        <f ca="1">AND(Tbl_ResidentData[[#This Row],[PRN Med Started]]&lt;&gt;"",Tbl_ResidentData[[#This Row],[PRN Med Started]]&lt;=NOW(),Tbl_ResidentData[[#This Row],[PRN Med Started]]&lt;=BD$4,OR(Tbl_ResidentData[[#This Row],[PRN Med Discontinued]]&gt;BD$4,ISBLANK(Tbl_ResidentData[[#This Row],[PRN Med Discontinued]])))</f>
        <v>0</v>
      </c>
      <c r="CC36" s="121" t="b">
        <f ca="1">AND(Tbl_ResidentData[[#This Row],[PRN Med Started]]&lt;&gt;"",Tbl_ResidentData[[#This Row],[PRN Med Started]]&lt;=NOW(),Tbl_ResidentData[[#This Row],[PRN Med Started]]&lt;=BE$4,OR(Tbl_ResidentData[[#This Row],[PRN Med Discontinued]]&gt;BE$4,ISBLANK(Tbl_ResidentData[[#This Row],[PRN Med Discontinued]])))</f>
        <v>0</v>
      </c>
      <c r="CD36" s="121" t="b">
        <f ca="1">AND(Tbl_ResidentData[[#This Row],[PRN Med Started]]&lt;&gt;"",Tbl_ResidentData[[#This Row],[PRN Med Started]]&lt;=NOW(),Tbl_ResidentData[[#This Row],[PRN Med Started]]&lt;=BF$4,OR(Tbl_ResidentData[[#This Row],[PRN Med Discontinued]]&gt;BF$4,ISBLANK(Tbl_ResidentData[[#This Row],[PRN Med Discontinued]])))</f>
        <v>0</v>
      </c>
      <c r="CE36" s="121" t="b">
        <f ca="1">AND(Tbl_ResidentData[[#This Row],[PRN Med Started]]&lt;&gt;"",Tbl_ResidentData[[#This Row],[PRN Med Started]]&lt;=NOW(),Tbl_ResidentData[[#This Row],[PRN Med Started]]&lt;=BG$4,OR(Tbl_ResidentData[[#This Row],[PRN Med Discontinued]]&gt;BG$4,ISBLANK(Tbl_ResidentData[[#This Row],[PRN Med Discontinued]])))</f>
        <v>0</v>
      </c>
      <c r="CF36" s="121" t="b">
        <f ca="1">AND(Tbl_ResidentData[[#This Row],[PRN Med Started]]&lt;&gt;"",Tbl_ResidentData[[#This Row],[PRN Med Started]]&lt;=NOW(),Tbl_ResidentData[[#This Row],[PRN Med Started]]&lt;=BH$4,OR(Tbl_ResidentData[[#This Row],[PRN Med Discontinued]]&gt;BH$4,ISBLANK(Tbl_ResidentData[[#This Row],[PRN Med Discontinued]])))</f>
        <v>0</v>
      </c>
      <c r="CG36" s="121" t="b">
        <f ca="1">AND(Tbl_ResidentData[[#This Row],[PRN Med Started]]&lt;&gt;"",Tbl_ResidentData[[#This Row],[PRN Med Started]]&lt;=NOW(),Tbl_ResidentData[[#This Row],[PRN Med Started]]&lt;=BI$4,OR(Tbl_ResidentData[[#This Row],[PRN Med Discontinued]]&gt;BI$4,ISBLANK(Tbl_ResidentData[[#This Row],[PRN Med Discontinued]])))</f>
        <v>0</v>
      </c>
      <c r="CH36" s="121" t="b">
        <f ca="1">AND(Tbl_ResidentData[[#This Row],[PRN Med Started]]&lt;&gt;"",Tbl_ResidentData[[#This Row],[PRN Med Started]]&lt;=NOW(),Tbl_ResidentData[[#This Row],[PRN Med Started]]&lt;=BJ$4,OR(Tbl_ResidentData[[#This Row],[PRN Med Discontinued]]&gt;BJ$4,ISBLANK(Tbl_ResidentData[[#This Row],[PRN Med Discontinued]])))</f>
        <v>0</v>
      </c>
      <c r="CI36" s="121" t="b">
        <f ca="1">AND(Tbl_ResidentData[[#This Row],[PRN Med Started]]&lt;&gt;"",Tbl_ResidentData[[#This Row],[PRN Med Started]]&lt;=NOW(),Tbl_ResidentData[[#This Row],[PRN Med Started]]&lt;=BK$4,OR(Tbl_ResidentData[[#This Row],[PRN Med Discontinued]]&gt;BK$4,ISBLANK(Tbl_ResidentData[[#This Row],[PRN Med Discontinued]])))</f>
        <v>0</v>
      </c>
      <c r="CJ36" s="121" t="b">
        <f ca="1">AND(Tbl_ResidentData[[#This Row],[PRN Med Started]]&lt;&gt;"",Tbl_ResidentData[[#This Row],[PRN Med Started]]&lt;=NOW(),Tbl_ResidentData[[#This Row],[PRN Med Started]]&lt;=BL$4,OR(Tbl_ResidentData[[#This Row],[PRN Med Discontinued]]&gt;BL$4,ISBLANK(Tbl_ResidentData[[#This Row],[PRN Med Discontinued]])))</f>
        <v>0</v>
      </c>
      <c r="CK36" s="121" t="b">
        <f ca="1">AND(Tbl_ResidentData[[#This Row],[PRN Med Started]]&lt;&gt;"",Tbl_ResidentData[[#This Row],[PRN Med Started]]&lt;=NOW(),Tbl_ResidentData[[#This Row],[PRN Med Started]]&lt;=BM$4,OR(Tbl_ResidentData[[#This Row],[PRN Med Discontinued]]&gt;BM$4,ISBLANK(Tbl_ResidentData[[#This Row],[PRN Med Discontinued]])))</f>
        <v>0</v>
      </c>
      <c r="CL36" s="121" t="b">
        <f ca="1">AND(Tbl_ResidentData[[#This Row],[PRN Med Started]]&lt;&gt;"",Tbl_ResidentData[[#This Row],[PRN Med Started]]&lt;=NOW(),Tbl_ResidentData[[#This Row],[PRN Med Started]]&lt;=BN$4,OR(Tbl_ResidentData[[#This Row],[PRN Med Discontinued]]&gt;BN$4,ISBLANK(Tbl_ResidentData[[#This Row],[PRN Med Discontinued]])))</f>
        <v>0</v>
      </c>
      <c r="CM36" s="121" t="b">
        <f ca="1">AND(Tbl_ResidentData[[#This Row],[PRN Med Started]]&lt;&gt;"",Tbl_ResidentData[[#This Row],[PRN Med Started]]&lt;=NOW(),Tbl_ResidentData[[#This Row],[PRN Med Started]]&lt;=BO$4,OR(Tbl_ResidentData[[#This Row],[PRN Med Discontinued]]&gt;BO$4,ISBLANK(Tbl_ResidentData[[#This Row],[PRN Med Discontinued]])))</f>
        <v>0</v>
      </c>
      <c r="CN36" s="122" t="b">
        <f ca="1">AND(Tbl_ResidentData[[#This Row],[PRN Med Started]]&lt;&gt;"",Tbl_ResidentData[[#This Row],[PRN Med Started]]&lt;=NOW(),Tbl_ResidentData[[#This Row],[PRN Med Started]]&lt;=BP$4,OR(Tbl_ResidentData[[#This Row],[PRN Med Discontinued]]&gt;BP$4,ISBLANK(Tbl_ResidentData[[#This Row],[PRN Med Discontinued]])))</f>
        <v>0</v>
      </c>
      <c r="CO36" s="120">
        <f ca="1">IF(OR(Tbl_ResidentData[[#This Row],[S1]]=TRUE,Tbl_ResidentData[[#This Row],[P1]]=TRUE),1,0)</f>
        <v>0</v>
      </c>
      <c r="CP36" s="121">
        <f ca="1">IF(OR(Tbl_ResidentData[[#This Row],[S2]]=TRUE,Tbl_ResidentData[[#This Row],[P2]]=TRUE),1,0)</f>
        <v>0</v>
      </c>
      <c r="CQ36" s="121">
        <f ca="1">IF(OR(Tbl_ResidentData[[#This Row],[S3]]=TRUE,Tbl_ResidentData[[#This Row],[P3]]=TRUE),1,0)</f>
        <v>0</v>
      </c>
      <c r="CR36" s="120">
        <f ca="1">IF(OR(Tbl_ResidentData[[#This Row],[S4]]=TRUE,Tbl_ResidentData[[#This Row],[P4]]=TRUE),1,0)</f>
        <v>0</v>
      </c>
      <c r="CS36" s="120">
        <f ca="1">IF(OR(Tbl_ResidentData[[#This Row],[S5]]=TRUE,Tbl_ResidentData[[#This Row],[P5]]=TRUE),1,0)</f>
        <v>0</v>
      </c>
      <c r="CT36" s="120">
        <f ca="1">IF(OR(Tbl_ResidentData[[#This Row],[S6]]=TRUE,Tbl_ResidentData[[#This Row],[P6]]=TRUE),1,0)</f>
        <v>0</v>
      </c>
      <c r="CU36" s="120">
        <f ca="1">IF(OR(Tbl_ResidentData[[#This Row],[S7]]=TRUE,Tbl_ResidentData[[#This Row],[P7]]=TRUE),1,0)</f>
        <v>0</v>
      </c>
      <c r="CV36" s="120">
        <f ca="1">IF(OR(Tbl_ResidentData[[#This Row],[S8]]=TRUE,Tbl_ResidentData[[#This Row],[P8]]=TRUE),1,0)</f>
        <v>0</v>
      </c>
      <c r="CW36" s="120">
        <f ca="1">IF(OR(Tbl_ResidentData[[#This Row],[S9]]=TRUE,Tbl_ResidentData[[#This Row],[P9]]=TRUE),1,0)</f>
        <v>0</v>
      </c>
      <c r="CX36" s="120">
        <f ca="1">IF(OR(Tbl_ResidentData[[#This Row],[S10]]=TRUE,Tbl_ResidentData[[#This Row],[P10]]=TRUE),1,0)</f>
        <v>0</v>
      </c>
      <c r="CY36" s="120">
        <f ca="1">IF(OR(Tbl_ResidentData[[#This Row],[S11]]=TRUE,Tbl_ResidentData[[#This Row],[P11]]=TRUE),1,0)</f>
        <v>0</v>
      </c>
      <c r="CZ36" s="120">
        <f ca="1">IF(OR(Tbl_ResidentData[[#This Row],[S12]]=TRUE,Tbl_ResidentData[[#This Row],[P12]]=TRUE),1,0)</f>
        <v>0</v>
      </c>
      <c r="DA36" s="120">
        <f ca="1">IF(OR(Tbl_ResidentData[[#This Row],[S13]]=TRUE,Tbl_ResidentData[[#This Row],[P13]]=TRUE),1,0)</f>
        <v>0</v>
      </c>
      <c r="DB36" s="120">
        <f ca="1">IF(OR(Tbl_ResidentData[[#This Row],[S14]]=TRUE,Tbl_ResidentData[[#This Row],[P14]]=TRUE),1,0)</f>
        <v>0</v>
      </c>
      <c r="DC36" s="120">
        <f ca="1">IF(OR(Tbl_ResidentData[[#This Row],[S15]]=TRUE,Tbl_ResidentData[[#This Row],[P15]]=TRUE),1,0)</f>
        <v>0</v>
      </c>
      <c r="DD36" s="120">
        <f ca="1">IF(OR(Tbl_ResidentData[[#This Row],[S16]]=TRUE,Tbl_ResidentData[[#This Row],[P16]]=TRUE),1,0)</f>
        <v>0</v>
      </c>
      <c r="DE36" s="120">
        <f ca="1">IF(OR(Tbl_ResidentData[[#This Row],[S17]]=TRUE,Tbl_ResidentData[[#This Row],[P17]]=TRUE),1,0)</f>
        <v>0</v>
      </c>
      <c r="DF36" s="120">
        <f ca="1">IF(OR(Tbl_ResidentData[[#This Row],[S18]]=TRUE,Tbl_ResidentData[[#This Row],[P18]]=TRUE),1,0)</f>
        <v>0</v>
      </c>
      <c r="DG36" s="120">
        <f ca="1">IF(OR(Tbl_ResidentData[[#This Row],[S19]]=TRUE,Tbl_ResidentData[[#This Row],[P19]]=TRUE),1,0)</f>
        <v>0</v>
      </c>
      <c r="DH36" s="120">
        <f ca="1">IF(OR(Tbl_ResidentData[[#This Row],[S20]]=TRUE,Tbl_ResidentData[[#This Row],[P20]]=TRUE),1,0)</f>
        <v>0</v>
      </c>
      <c r="DI36" s="120">
        <f ca="1">IF(OR(Tbl_ResidentData[[#This Row],[S21]]=TRUE,Tbl_ResidentData[[#This Row],[P21]]=TRUE),1,0)</f>
        <v>0</v>
      </c>
      <c r="DJ36" s="120">
        <f ca="1">IF(OR(Tbl_ResidentData[[#This Row],[S22]]=TRUE,Tbl_ResidentData[[#This Row],[P22]]=TRUE),1,0)</f>
        <v>0</v>
      </c>
      <c r="DK36" s="120">
        <f ca="1">IF(OR(Tbl_ResidentData[[#This Row],[S23]]=TRUE,Tbl_ResidentData[[#This Row],[P23]]=TRUE),1,0)</f>
        <v>0</v>
      </c>
      <c r="DL36" s="120">
        <f ca="1">IF(OR(Tbl_ResidentData[[#This Row],[S24]]=TRUE,Tbl_ResidentData[[#This Row],[P24]]=TRUE),1,0)</f>
        <v>0</v>
      </c>
      <c r="DM36" s="123" t="str">
        <f ca="1">IFERROR(INDEX($CO$4:$DL$4,MATCH(TRUE,INDEX((Tbl_ResidentData[[#This Row],[Over1]:[Over24]]&lt;&gt;0),0),0)),"")</f>
        <v/>
      </c>
      <c r="DN36" s="133" t="str">
        <f>IFERROR(INDEX(Tbl_PDSAData[Last DRT],MATCH(Tbl_ResidentData[Resident Name '[last, first']],Tbl_PDSAData[Resident Name (last, first)],0)),"")</f>
        <v/>
      </c>
      <c r="DO36" s="222" t="str">
        <f>IFERROR(INDEX(Tbl_PDSAData[Last MR],MATCH(Tbl_ResidentData[Resident Name '[last, first']],Tbl_PDSAData[Resident Name (last, first)],0)),"")</f>
        <v/>
      </c>
    </row>
    <row r="37" spans="1:119" x14ac:dyDescent="0.25">
      <c r="A37" s="179"/>
      <c r="B37" s="180"/>
      <c r="C37" s="180"/>
      <c r="D37" s="218"/>
      <c r="E37" s="179"/>
      <c r="F37" s="179"/>
      <c r="G37" s="181"/>
      <c r="H37" s="375"/>
      <c r="I37" s="186"/>
      <c r="J37" s="387"/>
      <c r="K37" s="178"/>
      <c r="L37" s="388"/>
      <c r="M37" s="187"/>
      <c r="N37" s="387"/>
      <c r="O37" s="178"/>
      <c r="P37" s="388"/>
      <c r="Q37" s="395"/>
      <c r="R37" s="396"/>
      <c r="S37" s="132" t="str">
        <f>IF(ISBLANK(Tbl_ResidentData[[#This Row],[Discharge '[mmm-yyyy']]]),IF(ISBLANK(Tbl_ResidentData[[#This Row],[Enrollment '[mmm-yyyy']]]),"","In Care Home"),"Discharged")</f>
        <v/>
      </c>
      <c r="T37" s="128" t="str">
        <f>IF(ISBLANK(Tbl_ResidentData[[#This Row],[Diagnosis (RAI)]]),IF(ISBLANK(Tbl_ResidentData[[#This Row],[Resident Name '[last, first']]]),"",0),IF(Tbl_ResidentData[[#This Row],[Diagnosis (RAI)]]="Other (see clinical notes)",0,1))</f>
        <v/>
      </c>
      <c r="U37" s="129" t="str">
        <f ca="1">IF(U$4&gt;NOW(),"-",IF(ISBLANK(Tbl_ResidentData[[#This Row],[Enrollment '[mmm-yyyy']]]),"-",AND((Tbl_ResidentData[[#This Row],[Enrollment '[mmm-yyyy']]]&lt;=U$4),IF(ISBLANK(Tbl_ResidentData[[#This Row],[Discharge '[mmm-yyyy']]]),TRUE,(Tbl_ResidentData[[#This Row],[Discharge '[mmm-yyyy']]]&gt;=U$4)))))</f>
        <v>-</v>
      </c>
      <c r="V37" s="121" t="str">
        <f ca="1">IF(V$4&gt;NOW(),"-",IF(ISBLANK(Tbl_ResidentData[[#This Row],[Enrollment '[mmm-yyyy']]]),"-",AND((Tbl_ResidentData[[#This Row],[Enrollment '[mmm-yyyy']]]&lt;=V$4),IF(ISBLANK(Tbl_ResidentData[[#This Row],[Discharge '[mmm-yyyy']]]),TRUE,(Tbl_ResidentData[[#This Row],[Discharge '[mmm-yyyy']]]&gt;=V$4)))))</f>
        <v>-</v>
      </c>
      <c r="W37" s="121" t="str">
        <f ca="1">IF(W$4&gt;NOW(),"-",IF(ISBLANK(Tbl_ResidentData[[#This Row],[Enrollment '[mmm-yyyy']]]),"-",AND((Tbl_ResidentData[[#This Row],[Enrollment '[mmm-yyyy']]]&lt;=W$4),IF(ISBLANK(Tbl_ResidentData[[#This Row],[Discharge '[mmm-yyyy']]]),TRUE,(Tbl_ResidentData[[#This Row],[Discharge '[mmm-yyyy']]]&gt;=W$4)))))</f>
        <v>-</v>
      </c>
      <c r="X37" s="121" t="str">
        <f ca="1">IF(X$4&gt;NOW(),"-",IF(ISBLANK(Tbl_ResidentData[[#This Row],[Enrollment '[mmm-yyyy']]]),"-",AND((Tbl_ResidentData[[#This Row],[Enrollment '[mmm-yyyy']]]&lt;=X$4),IF(ISBLANK(Tbl_ResidentData[[#This Row],[Discharge '[mmm-yyyy']]]),TRUE,(Tbl_ResidentData[[#This Row],[Discharge '[mmm-yyyy']]]&gt;=X$4)))))</f>
        <v>-</v>
      </c>
      <c r="Y37" s="121" t="str">
        <f ca="1">IF(Y$4&gt;NOW(),"-",IF(ISBLANK(Tbl_ResidentData[[#This Row],[Enrollment '[mmm-yyyy']]]),"-",AND((Tbl_ResidentData[[#This Row],[Enrollment '[mmm-yyyy']]]&lt;=Y$4),IF(ISBLANK(Tbl_ResidentData[[#This Row],[Discharge '[mmm-yyyy']]]),TRUE,(Tbl_ResidentData[[#This Row],[Discharge '[mmm-yyyy']]]&gt;=Y$4)))))</f>
        <v>-</v>
      </c>
      <c r="Z37" s="121" t="str">
        <f ca="1">IF(Z$4&gt;NOW(),"-",IF(ISBLANK(Tbl_ResidentData[[#This Row],[Enrollment '[mmm-yyyy']]]),"-",AND((Tbl_ResidentData[[#This Row],[Enrollment '[mmm-yyyy']]]&lt;=Z$4),IF(ISBLANK(Tbl_ResidentData[[#This Row],[Discharge '[mmm-yyyy']]]),TRUE,(Tbl_ResidentData[[#This Row],[Discharge '[mmm-yyyy']]]&gt;=Z$4)))))</f>
        <v>-</v>
      </c>
      <c r="AA37" s="121" t="str">
        <f ca="1">IF(AA$4&gt;NOW(),"-",IF(ISBLANK(Tbl_ResidentData[[#This Row],[Enrollment '[mmm-yyyy']]]),"-",AND((Tbl_ResidentData[[#This Row],[Enrollment '[mmm-yyyy']]]&lt;=AA$4),IF(ISBLANK(Tbl_ResidentData[[#This Row],[Discharge '[mmm-yyyy']]]),TRUE,(Tbl_ResidentData[[#This Row],[Discharge '[mmm-yyyy']]]&gt;=AA$4)))))</f>
        <v>-</v>
      </c>
      <c r="AB37" s="121" t="str">
        <f ca="1">IF(AB$4&gt;NOW(),"-",IF(ISBLANK(Tbl_ResidentData[[#This Row],[Enrollment '[mmm-yyyy']]]),"-",AND((Tbl_ResidentData[[#This Row],[Enrollment '[mmm-yyyy']]]&lt;=AB$4),IF(ISBLANK(Tbl_ResidentData[[#This Row],[Discharge '[mmm-yyyy']]]),TRUE,(Tbl_ResidentData[[#This Row],[Discharge '[mmm-yyyy']]]&gt;=AB$4)))))</f>
        <v>-</v>
      </c>
      <c r="AC37" s="121" t="str">
        <f ca="1">IF(AC$4&gt;NOW(),"-",IF(ISBLANK(Tbl_ResidentData[[#This Row],[Enrollment '[mmm-yyyy']]]),"-",AND((Tbl_ResidentData[[#This Row],[Enrollment '[mmm-yyyy']]]&lt;=AC$4),IF(ISBLANK(Tbl_ResidentData[[#This Row],[Discharge '[mmm-yyyy']]]),TRUE,(Tbl_ResidentData[[#This Row],[Discharge '[mmm-yyyy']]]&gt;=AC$4)))))</f>
        <v>-</v>
      </c>
      <c r="AD37" s="121" t="str">
        <f ca="1">IF(AD$4&gt;NOW(),"-",IF(ISBLANK(Tbl_ResidentData[[#This Row],[Enrollment '[mmm-yyyy']]]),"-",AND((Tbl_ResidentData[[#This Row],[Enrollment '[mmm-yyyy']]]&lt;=AD$4),IF(ISBLANK(Tbl_ResidentData[[#This Row],[Discharge '[mmm-yyyy']]]),TRUE,(Tbl_ResidentData[[#This Row],[Discharge '[mmm-yyyy']]]&gt;=AD$4)))))</f>
        <v>-</v>
      </c>
      <c r="AE37" s="121" t="str">
        <f ca="1">IF(AE$4&gt;NOW(),"-",IF(ISBLANK(Tbl_ResidentData[[#This Row],[Enrollment '[mmm-yyyy']]]),"-",AND((Tbl_ResidentData[[#This Row],[Enrollment '[mmm-yyyy']]]&lt;=AE$4),IF(ISBLANK(Tbl_ResidentData[[#This Row],[Discharge '[mmm-yyyy']]]),TRUE,(Tbl_ResidentData[[#This Row],[Discharge '[mmm-yyyy']]]&gt;=AE$4)))))</f>
        <v>-</v>
      </c>
      <c r="AF37" s="121" t="str">
        <f ca="1">IF(AF$4&gt;NOW(),"-",IF(ISBLANK(Tbl_ResidentData[[#This Row],[Enrollment '[mmm-yyyy']]]),"-",AND((Tbl_ResidentData[[#This Row],[Enrollment '[mmm-yyyy']]]&lt;=AF$4),IF(ISBLANK(Tbl_ResidentData[[#This Row],[Discharge '[mmm-yyyy']]]),TRUE,(Tbl_ResidentData[[#This Row],[Discharge '[mmm-yyyy']]]&gt;=AF$4)))))</f>
        <v>-</v>
      </c>
      <c r="AG37" s="121" t="str">
        <f ca="1">IF(AG$4&gt;NOW(),"-",IF(ISBLANK(Tbl_ResidentData[[#This Row],[Enrollment '[mmm-yyyy']]]),"-",AND((Tbl_ResidentData[[#This Row],[Enrollment '[mmm-yyyy']]]&lt;=AG$4),IF(ISBLANK(Tbl_ResidentData[[#This Row],[Discharge '[mmm-yyyy']]]),TRUE,(Tbl_ResidentData[[#This Row],[Discharge '[mmm-yyyy']]]&gt;=AG$4)))))</f>
        <v>-</v>
      </c>
      <c r="AH37" s="121" t="str">
        <f ca="1">IF(AH$4&gt;NOW(),"-",IF(ISBLANK(Tbl_ResidentData[[#This Row],[Enrollment '[mmm-yyyy']]]),"-",AND((Tbl_ResidentData[[#This Row],[Enrollment '[mmm-yyyy']]]&lt;=AH$4),IF(ISBLANK(Tbl_ResidentData[[#This Row],[Discharge '[mmm-yyyy']]]),TRUE,(Tbl_ResidentData[[#This Row],[Discharge '[mmm-yyyy']]]&gt;=AH$4)))))</f>
        <v>-</v>
      </c>
      <c r="AI37" s="121" t="str">
        <f ca="1">IF(AI$4&gt;NOW(),"-",IF(ISBLANK(Tbl_ResidentData[[#This Row],[Enrollment '[mmm-yyyy']]]),"-",AND((Tbl_ResidentData[[#This Row],[Enrollment '[mmm-yyyy']]]&lt;=AI$4),IF(ISBLANK(Tbl_ResidentData[[#This Row],[Discharge '[mmm-yyyy']]]),TRUE,(Tbl_ResidentData[[#This Row],[Discharge '[mmm-yyyy']]]&gt;=AI$4)))))</f>
        <v>-</v>
      </c>
      <c r="AJ37" s="121" t="str">
        <f ca="1">IF(AJ$4&gt;NOW(),"-",IF(ISBLANK(Tbl_ResidentData[[#This Row],[Enrollment '[mmm-yyyy']]]),"-",AND((Tbl_ResidentData[[#This Row],[Enrollment '[mmm-yyyy']]]&lt;=AJ$4),IF(ISBLANK(Tbl_ResidentData[[#This Row],[Discharge '[mmm-yyyy']]]),TRUE,(Tbl_ResidentData[[#This Row],[Discharge '[mmm-yyyy']]]&gt;=AJ$4)))))</f>
        <v>-</v>
      </c>
      <c r="AK37" s="121" t="str">
        <f ca="1">IF(AK$4&gt;NOW(),"-",IF(ISBLANK(Tbl_ResidentData[[#This Row],[Enrollment '[mmm-yyyy']]]),"-",AND((Tbl_ResidentData[[#This Row],[Enrollment '[mmm-yyyy']]]&lt;=AK$4),IF(ISBLANK(Tbl_ResidentData[[#This Row],[Discharge '[mmm-yyyy']]]),TRUE,(Tbl_ResidentData[[#This Row],[Discharge '[mmm-yyyy']]]&gt;=AK$4)))))</f>
        <v>-</v>
      </c>
      <c r="AL37" s="121" t="str">
        <f ca="1">IF(AL$4&gt;NOW(),"-",IF(ISBLANK(Tbl_ResidentData[[#This Row],[Enrollment '[mmm-yyyy']]]),"-",AND((Tbl_ResidentData[[#This Row],[Enrollment '[mmm-yyyy']]]&lt;=AL$4),IF(ISBLANK(Tbl_ResidentData[[#This Row],[Discharge '[mmm-yyyy']]]),TRUE,(Tbl_ResidentData[[#This Row],[Discharge '[mmm-yyyy']]]&gt;=AL$4)))))</f>
        <v>-</v>
      </c>
      <c r="AM37" s="121" t="str">
        <f ca="1">IF(AM$4&gt;NOW(),"-",IF(ISBLANK(Tbl_ResidentData[[#This Row],[Enrollment '[mmm-yyyy']]]),"-",AND((Tbl_ResidentData[[#This Row],[Enrollment '[mmm-yyyy']]]&lt;=AM$4),IF(ISBLANK(Tbl_ResidentData[[#This Row],[Discharge '[mmm-yyyy']]]),TRUE,(Tbl_ResidentData[[#This Row],[Discharge '[mmm-yyyy']]]&gt;=AM$4)))))</f>
        <v>-</v>
      </c>
      <c r="AN37" s="121" t="str">
        <f ca="1">IF(AN$4&gt;NOW(),"-",IF(ISBLANK(Tbl_ResidentData[[#This Row],[Enrollment '[mmm-yyyy']]]),"-",AND((Tbl_ResidentData[[#This Row],[Enrollment '[mmm-yyyy']]]&lt;=AN$4),IF(ISBLANK(Tbl_ResidentData[[#This Row],[Discharge '[mmm-yyyy']]]),TRUE,(Tbl_ResidentData[[#This Row],[Discharge '[mmm-yyyy']]]&gt;=AN$4)))))</f>
        <v>-</v>
      </c>
      <c r="AO37" s="121" t="str">
        <f ca="1">IF(AO$4&gt;NOW(),"-",IF(ISBLANK(Tbl_ResidentData[[#This Row],[Enrollment '[mmm-yyyy']]]),"-",AND((Tbl_ResidentData[[#This Row],[Enrollment '[mmm-yyyy']]]&lt;=AO$4),IF(ISBLANK(Tbl_ResidentData[[#This Row],[Discharge '[mmm-yyyy']]]),TRUE,(Tbl_ResidentData[[#This Row],[Discharge '[mmm-yyyy']]]&gt;=AO$4)))))</f>
        <v>-</v>
      </c>
      <c r="AP37" s="121" t="str">
        <f ca="1">IF(AP$4&gt;NOW(),"-",IF(ISBLANK(Tbl_ResidentData[[#This Row],[Enrollment '[mmm-yyyy']]]),"-",AND((Tbl_ResidentData[[#This Row],[Enrollment '[mmm-yyyy']]]&lt;=AP$4),IF(ISBLANK(Tbl_ResidentData[[#This Row],[Discharge '[mmm-yyyy']]]),TRUE,(Tbl_ResidentData[[#This Row],[Discharge '[mmm-yyyy']]]&gt;=AP$4)))))</f>
        <v>-</v>
      </c>
      <c r="AQ37" s="121" t="str">
        <f ca="1">IF(AQ$4&gt;NOW(),"-",IF(ISBLANK(Tbl_ResidentData[[#This Row],[Enrollment '[mmm-yyyy']]]),"-",AND((Tbl_ResidentData[[#This Row],[Enrollment '[mmm-yyyy']]]&lt;=AQ$4),IF(ISBLANK(Tbl_ResidentData[[#This Row],[Discharge '[mmm-yyyy']]]),TRUE,(Tbl_ResidentData[[#This Row],[Discharge '[mmm-yyyy']]]&gt;=AQ$4)))))</f>
        <v>-</v>
      </c>
      <c r="AR37" s="122" t="str">
        <f ca="1">IF(AR$4&gt;NOW(),"-",IF(ISBLANK(Tbl_ResidentData[[#This Row],[Enrollment '[mmm-yyyy']]]),"-",AND((Tbl_ResidentData[[#This Row],[Enrollment '[mmm-yyyy']]]&lt;=AR$4),IF(ISBLANK(Tbl_ResidentData[[#This Row],[Discharge '[mmm-yyyy']]]),TRUE,(Tbl_ResidentData[[#This Row],[Discharge '[mmm-yyyy']]]&gt;=AR$4)))))</f>
        <v>-</v>
      </c>
      <c r="AS3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37"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37"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37"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37"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37"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37"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37"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37"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37"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37"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37"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37"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37"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37"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37"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37"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37"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37"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37"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37"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3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3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3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37" s="120" t="b">
        <f ca="1">AND(Tbl_ResidentData[[#This Row],[PRN Med Started]]&lt;&gt;"",Tbl_ResidentData[[#This Row],[PRN Med Started]]&lt;=NOW(),Tbl_ResidentData[[#This Row],[PRN Med Started]]&lt;=AS$4,OR(Tbl_ResidentData[[#This Row],[PRN Med Discontinued]]&gt;AS$4,ISBLANK(Tbl_ResidentData[[#This Row],[PRN Med Discontinued]])))</f>
        <v>0</v>
      </c>
      <c r="BR37" s="121" t="b">
        <f ca="1">AND(Tbl_ResidentData[[#This Row],[PRN Med Started]]&lt;&gt;"",Tbl_ResidentData[[#This Row],[PRN Med Started]]&lt;=NOW(),Tbl_ResidentData[[#This Row],[PRN Med Started]]&lt;=AT$4,OR(Tbl_ResidentData[[#This Row],[PRN Med Discontinued]]&gt;AT$4,ISBLANK(Tbl_ResidentData[[#This Row],[PRN Med Discontinued]])))</f>
        <v>0</v>
      </c>
      <c r="BS37" s="129" t="b">
        <f ca="1">AND(Tbl_ResidentData[[#This Row],[PRN Med Started]]&lt;&gt;"",Tbl_ResidentData[[#This Row],[PRN Med Started]]&lt;=NOW(),Tbl_ResidentData[[#This Row],[PRN Med Started]]&lt;=AU$4,OR(Tbl_ResidentData[[#This Row],[PRN Med Discontinued]]&gt;AU$4,ISBLANK(Tbl_ResidentData[[#This Row],[PRN Med Discontinued]])))</f>
        <v>0</v>
      </c>
      <c r="BT37" s="129" t="b">
        <f ca="1">AND(Tbl_ResidentData[[#This Row],[PRN Med Started]]&lt;&gt;"",Tbl_ResidentData[[#This Row],[PRN Med Started]]&lt;=NOW(),Tbl_ResidentData[[#This Row],[PRN Med Started]]&lt;=AV$4,OR(Tbl_ResidentData[[#This Row],[PRN Med Discontinued]]&gt;AV$4,ISBLANK(Tbl_ResidentData[[#This Row],[PRN Med Discontinued]])))</f>
        <v>0</v>
      </c>
      <c r="BU37" s="129" t="b">
        <f ca="1">AND(Tbl_ResidentData[[#This Row],[PRN Med Started]]&lt;&gt;"",Tbl_ResidentData[[#This Row],[PRN Med Started]]&lt;=NOW(),Tbl_ResidentData[[#This Row],[PRN Med Started]]&lt;=AW$4,OR(Tbl_ResidentData[[#This Row],[PRN Med Discontinued]]&gt;AW$4,ISBLANK(Tbl_ResidentData[[#This Row],[PRN Med Discontinued]])))</f>
        <v>0</v>
      </c>
      <c r="BV37" s="129" t="b">
        <f ca="1">AND(Tbl_ResidentData[[#This Row],[PRN Med Started]]&lt;&gt;"",Tbl_ResidentData[[#This Row],[PRN Med Started]]&lt;=NOW(),Tbl_ResidentData[[#This Row],[PRN Med Started]]&lt;=AX$4,OR(Tbl_ResidentData[[#This Row],[PRN Med Discontinued]]&gt;AX$4,ISBLANK(Tbl_ResidentData[[#This Row],[PRN Med Discontinued]])))</f>
        <v>0</v>
      </c>
      <c r="BW37" s="129" t="b">
        <f ca="1">AND(Tbl_ResidentData[[#This Row],[PRN Med Started]]&lt;&gt;"",Tbl_ResidentData[[#This Row],[PRN Med Started]]&lt;=NOW(),Tbl_ResidentData[[#This Row],[PRN Med Started]]&lt;=AY$4,OR(Tbl_ResidentData[[#This Row],[PRN Med Discontinued]]&gt;AY$4,ISBLANK(Tbl_ResidentData[[#This Row],[PRN Med Discontinued]])))</f>
        <v>0</v>
      </c>
      <c r="BX37" s="129" t="b">
        <f ca="1">AND(Tbl_ResidentData[[#This Row],[PRN Med Started]]&lt;&gt;"",Tbl_ResidentData[[#This Row],[PRN Med Started]]&lt;=NOW(),Tbl_ResidentData[[#This Row],[PRN Med Started]]&lt;=AZ$4,OR(Tbl_ResidentData[[#This Row],[PRN Med Discontinued]]&gt;AZ$4,ISBLANK(Tbl_ResidentData[[#This Row],[PRN Med Discontinued]])))</f>
        <v>0</v>
      </c>
      <c r="BY37" s="129" t="b">
        <f ca="1">AND(Tbl_ResidentData[[#This Row],[PRN Med Started]]&lt;&gt;"",Tbl_ResidentData[[#This Row],[PRN Med Started]]&lt;=NOW(),Tbl_ResidentData[[#This Row],[PRN Med Started]]&lt;=BA$4,OR(Tbl_ResidentData[[#This Row],[PRN Med Discontinued]]&gt;BA$4,ISBLANK(Tbl_ResidentData[[#This Row],[PRN Med Discontinued]])))</f>
        <v>0</v>
      </c>
      <c r="BZ37" s="129" t="b">
        <f ca="1">AND(Tbl_ResidentData[[#This Row],[PRN Med Started]]&lt;&gt;"",Tbl_ResidentData[[#This Row],[PRN Med Started]]&lt;=NOW(),Tbl_ResidentData[[#This Row],[PRN Med Started]]&lt;=BB$4,OR(Tbl_ResidentData[[#This Row],[PRN Med Discontinued]]&gt;BB$4,ISBLANK(Tbl_ResidentData[[#This Row],[PRN Med Discontinued]])))</f>
        <v>0</v>
      </c>
      <c r="CA37" s="129" t="b">
        <f ca="1">AND(Tbl_ResidentData[[#This Row],[PRN Med Started]]&lt;&gt;"",Tbl_ResidentData[[#This Row],[PRN Med Started]]&lt;=NOW(),Tbl_ResidentData[[#This Row],[PRN Med Started]]&lt;=BC$4,OR(Tbl_ResidentData[[#This Row],[PRN Med Discontinued]]&gt;BC$4,ISBLANK(Tbl_ResidentData[[#This Row],[PRN Med Discontinued]])))</f>
        <v>0</v>
      </c>
      <c r="CB37" s="129" t="b">
        <f ca="1">AND(Tbl_ResidentData[[#This Row],[PRN Med Started]]&lt;&gt;"",Tbl_ResidentData[[#This Row],[PRN Med Started]]&lt;=NOW(),Tbl_ResidentData[[#This Row],[PRN Med Started]]&lt;=BD$4,OR(Tbl_ResidentData[[#This Row],[PRN Med Discontinued]]&gt;BD$4,ISBLANK(Tbl_ResidentData[[#This Row],[PRN Med Discontinued]])))</f>
        <v>0</v>
      </c>
      <c r="CC37" s="129" t="b">
        <f ca="1">AND(Tbl_ResidentData[[#This Row],[PRN Med Started]]&lt;&gt;"",Tbl_ResidentData[[#This Row],[PRN Med Started]]&lt;=NOW(),Tbl_ResidentData[[#This Row],[PRN Med Started]]&lt;=BE$4,OR(Tbl_ResidentData[[#This Row],[PRN Med Discontinued]]&gt;BE$4,ISBLANK(Tbl_ResidentData[[#This Row],[PRN Med Discontinued]])))</f>
        <v>0</v>
      </c>
      <c r="CD37" s="129" t="b">
        <f ca="1">AND(Tbl_ResidentData[[#This Row],[PRN Med Started]]&lt;&gt;"",Tbl_ResidentData[[#This Row],[PRN Med Started]]&lt;=NOW(),Tbl_ResidentData[[#This Row],[PRN Med Started]]&lt;=BF$4,OR(Tbl_ResidentData[[#This Row],[PRN Med Discontinued]]&gt;BF$4,ISBLANK(Tbl_ResidentData[[#This Row],[PRN Med Discontinued]])))</f>
        <v>0</v>
      </c>
      <c r="CE37" s="129" t="b">
        <f ca="1">AND(Tbl_ResidentData[[#This Row],[PRN Med Started]]&lt;&gt;"",Tbl_ResidentData[[#This Row],[PRN Med Started]]&lt;=NOW(),Tbl_ResidentData[[#This Row],[PRN Med Started]]&lt;=BG$4,OR(Tbl_ResidentData[[#This Row],[PRN Med Discontinued]]&gt;BG$4,ISBLANK(Tbl_ResidentData[[#This Row],[PRN Med Discontinued]])))</f>
        <v>0</v>
      </c>
      <c r="CF37" s="129" t="b">
        <f ca="1">AND(Tbl_ResidentData[[#This Row],[PRN Med Started]]&lt;&gt;"",Tbl_ResidentData[[#This Row],[PRN Med Started]]&lt;=NOW(),Tbl_ResidentData[[#This Row],[PRN Med Started]]&lt;=BH$4,OR(Tbl_ResidentData[[#This Row],[PRN Med Discontinued]]&gt;BH$4,ISBLANK(Tbl_ResidentData[[#This Row],[PRN Med Discontinued]])))</f>
        <v>0</v>
      </c>
      <c r="CG37" s="129" t="b">
        <f ca="1">AND(Tbl_ResidentData[[#This Row],[PRN Med Started]]&lt;&gt;"",Tbl_ResidentData[[#This Row],[PRN Med Started]]&lt;=NOW(),Tbl_ResidentData[[#This Row],[PRN Med Started]]&lt;=BI$4,OR(Tbl_ResidentData[[#This Row],[PRN Med Discontinued]]&gt;BI$4,ISBLANK(Tbl_ResidentData[[#This Row],[PRN Med Discontinued]])))</f>
        <v>0</v>
      </c>
      <c r="CH37" s="129" t="b">
        <f ca="1">AND(Tbl_ResidentData[[#This Row],[PRN Med Started]]&lt;&gt;"",Tbl_ResidentData[[#This Row],[PRN Med Started]]&lt;=NOW(),Tbl_ResidentData[[#This Row],[PRN Med Started]]&lt;=BJ$4,OR(Tbl_ResidentData[[#This Row],[PRN Med Discontinued]]&gt;BJ$4,ISBLANK(Tbl_ResidentData[[#This Row],[PRN Med Discontinued]])))</f>
        <v>0</v>
      </c>
      <c r="CI37" s="129" t="b">
        <f ca="1">AND(Tbl_ResidentData[[#This Row],[PRN Med Started]]&lt;&gt;"",Tbl_ResidentData[[#This Row],[PRN Med Started]]&lt;=NOW(),Tbl_ResidentData[[#This Row],[PRN Med Started]]&lt;=BK$4,OR(Tbl_ResidentData[[#This Row],[PRN Med Discontinued]]&gt;BK$4,ISBLANK(Tbl_ResidentData[[#This Row],[PRN Med Discontinued]])))</f>
        <v>0</v>
      </c>
      <c r="CJ37" s="129" t="b">
        <f ca="1">AND(Tbl_ResidentData[[#This Row],[PRN Med Started]]&lt;&gt;"",Tbl_ResidentData[[#This Row],[PRN Med Started]]&lt;=NOW(),Tbl_ResidentData[[#This Row],[PRN Med Started]]&lt;=BL$4,OR(Tbl_ResidentData[[#This Row],[PRN Med Discontinued]]&gt;BL$4,ISBLANK(Tbl_ResidentData[[#This Row],[PRN Med Discontinued]])))</f>
        <v>0</v>
      </c>
      <c r="CK37" s="129" t="b">
        <f ca="1">AND(Tbl_ResidentData[[#This Row],[PRN Med Started]]&lt;&gt;"",Tbl_ResidentData[[#This Row],[PRN Med Started]]&lt;=NOW(),Tbl_ResidentData[[#This Row],[PRN Med Started]]&lt;=BM$4,OR(Tbl_ResidentData[[#This Row],[PRN Med Discontinued]]&gt;BM$4,ISBLANK(Tbl_ResidentData[[#This Row],[PRN Med Discontinued]])))</f>
        <v>0</v>
      </c>
      <c r="CL37" s="129" t="b">
        <f ca="1">AND(Tbl_ResidentData[[#This Row],[PRN Med Started]]&lt;&gt;"",Tbl_ResidentData[[#This Row],[PRN Med Started]]&lt;=NOW(),Tbl_ResidentData[[#This Row],[PRN Med Started]]&lt;=BN$4,OR(Tbl_ResidentData[[#This Row],[PRN Med Discontinued]]&gt;BN$4,ISBLANK(Tbl_ResidentData[[#This Row],[PRN Med Discontinued]])))</f>
        <v>0</v>
      </c>
      <c r="CM37" s="121" t="b">
        <f ca="1">AND(Tbl_ResidentData[[#This Row],[PRN Med Started]]&lt;&gt;"",Tbl_ResidentData[[#This Row],[PRN Med Started]]&lt;=NOW(),Tbl_ResidentData[[#This Row],[PRN Med Started]]&lt;=BO$4,OR(Tbl_ResidentData[[#This Row],[PRN Med Discontinued]]&gt;BO$4,ISBLANK(Tbl_ResidentData[[#This Row],[PRN Med Discontinued]])))</f>
        <v>0</v>
      </c>
      <c r="CN37" s="122" t="b">
        <f ca="1">AND(Tbl_ResidentData[[#This Row],[PRN Med Started]]&lt;&gt;"",Tbl_ResidentData[[#This Row],[PRN Med Started]]&lt;=NOW(),Tbl_ResidentData[[#This Row],[PRN Med Started]]&lt;=BP$4,OR(Tbl_ResidentData[[#This Row],[PRN Med Discontinued]]&gt;BP$4,ISBLANK(Tbl_ResidentData[[#This Row],[PRN Med Discontinued]])))</f>
        <v>0</v>
      </c>
      <c r="CO37" s="120">
        <f ca="1">IF(OR(Tbl_ResidentData[[#This Row],[S1]]=TRUE,Tbl_ResidentData[[#This Row],[P1]]=TRUE),1,0)</f>
        <v>0</v>
      </c>
      <c r="CP37" s="121">
        <f ca="1">IF(OR(Tbl_ResidentData[[#This Row],[S2]]=TRUE,Tbl_ResidentData[[#This Row],[P2]]=TRUE),1,0)</f>
        <v>0</v>
      </c>
      <c r="CQ37" s="121">
        <f ca="1">IF(OR(Tbl_ResidentData[[#This Row],[S3]]=TRUE,Tbl_ResidentData[[#This Row],[P3]]=TRUE),1,0)</f>
        <v>0</v>
      </c>
      <c r="CR37" s="130">
        <f ca="1">IF(OR(Tbl_ResidentData[[#This Row],[S4]]=TRUE,Tbl_ResidentData[[#This Row],[P4]]=TRUE),1,0)</f>
        <v>0</v>
      </c>
      <c r="CS37" s="130">
        <f ca="1">IF(OR(Tbl_ResidentData[[#This Row],[S5]]=TRUE,Tbl_ResidentData[[#This Row],[P5]]=TRUE),1,0)</f>
        <v>0</v>
      </c>
      <c r="CT37" s="130">
        <f ca="1">IF(OR(Tbl_ResidentData[[#This Row],[S6]]=TRUE,Tbl_ResidentData[[#This Row],[P6]]=TRUE),1,0)</f>
        <v>0</v>
      </c>
      <c r="CU37" s="130">
        <f ca="1">IF(OR(Tbl_ResidentData[[#This Row],[S7]]=TRUE,Tbl_ResidentData[[#This Row],[P7]]=TRUE),1,0)</f>
        <v>0</v>
      </c>
      <c r="CV37" s="130">
        <f ca="1">IF(OR(Tbl_ResidentData[[#This Row],[S8]]=TRUE,Tbl_ResidentData[[#This Row],[P8]]=TRUE),1,0)</f>
        <v>0</v>
      </c>
      <c r="CW37" s="130">
        <f ca="1">IF(OR(Tbl_ResidentData[[#This Row],[S9]]=TRUE,Tbl_ResidentData[[#This Row],[P9]]=TRUE),1,0)</f>
        <v>0</v>
      </c>
      <c r="CX37" s="130">
        <f ca="1">IF(OR(Tbl_ResidentData[[#This Row],[S10]]=TRUE,Tbl_ResidentData[[#This Row],[P10]]=TRUE),1,0)</f>
        <v>0</v>
      </c>
      <c r="CY37" s="130">
        <f ca="1">IF(OR(Tbl_ResidentData[[#This Row],[S11]]=TRUE,Tbl_ResidentData[[#This Row],[P11]]=TRUE),1,0)</f>
        <v>0</v>
      </c>
      <c r="CZ37" s="130">
        <f ca="1">IF(OR(Tbl_ResidentData[[#This Row],[S12]]=TRUE,Tbl_ResidentData[[#This Row],[P12]]=TRUE),1,0)</f>
        <v>0</v>
      </c>
      <c r="DA37" s="130">
        <f ca="1">IF(OR(Tbl_ResidentData[[#This Row],[S13]]=TRUE,Tbl_ResidentData[[#This Row],[P13]]=TRUE),1,0)</f>
        <v>0</v>
      </c>
      <c r="DB37" s="130">
        <f ca="1">IF(OR(Tbl_ResidentData[[#This Row],[S14]]=TRUE,Tbl_ResidentData[[#This Row],[P14]]=TRUE),1,0)</f>
        <v>0</v>
      </c>
      <c r="DC37" s="130">
        <f ca="1">IF(OR(Tbl_ResidentData[[#This Row],[S15]]=TRUE,Tbl_ResidentData[[#This Row],[P15]]=TRUE),1,0)</f>
        <v>0</v>
      </c>
      <c r="DD37" s="130">
        <f ca="1">IF(OR(Tbl_ResidentData[[#This Row],[S16]]=TRUE,Tbl_ResidentData[[#This Row],[P16]]=TRUE),1,0)</f>
        <v>0</v>
      </c>
      <c r="DE37" s="130">
        <f ca="1">IF(OR(Tbl_ResidentData[[#This Row],[S17]]=TRUE,Tbl_ResidentData[[#This Row],[P17]]=TRUE),1,0)</f>
        <v>0</v>
      </c>
      <c r="DF37" s="130">
        <f ca="1">IF(OR(Tbl_ResidentData[[#This Row],[S18]]=TRUE,Tbl_ResidentData[[#This Row],[P18]]=TRUE),1,0)</f>
        <v>0</v>
      </c>
      <c r="DG37" s="130">
        <f ca="1">IF(OR(Tbl_ResidentData[[#This Row],[S19]]=TRUE,Tbl_ResidentData[[#This Row],[P19]]=TRUE),1,0)</f>
        <v>0</v>
      </c>
      <c r="DH37" s="130">
        <f ca="1">IF(OR(Tbl_ResidentData[[#This Row],[S20]]=TRUE,Tbl_ResidentData[[#This Row],[P20]]=TRUE),1,0)</f>
        <v>0</v>
      </c>
      <c r="DI37" s="130">
        <f ca="1">IF(OR(Tbl_ResidentData[[#This Row],[S21]]=TRUE,Tbl_ResidentData[[#This Row],[P21]]=TRUE),1,0)</f>
        <v>0</v>
      </c>
      <c r="DJ37" s="130">
        <f ca="1">IF(OR(Tbl_ResidentData[[#This Row],[S22]]=TRUE,Tbl_ResidentData[[#This Row],[P22]]=TRUE),1,0)</f>
        <v>0</v>
      </c>
      <c r="DK37" s="130">
        <f ca="1">IF(OR(Tbl_ResidentData[[#This Row],[S23]]=TRUE,Tbl_ResidentData[[#This Row],[P23]]=TRUE),1,0)</f>
        <v>0</v>
      </c>
      <c r="DL37" s="130">
        <f ca="1">IF(OR(Tbl_ResidentData[[#This Row],[S24]]=TRUE,Tbl_ResidentData[[#This Row],[P24]]=TRUE),1,0)</f>
        <v>0</v>
      </c>
      <c r="DM37" s="123" t="str">
        <f ca="1">IFERROR(INDEX($CO$4:$DL$4,MATCH(TRUE,INDEX((Tbl_ResidentData[[#This Row],[Over1]:[Over24]]&lt;&gt;0),0),0)),"")</f>
        <v/>
      </c>
      <c r="DN37" s="133" t="str">
        <f>IFERROR(INDEX(Tbl_PDSAData[Last DRT],MATCH(Tbl_ResidentData[Resident Name '[last, first']],Tbl_PDSAData[Resident Name (last, first)],0)),"")</f>
        <v/>
      </c>
      <c r="DO37" s="222" t="str">
        <f>IFERROR(INDEX(Tbl_PDSAData[Last MR],MATCH(Tbl_ResidentData[Resident Name '[last, first']],Tbl_PDSAData[Resident Name (last, first)],0)),"")</f>
        <v/>
      </c>
    </row>
    <row r="38" spans="1:119" x14ac:dyDescent="0.25">
      <c r="A38" s="179"/>
      <c r="B38" s="180"/>
      <c r="C38" s="180"/>
      <c r="D38" s="218"/>
      <c r="E38" s="179"/>
      <c r="F38" s="179"/>
      <c r="G38" s="181"/>
      <c r="H38" s="375"/>
      <c r="I38" s="186"/>
      <c r="J38" s="387"/>
      <c r="K38" s="178"/>
      <c r="L38" s="388"/>
      <c r="M38" s="187"/>
      <c r="N38" s="387"/>
      <c r="O38" s="178"/>
      <c r="P38" s="388"/>
      <c r="Q38" s="394"/>
      <c r="R38" s="388"/>
      <c r="S38" s="132" t="str">
        <f>IF(ISBLANK(Tbl_ResidentData[[#This Row],[Discharge '[mmm-yyyy']]]),IF(ISBLANK(Tbl_ResidentData[[#This Row],[Enrollment '[mmm-yyyy']]]),"","In Care Home"),"Discharged")</f>
        <v/>
      </c>
      <c r="T38" s="128" t="str">
        <f>IF(ISBLANK(Tbl_ResidentData[[#This Row],[Diagnosis (RAI)]]),IF(ISBLANK(Tbl_ResidentData[[#This Row],[Resident Name '[last, first']]]),"",0),IF(Tbl_ResidentData[[#This Row],[Diagnosis (RAI)]]="Other (see clinical notes)",0,1))</f>
        <v/>
      </c>
      <c r="U38" s="129" t="str">
        <f ca="1">IF(U$4&gt;NOW(),"-",IF(ISBLANK(Tbl_ResidentData[[#This Row],[Enrollment '[mmm-yyyy']]]),"-",AND((Tbl_ResidentData[[#This Row],[Enrollment '[mmm-yyyy']]]&lt;=U$4),IF(ISBLANK(Tbl_ResidentData[[#This Row],[Discharge '[mmm-yyyy']]]),TRUE,(Tbl_ResidentData[[#This Row],[Discharge '[mmm-yyyy']]]&gt;=U$4)))))</f>
        <v>-</v>
      </c>
      <c r="V38" s="121" t="str">
        <f ca="1">IF(V$4&gt;NOW(),"-",IF(ISBLANK(Tbl_ResidentData[[#This Row],[Enrollment '[mmm-yyyy']]]),"-",AND((Tbl_ResidentData[[#This Row],[Enrollment '[mmm-yyyy']]]&lt;=V$4),IF(ISBLANK(Tbl_ResidentData[[#This Row],[Discharge '[mmm-yyyy']]]),TRUE,(Tbl_ResidentData[[#This Row],[Discharge '[mmm-yyyy']]]&gt;=V$4)))))</f>
        <v>-</v>
      </c>
      <c r="W38" s="121" t="str">
        <f ca="1">IF(W$4&gt;NOW(),"-",IF(ISBLANK(Tbl_ResidentData[[#This Row],[Enrollment '[mmm-yyyy']]]),"-",AND((Tbl_ResidentData[[#This Row],[Enrollment '[mmm-yyyy']]]&lt;=W$4),IF(ISBLANK(Tbl_ResidentData[[#This Row],[Discharge '[mmm-yyyy']]]),TRUE,(Tbl_ResidentData[[#This Row],[Discharge '[mmm-yyyy']]]&gt;=W$4)))))</f>
        <v>-</v>
      </c>
      <c r="X38" s="121" t="str">
        <f ca="1">IF(X$4&gt;NOW(),"-",IF(ISBLANK(Tbl_ResidentData[[#This Row],[Enrollment '[mmm-yyyy']]]),"-",AND((Tbl_ResidentData[[#This Row],[Enrollment '[mmm-yyyy']]]&lt;=X$4),IF(ISBLANK(Tbl_ResidentData[[#This Row],[Discharge '[mmm-yyyy']]]),TRUE,(Tbl_ResidentData[[#This Row],[Discharge '[mmm-yyyy']]]&gt;=X$4)))))</f>
        <v>-</v>
      </c>
      <c r="Y38" s="121" t="str">
        <f ca="1">IF(Y$4&gt;NOW(),"-",IF(ISBLANK(Tbl_ResidentData[[#This Row],[Enrollment '[mmm-yyyy']]]),"-",AND((Tbl_ResidentData[[#This Row],[Enrollment '[mmm-yyyy']]]&lt;=Y$4),IF(ISBLANK(Tbl_ResidentData[[#This Row],[Discharge '[mmm-yyyy']]]),TRUE,(Tbl_ResidentData[[#This Row],[Discharge '[mmm-yyyy']]]&gt;=Y$4)))))</f>
        <v>-</v>
      </c>
      <c r="Z38" s="121" t="str">
        <f ca="1">IF(Z$4&gt;NOW(),"-",IF(ISBLANK(Tbl_ResidentData[[#This Row],[Enrollment '[mmm-yyyy']]]),"-",AND((Tbl_ResidentData[[#This Row],[Enrollment '[mmm-yyyy']]]&lt;=Z$4),IF(ISBLANK(Tbl_ResidentData[[#This Row],[Discharge '[mmm-yyyy']]]),TRUE,(Tbl_ResidentData[[#This Row],[Discharge '[mmm-yyyy']]]&gt;=Z$4)))))</f>
        <v>-</v>
      </c>
      <c r="AA38" s="121" t="str">
        <f ca="1">IF(AA$4&gt;NOW(),"-",IF(ISBLANK(Tbl_ResidentData[[#This Row],[Enrollment '[mmm-yyyy']]]),"-",AND((Tbl_ResidentData[[#This Row],[Enrollment '[mmm-yyyy']]]&lt;=AA$4),IF(ISBLANK(Tbl_ResidentData[[#This Row],[Discharge '[mmm-yyyy']]]),TRUE,(Tbl_ResidentData[[#This Row],[Discharge '[mmm-yyyy']]]&gt;=AA$4)))))</f>
        <v>-</v>
      </c>
      <c r="AB38" s="121" t="str">
        <f ca="1">IF(AB$4&gt;NOW(),"-",IF(ISBLANK(Tbl_ResidentData[[#This Row],[Enrollment '[mmm-yyyy']]]),"-",AND((Tbl_ResidentData[[#This Row],[Enrollment '[mmm-yyyy']]]&lt;=AB$4),IF(ISBLANK(Tbl_ResidentData[[#This Row],[Discharge '[mmm-yyyy']]]),TRUE,(Tbl_ResidentData[[#This Row],[Discharge '[mmm-yyyy']]]&gt;=AB$4)))))</f>
        <v>-</v>
      </c>
      <c r="AC38" s="121" t="str">
        <f ca="1">IF(AC$4&gt;NOW(),"-",IF(ISBLANK(Tbl_ResidentData[[#This Row],[Enrollment '[mmm-yyyy']]]),"-",AND((Tbl_ResidentData[[#This Row],[Enrollment '[mmm-yyyy']]]&lt;=AC$4),IF(ISBLANK(Tbl_ResidentData[[#This Row],[Discharge '[mmm-yyyy']]]),TRUE,(Tbl_ResidentData[[#This Row],[Discharge '[mmm-yyyy']]]&gt;=AC$4)))))</f>
        <v>-</v>
      </c>
      <c r="AD38" s="121" t="str">
        <f ca="1">IF(AD$4&gt;NOW(),"-",IF(ISBLANK(Tbl_ResidentData[[#This Row],[Enrollment '[mmm-yyyy']]]),"-",AND((Tbl_ResidentData[[#This Row],[Enrollment '[mmm-yyyy']]]&lt;=AD$4),IF(ISBLANK(Tbl_ResidentData[[#This Row],[Discharge '[mmm-yyyy']]]),TRUE,(Tbl_ResidentData[[#This Row],[Discharge '[mmm-yyyy']]]&gt;=AD$4)))))</f>
        <v>-</v>
      </c>
      <c r="AE38" s="121" t="str">
        <f ca="1">IF(AE$4&gt;NOW(),"-",IF(ISBLANK(Tbl_ResidentData[[#This Row],[Enrollment '[mmm-yyyy']]]),"-",AND((Tbl_ResidentData[[#This Row],[Enrollment '[mmm-yyyy']]]&lt;=AE$4),IF(ISBLANK(Tbl_ResidentData[[#This Row],[Discharge '[mmm-yyyy']]]),TRUE,(Tbl_ResidentData[[#This Row],[Discharge '[mmm-yyyy']]]&gt;=AE$4)))))</f>
        <v>-</v>
      </c>
      <c r="AF38" s="121" t="str">
        <f ca="1">IF(AF$4&gt;NOW(),"-",IF(ISBLANK(Tbl_ResidentData[[#This Row],[Enrollment '[mmm-yyyy']]]),"-",AND((Tbl_ResidentData[[#This Row],[Enrollment '[mmm-yyyy']]]&lt;=AF$4),IF(ISBLANK(Tbl_ResidentData[[#This Row],[Discharge '[mmm-yyyy']]]),TRUE,(Tbl_ResidentData[[#This Row],[Discharge '[mmm-yyyy']]]&gt;=AF$4)))))</f>
        <v>-</v>
      </c>
      <c r="AG38" s="121" t="str">
        <f ca="1">IF(AG$4&gt;NOW(),"-",IF(ISBLANK(Tbl_ResidentData[[#This Row],[Enrollment '[mmm-yyyy']]]),"-",AND((Tbl_ResidentData[[#This Row],[Enrollment '[mmm-yyyy']]]&lt;=AG$4),IF(ISBLANK(Tbl_ResidentData[[#This Row],[Discharge '[mmm-yyyy']]]),TRUE,(Tbl_ResidentData[[#This Row],[Discharge '[mmm-yyyy']]]&gt;=AG$4)))))</f>
        <v>-</v>
      </c>
      <c r="AH38" s="121" t="str">
        <f ca="1">IF(AH$4&gt;NOW(),"-",IF(ISBLANK(Tbl_ResidentData[[#This Row],[Enrollment '[mmm-yyyy']]]),"-",AND((Tbl_ResidentData[[#This Row],[Enrollment '[mmm-yyyy']]]&lt;=AH$4),IF(ISBLANK(Tbl_ResidentData[[#This Row],[Discharge '[mmm-yyyy']]]),TRUE,(Tbl_ResidentData[[#This Row],[Discharge '[mmm-yyyy']]]&gt;=AH$4)))))</f>
        <v>-</v>
      </c>
      <c r="AI38" s="121" t="str">
        <f ca="1">IF(AI$4&gt;NOW(),"-",IF(ISBLANK(Tbl_ResidentData[[#This Row],[Enrollment '[mmm-yyyy']]]),"-",AND((Tbl_ResidentData[[#This Row],[Enrollment '[mmm-yyyy']]]&lt;=AI$4),IF(ISBLANK(Tbl_ResidentData[[#This Row],[Discharge '[mmm-yyyy']]]),TRUE,(Tbl_ResidentData[[#This Row],[Discharge '[mmm-yyyy']]]&gt;=AI$4)))))</f>
        <v>-</v>
      </c>
      <c r="AJ38" s="121" t="str">
        <f ca="1">IF(AJ$4&gt;NOW(),"-",IF(ISBLANK(Tbl_ResidentData[[#This Row],[Enrollment '[mmm-yyyy']]]),"-",AND((Tbl_ResidentData[[#This Row],[Enrollment '[mmm-yyyy']]]&lt;=AJ$4),IF(ISBLANK(Tbl_ResidentData[[#This Row],[Discharge '[mmm-yyyy']]]),TRUE,(Tbl_ResidentData[[#This Row],[Discharge '[mmm-yyyy']]]&gt;=AJ$4)))))</f>
        <v>-</v>
      </c>
      <c r="AK38" s="121" t="str">
        <f ca="1">IF(AK$4&gt;NOW(),"-",IF(ISBLANK(Tbl_ResidentData[[#This Row],[Enrollment '[mmm-yyyy']]]),"-",AND((Tbl_ResidentData[[#This Row],[Enrollment '[mmm-yyyy']]]&lt;=AK$4),IF(ISBLANK(Tbl_ResidentData[[#This Row],[Discharge '[mmm-yyyy']]]),TRUE,(Tbl_ResidentData[[#This Row],[Discharge '[mmm-yyyy']]]&gt;=AK$4)))))</f>
        <v>-</v>
      </c>
      <c r="AL38" s="121" t="str">
        <f ca="1">IF(AL$4&gt;NOW(),"-",IF(ISBLANK(Tbl_ResidentData[[#This Row],[Enrollment '[mmm-yyyy']]]),"-",AND((Tbl_ResidentData[[#This Row],[Enrollment '[mmm-yyyy']]]&lt;=AL$4),IF(ISBLANK(Tbl_ResidentData[[#This Row],[Discharge '[mmm-yyyy']]]),TRUE,(Tbl_ResidentData[[#This Row],[Discharge '[mmm-yyyy']]]&gt;=AL$4)))))</f>
        <v>-</v>
      </c>
      <c r="AM38" s="121" t="str">
        <f ca="1">IF(AM$4&gt;NOW(),"-",IF(ISBLANK(Tbl_ResidentData[[#This Row],[Enrollment '[mmm-yyyy']]]),"-",AND((Tbl_ResidentData[[#This Row],[Enrollment '[mmm-yyyy']]]&lt;=AM$4),IF(ISBLANK(Tbl_ResidentData[[#This Row],[Discharge '[mmm-yyyy']]]),TRUE,(Tbl_ResidentData[[#This Row],[Discharge '[mmm-yyyy']]]&gt;=AM$4)))))</f>
        <v>-</v>
      </c>
      <c r="AN38" s="121" t="str">
        <f ca="1">IF(AN$4&gt;NOW(),"-",IF(ISBLANK(Tbl_ResidentData[[#This Row],[Enrollment '[mmm-yyyy']]]),"-",AND((Tbl_ResidentData[[#This Row],[Enrollment '[mmm-yyyy']]]&lt;=AN$4),IF(ISBLANK(Tbl_ResidentData[[#This Row],[Discharge '[mmm-yyyy']]]),TRUE,(Tbl_ResidentData[[#This Row],[Discharge '[mmm-yyyy']]]&gt;=AN$4)))))</f>
        <v>-</v>
      </c>
      <c r="AO38" s="121" t="str">
        <f ca="1">IF(AO$4&gt;NOW(),"-",IF(ISBLANK(Tbl_ResidentData[[#This Row],[Enrollment '[mmm-yyyy']]]),"-",AND((Tbl_ResidentData[[#This Row],[Enrollment '[mmm-yyyy']]]&lt;=AO$4),IF(ISBLANK(Tbl_ResidentData[[#This Row],[Discharge '[mmm-yyyy']]]),TRUE,(Tbl_ResidentData[[#This Row],[Discharge '[mmm-yyyy']]]&gt;=AO$4)))))</f>
        <v>-</v>
      </c>
      <c r="AP38" s="121" t="str">
        <f ca="1">IF(AP$4&gt;NOW(),"-",IF(ISBLANK(Tbl_ResidentData[[#This Row],[Enrollment '[mmm-yyyy']]]),"-",AND((Tbl_ResidentData[[#This Row],[Enrollment '[mmm-yyyy']]]&lt;=AP$4),IF(ISBLANK(Tbl_ResidentData[[#This Row],[Discharge '[mmm-yyyy']]]),TRUE,(Tbl_ResidentData[[#This Row],[Discharge '[mmm-yyyy']]]&gt;=AP$4)))))</f>
        <v>-</v>
      </c>
      <c r="AQ38" s="121" t="str">
        <f ca="1">IF(AQ$4&gt;NOW(),"-",IF(ISBLANK(Tbl_ResidentData[[#This Row],[Enrollment '[mmm-yyyy']]]),"-",AND((Tbl_ResidentData[[#This Row],[Enrollment '[mmm-yyyy']]]&lt;=AQ$4),IF(ISBLANK(Tbl_ResidentData[[#This Row],[Discharge '[mmm-yyyy']]]),TRUE,(Tbl_ResidentData[[#This Row],[Discharge '[mmm-yyyy']]]&gt;=AQ$4)))))</f>
        <v>-</v>
      </c>
      <c r="AR38" s="122" t="str">
        <f ca="1">IF(AR$4&gt;NOW(),"-",IF(ISBLANK(Tbl_ResidentData[[#This Row],[Enrollment '[mmm-yyyy']]]),"-",AND((Tbl_ResidentData[[#This Row],[Enrollment '[mmm-yyyy']]]&lt;=AR$4),IF(ISBLANK(Tbl_ResidentData[[#This Row],[Discharge '[mmm-yyyy']]]),TRUE,(Tbl_ResidentData[[#This Row],[Discharge '[mmm-yyyy']]]&gt;=AR$4)))))</f>
        <v>-</v>
      </c>
      <c r="AS3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38"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38"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38"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38"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38"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38"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38"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38"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38"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38"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38"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38"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38"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38"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38"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38"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38"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38"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38"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38"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3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3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3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38" s="120" t="b">
        <f ca="1">AND(Tbl_ResidentData[[#This Row],[PRN Med Started]]&lt;&gt;"",Tbl_ResidentData[[#This Row],[PRN Med Started]]&lt;=NOW(),Tbl_ResidentData[[#This Row],[PRN Med Started]]&lt;=AS$4,OR(Tbl_ResidentData[[#This Row],[PRN Med Discontinued]]&gt;AS$4,ISBLANK(Tbl_ResidentData[[#This Row],[PRN Med Discontinued]])))</f>
        <v>0</v>
      </c>
      <c r="BR38" s="121" t="b">
        <f ca="1">AND(Tbl_ResidentData[[#This Row],[PRN Med Started]]&lt;&gt;"",Tbl_ResidentData[[#This Row],[PRN Med Started]]&lt;=NOW(),Tbl_ResidentData[[#This Row],[PRN Med Started]]&lt;=AT$4,OR(Tbl_ResidentData[[#This Row],[PRN Med Discontinued]]&gt;AT$4,ISBLANK(Tbl_ResidentData[[#This Row],[PRN Med Discontinued]])))</f>
        <v>0</v>
      </c>
      <c r="BS38" s="129" t="b">
        <f ca="1">AND(Tbl_ResidentData[[#This Row],[PRN Med Started]]&lt;&gt;"",Tbl_ResidentData[[#This Row],[PRN Med Started]]&lt;=NOW(),Tbl_ResidentData[[#This Row],[PRN Med Started]]&lt;=AU$4,OR(Tbl_ResidentData[[#This Row],[PRN Med Discontinued]]&gt;AU$4,ISBLANK(Tbl_ResidentData[[#This Row],[PRN Med Discontinued]])))</f>
        <v>0</v>
      </c>
      <c r="BT38" s="129" t="b">
        <f ca="1">AND(Tbl_ResidentData[[#This Row],[PRN Med Started]]&lt;&gt;"",Tbl_ResidentData[[#This Row],[PRN Med Started]]&lt;=NOW(),Tbl_ResidentData[[#This Row],[PRN Med Started]]&lt;=AV$4,OR(Tbl_ResidentData[[#This Row],[PRN Med Discontinued]]&gt;AV$4,ISBLANK(Tbl_ResidentData[[#This Row],[PRN Med Discontinued]])))</f>
        <v>0</v>
      </c>
      <c r="BU38" s="129" t="b">
        <f ca="1">AND(Tbl_ResidentData[[#This Row],[PRN Med Started]]&lt;&gt;"",Tbl_ResidentData[[#This Row],[PRN Med Started]]&lt;=NOW(),Tbl_ResidentData[[#This Row],[PRN Med Started]]&lt;=AW$4,OR(Tbl_ResidentData[[#This Row],[PRN Med Discontinued]]&gt;AW$4,ISBLANK(Tbl_ResidentData[[#This Row],[PRN Med Discontinued]])))</f>
        <v>0</v>
      </c>
      <c r="BV38" s="129" t="b">
        <f ca="1">AND(Tbl_ResidentData[[#This Row],[PRN Med Started]]&lt;&gt;"",Tbl_ResidentData[[#This Row],[PRN Med Started]]&lt;=NOW(),Tbl_ResidentData[[#This Row],[PRN Med Started]]&lt;=AX$4,OR(Tbl_ResidentData[[#This Row],[PRN Med Discontinued]]&gt;AX$4,ISBLANK(Tbl_ResidentData[[#This Row],[PRN Med Discontinued]])))</f>
        <v>0</v>
      </c>
      <c r="BW38" s="129" t="b">
        <f ca="1">AND(Tbl_ResidentData[[#This Row],[PRN Med Started]]&lt;&gt;"",Tbl_ResidentData[[#This Row],[PRN Med Started]]&lt;=NOW(),Tbl_ResidentData[[#This Row],[PRN Med Started]]&lt;=AY$4,OR(Tbl_ResidentData[[#This Row],[PRN Med Discontinued]]&gt;AY$4,ISBLANK(Tbl_ResidentData[[#This Row],[PRN Med Discontinued]])))</f>
        <v>0</v>
      </c>
      <c r="BX38" s="129" t="b">
        <f ca="1">AND(Tbl_ResidentData[[#This Row],[PRN Med Started]]&lt;&gt;"",Tbl_ResidentData[[#This Row],[PRN Med Started]]&lt;=NOW(),Tbl_ResidentData[[#This Row],[PRN Med Started]]&lt;=AZ$4,OR(Tbl_ResidentData[[#This Row],[PRN Med Discontinued]]&gt;AZ$4,ISBLANK(Tbl_ResidentData[[#This Row],[PRN Med Discontinued]])))</f>
        <v>0</v>
      </c>
      <c r="BY38" s="129" t="b">
        <f ca="1">AND(Tbl_ResidentData[[#This Row],[PRN Med Started]]&lt;&gt;"",Tbl_ResidentData[[#This Row],[PRN Med Started]]&lt;=NOW(),Tbl_ResidentData[[#This Row],[PRN Med Started]]&lt;=BA$4,OR(Tbl_ResidentData[[#This Row],[PRN Med Discontinued]]&gt;BA$4,ISBLANK(Tbl_ResidentData[[#This Row],[PRN Med Discontinued]])))</f>
        <v>0</v>
      </c>
      <c r="BZ38" s="129" t="b">
        <f ca="1">AND(Tbl_ResidentData[[#This Row],[PRN Med Started]]&lt;&gt;"",Tbl_ResidentData[[#This Row],[PRN Med Started]]&lt;=NOW(),Tbl_ResidentData[[#This Row],[PRN Med Started]]&lt;=BB$4,OR(Tbl_ResidentData[[#This Row],[PRN Med Discontinued]]&gt;BB$4,ISBLANK(Tbl_ResidentData[[#This Row],[PRN Med Discontinued]])))</f>
        <v>0</v>
      </c>
      <c r="CA38" s="129" t="b">
        <f ca="1">AND(Tbl_ResidentData[[#This Row],[PRN Med Started]]&lt;&gt;"",Tbl_ResidentData[[#This Row],[PRN Med Started]]&lt;=NOW(),Tbl_ResidentData[[#This Row],[PRN Med Started]]&lt;=BC$4,OR(Tbl_ResidentData[[#This Row],[PRN Med Discontinued]]&gt;BC$4,ISBLANK(Tbl_ResidentData[[#This Row],[PRN Med Discontinued]])))</f>
        <v>0</v>
      </c>
      <c r="CB38" s="129" t="b">
        <f ca="1">AND(Tbl_ResidentData[[#This Row],[PRN Med Started]]&lt;&gt;"",Tbl_ResidentData[[#This Row],[PRN Med Started]]&lt;=NOW(),Tbl_ResidentData[[#This Row],[PRN Med Started]]&lt;=BD$4,OR(Tbl_ResidentData[[#This Row],[PRN Med Discontinued]]&gt;BD$4,ISBLANK(Tbl_ResidentData[[#This Row],[PRN Med Discontinued]])))</f>
        <v>0</v>
      </c>
      <c r="CC38" s="129" t="b">
        <f ca="1">AND(Tbl_ResidentData[[#This Row],[PRN Med Started]]&lt;&gt;"",Tbl_ResidentData[[#This Row],[PRN Med Started]]&lt;=NOW(),Tbl_ResidentData[[#This Row],[PRN Med Started]]&lt;=BE$4,OR(Tbl_ResidentData[[#This Row],[PRN Med Discontinued]]&gt;BE$4,ISBLANK(Tbl_ResidentData[[#This Row],[PRN Med Discontinued]])))</f>
        <v>0</v>
      </c>
      <c r="CD38" s="129" t="b">
        <f ca="1">AND(Tbl_ResidentData[[#This Row],[PRN Med Started]]&lt;&gt;"",Tbl_ResidentData[[#This Row],[PRN Med Started]]&lt;=NOW(),Tbl_ResidentData[[#This Row],[PRN Med Started]]&lt;=BF$4,OR(Tbl_ResidentData[[#This Row],[PRN Med Discontinued]]&gt;BF$4,ISBLANK(Tbl_ResidentData[[#This Row],[PRN Med Discontinued]])))</f>
        <v>0</v>
      </c>
      <c r="CE38" s="129" t="b">
        <f ca="1">AND(Tbl_ResidentData[[#This Row],[PRN Med Started]]&lt;&gt;"",Tbl_ResidentData[[#This Row],[PRN Med Started]]&lt;=NOW(),Tbl_ResidentData[[#This Row],[PRN Med Started]]&lt;=BG$4,OR(Tbl_ResidentData[[#This Row],[PRN Med Discontinued]]&gt;BG$4,ISBLANK(Tbl_ResidentData[[#This Row],[PRN Med Discontinued]])))</f>
        <v>0</v>
      </c>
      <c r="CF38" s="129" t="b">
        <f ca="1">AND(Tbl_ResidentData[[#This Row],[PRN Med Started]]&lt;&gt;"",Tbl_ResidentData[[#This Row],[PRN Med Started]]&lt;=NOW(),Tbl_ResidentData[[#This Row],[PRN Med Started]]&lt;=BH$4,OR(Tbl_ResidentData[[#This Row],[PRN Med Discontinued]]&gt;BH$4,ISBLANK(Tbl_ResidentData[[#This Row],[PRN Med Discontinued]])))</f>
        <v>0</v>
      </c>
      <c r="CG38" s="129" t="b">
        <f ca="1">AND(Tbl_ResidentData[[#This Row],[PRN Med Started]]&lt;&gt;"",Tbl_ResidentData[[#This Row],[PRN Med Started]]&lt;=NOW(),Tbl_ResidentData[[#This Row],[PRN Med Started]]&lt;=BI$4,OR(Tbl_ResidentData[[#This Row],[PRN Med Discontinued]]&gt;BI$4,ISBLANK(Tbl_ResidentData[[#This Row],[PRN Med Discontinued]])))</f>
        <v>0</v>
      </c>
      <c r="CH38" s="129" t="b">
        <f ca="1">AND(Tbl_ResidentData[[#This Row],[PRN Med Started]]&lt;&gt;"",Tbl_ResidentData[[#This Row],[PRN Med Started]]&lt;=NOW(),Tbl_ResidentData[[#This Row],[PRN Med Started]]&lt;=BJ$4,OR(Tbl_ResidentData[[#This Row],[PRN Med Discontinued]]&gt;BJ$4,ISBLANK(Tbl_ResidentData[[#This Row],[PRN Med Discontinued]])))</f>
        <v>0</v>
      </c>
      <c r="CI38" s="129" t="b">
        <f ca="1">AND(Tbl_ResidentData[[#This Row],[PRN Med Started]]&lt;&gt;"",Tbl_ResidentData[[#This Row],[PRN Med Started]]&lt;=NOW(),Tbl_ResidentData[[#This Row],[PRN Med Started]]&lt;=BK$4,OR(Tbl_ResidentData[[#This Row],[PRN Med Discontinued]]&gt;BK$4,ISBLANK(Tbl_ResidentData[[#This Row],[PRN Med Discontinued]])))</f>
        <v>0</v>
      </c>
      <c r="CJ38" s="129" t="b">
        <f ca="1">AND(Tbl_ResidentData[[#This Row],[PRN Med Started]]&lt;&gt;"",Tbl_ResidentData[[#This Row],[PRN Med Started]]&lt;=NOW(),Tbl_ResidentData[[#This Row],[PRN Med Started]]&lt;=BL$4,OR(Tbl_ResidentData[[#This Row],[PRN Med Discontinued]]&gt;BL$4,ISBLANK(Tbl_ResidentData[[#This Row],[PRN Med Discontinued]])))</f>
        <v>0</v>
      </c>
      <c r="CK38" s="129" t="b">
        <f ca="1">AND(Tbl_ResidentData[[#This Row],[PRN Med Started]]&lt;&gt;"",Tbl_ResidentData[[#This Row],[PRN Med Started]]&lt;=NOW(),Tbl_ResidentData[[#This Row],[PRN Med Started]]&lt;=BM$4,OR(Tbl_ResidentData[[#This Row],[PRN Med Discontinued]]&gt;BM$4,ISBLANK(Tbl_ResidentData[[#This Row],[PRN Med Discontinued]])))</f>
        <v>0</v>
      </c>
      <c r="CL38" s="129" t="b">
        <f ca="1">AND(Tbl_ResidentData[[#This Row],[PRN Med Started]]&lt;&gt;"",Tbl_ResidentData[[#This Row],[PRN Med Started]]&lt;=NOW(),Tbl_ResidentData[[#This Row],[PRN Med Started]]&lt;=BN$4,OR(Tbl_ResidentData[[#This Row],[PRN Med Discontinued]]&gt;BN$4,ISBLANK(Tbl_ResidentData[[#This Row],[PRN Med Discontinued]])))</f>
        <v>0</v>
      </c>
      <c r="CM38" s="121" t="b">
        <f ca="1">AND(Tbl_ResidentData[[#This Row],[PRN Med Started]]&lt;&gt;"",Tbl_ResidentData[[#This Row],[PRN Med Started]]&lt;=NOW(),Tbl_ResidentData[[#This Row],[PRN Med Started]]&lt;=BO$4,OR(Tbl_ResidentData[[#This Row],[PRN Med Discontinued]]&gt;BO$4,ISBLANK(Tbl_ResidentData[[#This Row],[PRN Med Discontinued]])))</f>
        <v>0</v>
      </c>
      <c r="CN38" s="122" t="b">
        <f ca="1">AND(Tbl_ResidentData[[#This Row],[PRN Med Started]]&lt;&gt;"",Tbl_ResidentData[[#This Row],[PRN Med Started]]&lt;=NOW(),Tbl_ResidentData[[#This Row],[PRN Med Started]]&lt;=BP$4,OR(Tbl_ResidentData[[#This Row],[PRN Med Discontinued]]&gt;BP$4,ISBLANK(Tbl_ResidentData[[#This Row],[PRN Med Discontinued]])))</f>
        <v>0</v>
      </c>
      <c r="CO38" s="120">
        <f ca="1">IF(OR(Tbl_ResidentData[[#This Row],[S1]]=TRUE,Tbl_ResidentData[[#This Row],[P1]]=TRUE),1,0)</f>
        <v>0</v>
      </c>
      <c r="CP38" s="121">
        <f ca="1">IF(OR(Tbl_ResidentData[[#This Row],[S2]]=TRUE,Tbl_ResidentData[[#This Row],[P2]]=TRUE),1,0)</f>
        <v>0</v>
      </c>
      <c r="CQ38" s="121">
        <f ca="1">IF(OR(Tbl_ResidentData[[#This Row],[S3]]=TRUE,Tbl_ResidentData[[#This Row],[P3]]=TRUE),1,0)</f>
        <v>0</v>
      </c>
      <c r="CR38" s="130">
        <f ca="1">IF(OR(Tbl_ResidentData[[#This Row],[S4]]=TRUE,Tbl_ResidentData[[#This Row],[P4]]=TRUE),1,0)</f>
        <v>0</v>
      </c>
      <c r="CS38" s="130">
        <f ca="1">IF(OR(Tbl_ResidentData[[#This Row],[S5]]=TRUE,Tbl_ResidentData[[#This Row],[P5]]=TRUE),1,0)</f>
        <v>0</v>
      </c>
      <c r="CT38" s="130">
        <f ca="1">IF(OR(Tbl_ResidentData[[#This Row],[S6]]=TRUE,Tbl_ResidentData[[#This Row],[P6]]=TRUE),1,0)</f>
        <v>0</v>
      </c>
      <c r="CU38" s="130">
        <f ca="1">IF(OR(Tbl_ResidentData[[#This Row],[S7]]=TRUE,Tbl_ResidentData[[#This Row],[P7]]=TRUE),1,0)</f>
        <v>0</v>
      </c>
      <c r="CV38" s="130">
        <f ca="1">IF(OR(Tbl_ResidentData[[#This Row],[S8]]=TRUE,Tbl_ResidentData[[#This Row],[P8]]=TRUE),1,0)</f>
        <v>0</v>
      </c>
      <c r="CW38" s="130">
        <f ca="1">IF(OR(Tbl_ResidentData[[#This Row],[S9]]=TRUE,Tbl_ResidentData[[#This Row],[P9]]=TRUE),1,0)</f>
        <v>0</v>
      </c>
      <c r="CX38" s="130">
        <f ca="1">IF(OR(Tbl_ResidentData[[#This Row],[S10]]=TRUE,Tbl_ResidentData[[#This Row],[P10]]=TRUE),1,0)</f>
        <v>0</v>
      </c>
      <c r="CY38" s="130">
        <f ca="1">IF(OR(Tbl_ResidentData[[#This Row],[S11]]=TRUE,Tbl_ResidentData[[#This Row],[P11]]=TRUE),1,0)</f>
        <v>0</v>
      </c>
      <c r="CZ38" s="130">
        <f ca="1">IF(OR(Tbl_ResidentData[[#This Row],[S12]]=TRUE,Tbl_ResidentData[[#This Row],[P12]]=TRUE),1,0)</f>
        <v>0</v>
      </c>
      <c r="DA38" s="130">
        <f ca="1">IF(OR(Tbl_ResidentData[[#This Row],[S13]]=TRUE,Tbl_ResidentData[[#This Row],[P13]]=TRUE),1,0)</f>
        <v>0</v>
      </c>
      <c r="DB38" s="130">
        <f ca="1">IF(OR(Tbl_ResidentData[[#This Row],[S14]]=TRUE,Tbl_ResidentData[[#This Row],[P14]]=TRUE),1,0)</f>
        <v>0</v>
      </c>
      <c r="DC38" s="130">
        <f ca="1">IF(OR(Tbl_ResidentData[[#This Row],[S15]]=TRUE,Tbl_ResidentData[[#This Row],[P15]]=TRUE),1,0)</f>
        <v>0</v>
      </c>
      <c r="DD38" s="130">
        <f ca="1">IF(OR(Tbl_ResidentData[[#This Row],[S16]]=TRUE,Tbl_ResidentData[[#This Row],[P16]]=TRUE),1,0)</f>
        <v>0</v>
      </c>
      <c r="DE38" s="130">
        <f ca="1">IF(OR(Tbl_ResidentData[[#This Row],[S17]]=TRUE,Tbl_ResidentData[[#This Row],[P17]]=TRUE),1,0)</f>
        <v>0</v>
      </c>
      <c r="DF38" s="130">
        <f ca="1">IF(OR(Tbl_ResidentData[[#This Row],[S18]]=TRUE,Tbl_ResidentData[[#This Row],[P18]]=TRUE),1,0)</f>
        <v>0</v>
      </c>
      <c r="DG38" s="130">
        <f ca="1">IF(OR(Tbl_ResidentData[[#This Row],[S19]]=TRUE,Tbl_ResidentData[[#This Row],[P19]]=TRUE),1,0)</f>
        <v>0</v>
      </c>
      <c r="DH38" s="130">
        <f ca="1">IF(OR(Tbl_ResidentData[[#This Row],[S20]]=TRUE,Tbl_ResidentData[[#This Row],[P20]]=TRUE),1,0)</f>
        <v>0</v>
      </c>
      <c r="DI38" s="130">
        <f ca="1">IF(OR(Tbl_ResidentData[[#This Row],[S21]]=TRUE,Tbl_ResidentData[[#This Row],[P21]]=TRUE),1,0)</f>
        <v>0</v>
      </c>
      <c r="DJ38" s="130">
        <f ca="1">IF(OR(Tbl_ResidentData[[#This Row],[S22]]=TRUE,Tbl_ResidentData[[#This Row],[P22]]=TRUE),1,0)</f>
        <v>0</v>
      </c>
      <c r="DK38" s="130">
        <f ca="1">IF(OR(Tbl_ResidentData[[#This Row],[S23]]=TRUE,Tbl_ResidentData[[#This Row],[P23]]=TRUE),1,0)</f>
        <v>0</v>
      </c>
      <c r="DL38" s="130">
        <f ca="1">IF(OR(Tbl_ResidentData[[#This Row],[S24]]=TRUE,Tbl_ResidentData[[#This Row],[P24]]=TRUE),1,0)</f>
        <v>0</v>
      </c>
      <c r="DM38" s="123" t="str">
        <f ca="1">IFERROR(INDEX($CO$4:$DL$4,MATCH(TRUE,INDEX((Tbl_ResidentData[[#This Row],[Over1]:[Over24]]&lt;&gt;0),0),0)),"")</f>
        <v/>
      </c>
      <c r="DN38" s="133" t="str">
        <f>IFERROR(INDEX(Tbl_PDSAData[Last DRT],MATCH(Tbl_ResidentData[Resident Name '[last, first']],Tbl_PDSAData[Resident Name (last, first)],0)),"")</f>
        <v/>
      </c>
      <c r="DO38" s="222" t="str">
        <f>IFERROR(INDEX(Tbl_PDSAData[Last MR],MATCH(Tbl_ResidentData[Resident Name '[last, first']],Tbl_PDSAData[Resident Name (last, first)],0)),"")</f>
        <v/>
      </c>
    </row>
    <row r="39" spans="1:119" x14ac:dyDescent="0.25">
      <c r="A39" s="179"/>
      <c r="B39" s="180"/>
      <c r="C39" s="180"/>
      <c r="D39" s="217"/>
      <c r="E39" s="179"/>
      <c r="F39" s="179"/>
      <c r="G39" s="181"/>
      <c r="H39" s="182"/>
      <c r="I39" s="186"/>
      <c r="J39" s="387"/>
      <c r="K39" s="178"/>
      <c r="L39" s="388"/>
      <c r="M39" s="187"/>
      <c r="N39" s="387"/>
      <c r="O39" s="178"/>
      <c r="P39" s="388"/>
      <c r="Q39" s="395"/>
      <c r="R39" s="396"/>
      <c r="S39" s="132" t="str">
        <f>IF(ISBLANK(Tbl_ResidentData[[#This Row],[Discharge '[mmm-yyyy']]]),IF(ISBLANK(Tbl_ResidentData[[#This Row],[Enrollment '[mmm-yyyy']]]),"","In Care Home"),"Discharged")</f>
        <v/>
      </c>
      <c r="T39" s="128" t="str">
        <f>IF(ISBLANK(Tbl_ResidentData[[#This Row],[Diagnosis (RAI)]]),IF(ISBLANK(Tbl_ResidentData[[#This Row],[Resident Name '[last, first']]]),"",0),IF(Tbl_ResidentData[[#This Row],[Diagnosis (RAI)]]="Other (see clinical notes)",0,1))</f>
        <v/>
      </c>
      <c r="U39" s="129" t="str">
        <f ca="1">IF(U$4&gt;NOW(),"-",IF(ISBLANK(Tbl_ResidentData[[#This Row],[Enrollment '[mmm-yyyy']]]),"-",AND((Tbl_ResidentData[[#This Row],[Enrollment '[mmm-yyyy']]]&lt;=U$4),IF(ISBLANK(Tbl_ResidentData[[#This Row],[Discharge '[mmm-yyyy']]]),TRUE,(Tbl_ResidentData[[#This Row],[Discharge '[mmm-yyyy']]]&gt;=U$4)))))</f>
        <v>-</v>
      </c>
      <c r="V39" s="121" t="str">
        <f ca="1">IF(V$4&gt;NOW(),"-",IF(ISBLANK(Tbl_ResidentData[[#This Row],[Enrollment '[mmm-yyyy']]]),"-",AND((Tbl_ResidentData[[#This Row],[Enrollment '[mmm-yyyy']]]&lt;=V$4),IF(ISBLANK(Tbl_ResidentData[[#This Row],[Discharge '[mmm-yyyy']]]),TRUE,(Tbl_ResidentData[[#This Row],[Discharge '[mmm-yyyy']]]&gt;=V$4)))))</f>
        <v>-</v>
      </c>
      <c r="W39" s="121" t="str">
        <f ca="1">IF(W$4&gt;NOW(),"-",IF(ISBLANK(Tbl_ResidentData[[#This Row],[Enrollment '[mmm-yyyy']]]),"-",AND((Tbl_ResidentData[[#This Row],[Enrollment '[mmm-yyyy']]]&lt;=W$4),IF(ISBLANK(Tbl_ResidentData[[#This Row],[Discharge '[mmm-yyyy']]]),TRUE,(Tbl_ResidentData[[#This Row],[Discharge '[mmm-yyyy']]]&gt;=W$4)))))</f>
        <v>-</v>
      </c>
      <c r="X39" s="121" t="str">
        <f ca="1">IF(X$4&gt;NOW(),"-",IF(ISBLANK(Tbl_ResidentData[[#This Row],[Enrollment '[mmm-yyyy']]]),"-",AND((Tbl_ResidentData[[#This Row],[Enrollment '[mmm-yyyy']]]&lt;=X$4),IF(ISBLANK(Tbl_ResidentData[[#This Row],[Discharge '[mmm-yyyy']]]),TRUE,(Tbl_ResidentData[[#This Row],[Discharge '[mmm-yyyy']]]&gt;=X$4)))))</f>
        <v>-</v>
      </c>
      <c r="Y39" s="121" t="str">
        <f ca="1">IF(Y$4&gt;NOW(),"-",IF(ISBLANK(Tbl_ResidentData[[#This Row],[Enrollment '[mmm-yyyy']]]),"-",AND((Tbl_ResidentData[[#This Row],[Enrollment '[mmm-yyyy']]]&lt;=Y$4),IF(ISBLANK(Tbl_ResidentData[[#This Row],[Discharge '[mmm-yyyy']]]),TRUE,(Tbl_ResidentData[[#This Row],[Discharge '[mmm-yyyy']]]&gt;=Y$4)))))</f>
        <v>-</v>
      </c>
      <c r="Z39" s="121" t="str">
        <f ca="1">IF(Z$4&gt;NOW(),"-",IF(ISBLANK(Tbl_ResidentData[[#This Row],[Enrollment '[mmm-yyyy']]]),"-",AND((Tbl_ResidentData[[#This Row],[Enrollment '[mmm-yyyy']]]&lt;=Z$4),IF(ISBLANK(Tbl_ResidentData[[#This Row],[Discharge '[mmm-yyyy']]]),TRUE,(Tbl_ResidentData[[#This Row],[Discharge '[mmm-yyyy']]]&gt;=Z$4)))))</f>
        <v>-</v>
      </c>
      <c r="AA39" s="121" t="str">
        <f ca="1">IF(AA$4&gt;NOW(),"-",IF(ISBLANK(Tbl_ResidentData[[#This Row],[Enrollment '[mmm-yyyy']]]),"-",AND((Tbl_ResidentData[[#This Row],[Enrollment '[mmm-yyyy']]]&lt;=AA$4),IF(ISBLANK(Tbl_ResidentData[[#This Row],[Discharge '[mmm-yyyy']]]),TRUE,(Tbl_ResidentData[[#This Row],[Discharge '[mmm-yyyy']]]&gt;=AA$4)))))</f>
        <v>-</v>
      </c>
      <c r="AB39" s="121" t="str">
        <f ca="1">IF(AB$4&gt;NOW(),"-",IF(ISBLANK(Tbl_ResidentData[[#This Row],[Enrollment '[mmm-yyyy']]]),"-",AND((Tbl_ResidentData[[#This Row],[Enrollment '[mmm-yyyy']]]&lt;=AB$4),IF(ISBLANK(Tbl_ResidentData[[#This Row],[Discharge '[mmm-yyyy']]]),TRUE,(Tbl_ResidentData[[#This Row],[Discharge '[mmm-yyyy']]]&gt;=AB$4)))))</f>
        <v>-</v>
      </c>
      <c r="AC39" s="121" t="str">
        <f ca="1">IF(AC$4&gt;NOW(),"-",IF(ISBLANK(Tbl_ResidentData[[#This Row],[Enrollment '[mmm-yyyy']]]),"-",AND((Tbl_ResidentData[[#This Row],[Enrollment '[mmm-yyyy']]]&lt;=AC$4),IF(ISBLANK(Tbl_ResidentData[[#This Row],[Discharge '[mmm-yyyy']]]),TRUE,(Tbl_ResidentData[[#This Row],[Discharge '[mmm-yyyy']]]&gt;=AC$4)))))</f>
        <v>-</v>
      </c>
      <c r="AD39" s="121" t="str">
        <f ca="1">IF(AD$4&gt;NOW(),"-",IF(ISBLANK(Tbl_ResidentData[[#This Row],[Enrollment '[mmm-yyyy']]]),"-",AND((Tbl_ResidentData[[#This Row],[Enrollment '[mmm-yyyy']]]&lt;=AD$4),IF(ISBLANK(Tbl_ResidentData[[#This Row],[Discharge '[mmm-yyyy']]]),TRUE,(Tbl_ResidentData[[#This Row],[Discharge '[mmm-yyyy']]]&gt;=AD$4)))))</f>
        <v>-</v>
      </c>
      <c r="AE39" s="121" t="str">
        <f ca="1">IF(AE$4&gt;NOW(),"-",IF(ISBLANK(Tbl_ResidentData[[#This Row],[Enrollment '[mmm-yyyy']]]),"-",AND((Tbl_ResidentData[[#This Row],[Enrollment '[mmm-yyyy']]]&lt;=AE$4),IF(ISBLANK(Tbl_ResidentData[[#This Row],[Discharge '[mmm-yyyy']]]),TRUE,(Tbl_ResidentData[[#This Row],[Discharge '[mmm-yyyy']]]&gt;=AE$4)))))</f>
        <v>-</v>
      </c>
      <c r="AF39" s="121" t="str">
        <f ca="1">IF(AF$4&gt;NOW(),"-",IF(ISBLANK(Tbl_ResidentData[[#This Row],[Enrollment '[mmm-yyyy']]]),"-",AND((Tbl_ResidentData[[#This Row],[Enrollment '[mmm-yyyy']]]&lt;=AF$4),IF(ISBLANK(Tbl_ResidentData[[#This Row],[Discharge '[mmm-yyyy']]]),TRUE,(Tbl_ResidentData[[#This Row],[Discharge '[mmm-yyyy']]]&gt;=AF$4)))))</f>
        <v>-</v>
      </c>
      <c r="AG39" s="121" t="str">
        <f ca="1">IF(AG$4&gt;NOW(),"-",IF(ISBLANK(Tbl_ResidentData[[#This Row],[Enrollment '[mmm-yyyy']]]),"-",AND((Tbl_ResidentData[[#This Row],[Enrollment '[mmm-yyyy']]]&lt;=AG$4),IF(ISBLANK(Tbl_ResidentData[[#This Row],[Discharge '[mmm-yyyy']]]),TRUE,(Tbl_ResidentData[[#This Row],[Discharge '[mmm-yyyy']]]&gt;=AG$4)))))</f>
        <v>-</v>
      </c>
      <c r="AH39" s="121" t="str">
        <f ca="1">IF(AH$4&gt;NOW(),"-",IF(ISBLANK(Tbl_ResidentData[[#This Row],[Enrollment '[mmm-yyyy']]]),"-",AND((Tbl_ResidentData[[#This Row],[Enrollment '[mmm-yyyy']]]&lt;=AH$4),IF(ISBLANK(Tbl_ResidentData[[#This Row],[Discharge '[mmm-yyyy']]]),TRUE,(Tbl_ResidentData[[#This Row],[Discharge '[mmm-yyyy']]]&gt;=AH$4)))))</f>
        <v>-</v>
      </c>
      <c r="AI39" s="121" t="str">
        <f ca="1">IF(AI$4&gt;NOW(),"-",IF(ISBLANK(Tbl_ResidentData[[#This Row],[Enrollment '[mmm-yyyy']]]),"-",AND((Tbl_ResidentData[[#This Row],[Enrollment '[mmm-yyyy']]]&lt;=AI$4),IF(ISBLANK(Tbl_ResidentData[[#This Row],[Discharge '[mmm-yyyy']]]),TRUE,(Tbl_ResidentData[[#This Row],[Discharge '[mmm-yyyy']]]&gt;=AI$4)))))</f>
        <v>-</v>
      </c>
      <c r="AJ39" s="121" t="str">
        <f ca="1">IF(AJ$4&gt;NOW(),"-",IF(ISBLANK(Tbl_ResidentData[[#This Row],[Enrollment '[mmm-yyyy']]]),"-",AND((Tbl_ResidentData[[#This Row],[Enrollment '[mmm-yyyy']]]&lt;=AJ$4),IF(ISBLANK(Tbl_ResidentData[[#This Row],[Discharge '[mmm-yyyy']]]),TRUE,(Tbl_ResidentData[[#This Row],[Discharge '[mmm-yyyy']]]&gt;=AJ$4)))))</f>
        <v>-</v>
      </c>
      <c r="AK39" s="121" t="str">
        <f ca="1">IF(AK$4&gt;NOW(),"-",IF(ISBLANK(Tbl_ResidentData[[#This Row],[Enrollment '[mmm-yyyy']]]),"-",AND((Tbl_ResidentData[[#This Row],[Enrollment '[mmm-yyyy']]]&lt;=AK$4),IF(ISBLANK(Tbl_ResidentData[[#This Row],[Discharge '[mmm-yyyy']]]),TRUE,(Tbl_ResidentData[[#This Row],[Discharge '[mmm-yyyy']]]&gt;=AK$4)))))</f>
        <v>-</v>
      </c>
      <c r="AL39" s="121" t="str">
        <f ca="1">IF(AL$4&gt;NOW(),"-",IF(ISBLANK(Tbl_ResidentData[[#This Row],[Enrollment '[mmm-yyyy']]]),"-",AND((Tbl_ResidentData[[#This Row],[Enrollment '[mmm-yyyy']]]&lt;=AL$4),IF(ISBLANK(Tbl_ResidentData[[#This Row],[Discharge '[mmm-yyyy']]]),TRUE,(Tbl_ResidentData[[#This Row],[Discharge '[mmm-yyyy']]]&gt;=AL$4)))))</f>
        <v>-</v>
      </c>
      <c r="AM39" s="121" t="str">
        <f ca="1">IF(AM$4&gt;NOW(),"-",IF(ISBLANK(Tbl_ResidentData[[#This Row],[Enrollment '[mmm-yyyy']]]),"-",AND((Tbl_ResidentData[[#This Row],[Enrollment '[mmm-yyyy']]]&lt;=AM$4),IF(ISBLANK(Tbl_ResidentData[[#This Row],[Discharge '[mmm-yyyy']]]),TRUE,(Tbl_ResidentData[[#This Row],[Discharge '[mmm-yyyy']]]&gt;=AM$4)))))</f>
        <v>-</v>
      </c>
      <c r="AN39" s="121" t="str">
        <f ca="1">IF(AN$4&gt;NOW(),"-",IF(ISBLANK(Tbl_ResidentData[[#This Row],[Enrollment '[mmm-yyyy']]]),"-",AND((Tbl_ResidentData[[#This Row],[Enrollment '[mmm-yyyy']]]&lt;=AN$4),IF(ISBLANK(Tbl_ResidentData[[#This Row],[Discharge '[mmm-yyyy']]]),TRUE,(Tbl_ResidentData[[#This Row],[Discharge '[mmm-yyyy']]]&gt;=AN$4)))))</f>
        <v>-</v>
      </c>
      <c r="AO39" s="121" t="str">
        <f ca="1">IF(AO$4&gt;NOW(),"-",IF(ISBLANK(Tbl_ResidentData[[#This Row],[Enrollment '[mmm-yyyy']]]),"-",AND((Tbl_ResidentData[[#This Row],[Enrollment '[mmm-yyyy']]]&lt;=AO$4),IF(ISBLANK(Tbl_ResidentData[[#This Row],[Discharge '[mmm-yyyy']]]),TRUE,(Tbl_ResidentData[[#This Row],[Discharge '[mmm-yyyy']]]&gt;=AO$4)))))</f>
        <v>-</v>
      </c>
      <c r="AP39" s="121" t="str">
        <f ca="1">IF(AP$4&gt;NOW(),"-",IF(ISBLANK(Tbl_ResidentData[[#This Row],[Enrollment '[mmm-yyyy']]]),"-",AND((Tbl_ResidentData[[#This Row],[Enrollment '[mmm-yyyy']]]&lt;=AP$4),IF(ISBLANK(Tbl_ResidentData[[#This Row],[Discharge '[mmm-yyyy']]]),TRUE,(Tbl_ResidentData[[#This Row],[Discharge '[mmm-yyyy']]]&gt;=AP$4)))))</f>
        <v>-</v>
      </c>
      <c r="AQ39" s="121" t="str">
        <f ca="1">IF(AQ$4&gt;NOW(),"-",IF(ISBLANK(Tbl_ResidentData[[#This Row],[Enrollment '[mmm-yyyy']]]),"-",AND((Tbl_ResidentData[[#This Row],[Enrollment '[mmm-yyyy']]]&lt;=AQ$4),IF(ISBLANK(Tbl_ResidentData[[#This Row],[Discharge '[mmm-yyyy']]]),TRUE,(Tbl_ResidentData[[#This Row],[Discharge '[mmm-yyyy']]]&gt;=AQ$4)))))</f>
        <v>-</v>
      </c>
      <c r="AR39" s="122" t="str">
        <f ca="1">IF(AR$4&gt;NOW(),"-",IF(ISBLANK(Tbl_ResidentData[[#This Row],[Enrollment '[mmm-yyyy']]]),"-",AND((Tbl_ResidentData[[#This Row],[Enrollment '[mmm-yyyy']]]&lt;=AR$4),IF(ISBLANK(Tbl_ResidentData[[#This Row],[Discharge '[mmm-yyyy']]]),TRUE,(Tbl_ResidentData[[#This Row],[Discharge '[mmm-yyyy']]]&gt;=AR$4)))))</f>
        <v>-</v>
      </c>
      <c r="AS3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39"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39"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39"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39"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39"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39"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39"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39"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39"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39"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39"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39"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39"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39"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39"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39"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39"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39"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39"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39"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3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3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3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39" s="120" t="b">
        <f ca="1">AND(Tbl_ResidentData[[#This Row],[PRN Med Started]]&lt;&gt;"",Tbl_ResidentData[[#This Row],[PRN Med Started]]&lt;=NOW(),Tbl_ResidentData[[#This Row],[PRN Med Started]]&lt;=AS$4,OR(Tbl_ResidentData[[#This Row],[PRN Med Discontinued]]&gt;AS$4,ISBLANK(Tbl_ResidentData[[#This Row],[PRN Med Discontinued]])))</f>
        <v>0</v>
      </c>
      <c r="BR39" s="121" t="b">
        <f ca="1">AND(Tbl_ResidentData[[#This Row],[PRN Med Started]]&lt;&gt;"",Tbl_ResidentData[[#This Row],[PRN Med Started]]&lt;=NOW(),Tbl_ResidentData[[#This Row],[PRN Med Started]]&lt;=AT$4,OR(Tbl_ResidentData[[#This Row],[PRN Med Discontinued]]&gt;AT$4,ISBLANK(Tbl_ResidentData[[#This Row],[PRN Med Discontinued]])))</f>
        <v>0</v>
      </c>
      <c r="BS39" s="129" t="b">
        <f ca="1">AND(Tbl_ResidentData[[#This Row],[PRN Med Started]]&lt;&gt;"",Tbl_ResidentData[[#This Row],[PRN Med Started]]&lt;=NOW(),Tbl_ResidentData[[#This Row],[PRN Med Started]]&lt;=AU$4,OR(Tbl_ResidentData[[#This Row],[PRN Med Discontinued]]&gt;AU$4,ISBLANK(Tbl_ResidentData[[#This Row],[PRN Med Discontinued]])))</f>
        <v>0</v>
      </c>
      <c r="BT39" s="129" t="b">
        <f ca="1">AND(Tbl_ResidentData[[#This Row],[PRN Med Started]]&lt;&gt;"",Tbl_ResidentData[[#This Row],[PRN Med Started]]&lt;=NOW(),Tbl_ResidentData[[#This Row],[PRN Med Started]]&lt;=AV$4,OR(Tbl_ResidentData[[#This Row],[PRN Med Discontinued]]&gt;AV$4,ISBLANK(Tbl_ResidentData[[#This Row],[PRN Med Discontinued]])))</f>
        <v>0</v>
      </c>
      <c r="BU39" s="129" t="b">
        <f ca="1">AND(Tbl_ResidentData[[#This Row],[PRN Med Started]]&lt;&gt;"",Tbl_ResidentData[[#This Row],[PRN Med Started]]&lt;=NOW(),Tbl_ResidentData[[#This Row],[PRN Med Started]]&lt;=AW$4,OR(Tbl_ResidentData[[#This Row],[PRN Med Discontinued]]&gt;AW$4,ISBLANK(Tbl_ResidentData[[#This Row],[PRN Med Discontinued]])))</f>
        <v>0</v>
      </c>
      <c r="BV39" s="129" t="b">
        <f ca="1">AND(Tbl_ResidentData[[#This Row],[PRN Med Started]]&lt;&gt;"",Tbl_ResidentData[[#This Row],[PRN Med Started]]&lt;=NOW(),Tbl_ResidentData[[#This Row],[PRN Med Started]]&lt;=AX$4,OR(Tbl_ResidentData[[#This Row],[PRN Med Discontinued]]&gt;AX$4,ISBLANK(Tbl_ResidentData[[#This Row],[PRN Med Discontinued]])))</f>
        <v>0</v>
      </c>
      <c r="BW39" s="129" t="b">
        <f ca="1">AND(Tbl_ResidentData[[#This Row],[PRN Med Started]]&lt;&gt;"",Tbl_ResidentData[[#This Row],[PRN Med Started]]&lt;=NOW(),Tbl_ResidentData[[#This Row],[PRN Med Started]]&lt;=AY$4,OR(Tbl_ResidentData[[#This Row],[PRN Med Discontinued]]&gt;AY$4,ISBLANK(Tbl_ResidentData[[#This Row],[PRN Med Discontinued]])))</f>
        <v>0</v>
      </c>
      <c r="BX39" s="129" t="b">
        <f ca="1">AND(Tbl_ResidentData[[#This Row],[PRN Med Started]]&lt;&gt;"",Tbl_ResidentData[[#This Row],[PRN Med Started]]&lt;=NOW(),Tbl_ResidentData[[#This Row],[PRN Med Started]]&lt;=AZ$4,OR(Tbl_ResidentData[[#This Row],[PRN Med Discontinued]]&gt;AZ$4,ISBLANK(Tbl_ResidentData[[#This Row],[PRN Med Discontinued]])))</f>
        <v>0</v>
      </c>
      <c r="BY39" s="129" t="b">
        <f ca="1">AND(Tbl_ResidentData[[#This Row],[PRN Med Started]]&lt;&gt;"",Tbl_ResidentData[[#This Row],[PRN Med Started]]&lt;=NOW(),Tbl_ResidentData[[#This Row],[PRN Med Started]]&lt;=BA$4,OR(Tbl_ResidentData[[#This Row],[PRN Med Discontinued]]&gt;BA$4,ISBLANK(Tbl_ResidentData[[#This Row],[PRN Med Discontinued]])))</f>
        <v>0</v>
      </c>
      <c r="BZ39" s="129" t="b">
        <f ca="1">AND(Tbl_ResidentData[[#This Row],[PRN Med Started]]&lt;&gt;"",Tbl_ResidentData[[#This Row],[PRN Med Started]]&lt;=NOW(),Tbl_ResidentData[[#This Row],[PRN Med Started]]&lt;=BB$4,OR(Tbl_ResidentData[[#This Row],[PRN Med Discontinued]]&gt;BB$4,ISBLANK(Tbl_ResidentData[[#This Row],[PRN Med Discontinued]])))</f>
        <v>0</v>
      </c>
      <c r="CA39" s="129" t="b">
        <f ca="1">AND(Tbl_ResidentData[[#This Row],[PRN Med Started]]&lt;&gt;"",Tbl_ResidentData[[#This Row],[PRN Med Started]]&lt;=NOW(),Tbl_ResidentData[[#This Row],[PRN Med Started]]&lt;=BC$4,OR(Tbl_ResidentData[[#This Row],[PRN Med Discontinued]]&gt;BC$4,ISBLANK(Tbl_ResidentData[[#This Row],[PRN Med Discontinued]])))</f>
        <v>0</v>
      </c>
      <c r="CB39" s="129" t="b">
        <f ca="1">AND(Tbl_ResidentData[[#This Row],[PRN Med Started]]&lt;&gt;"",Tbl_ResidentData[[#This Row],[PRN Med Started]]&lt;=NOW(),Tbl_ResidentData[[#This Row],[PRN Med Started]]&lt;=BD$4,OR(Tbl_ResidentData[[#This Row],[PRN Med Discontinued]]&gt;BD$4,ISBLANK(Tbl_ResidentData[[#This Row],[PRN Med Discontinued]])))</f>
        <v>0</v>
      </c>
      <c r="CC39" s="129" t="b">
        <f ca="1">AND(Tbl_ResidentData[[#This Row],[PRN Med Started]]&lt;&gt;"",Tbl_ResidentData[[#This Row],[PRN Med Started]]&lt;=NOW(),Tbl_ResidentData[[#This Row],[PRN Med Started]]&lt;=BE$4,OR(Tbl_ResidentData[[#This Row],[PRN Med Discontinued]]&gt;BE$4,ISBLANK(Tbl_ResidentData[[#This Row],[PRN Med Discontinued]])))</f>
        <v>0</v>
      </c>
      <c r="CD39" s="129" t="b">
        <f ca="1">AND(Tbl_ResidentData[[#This Row],[PRN Med Started]]&lt;&gt;"",Tbl_ResidentData[[#This Row],[PRN Med Started]]&lt;=NOW(),Tbl_ResidentData[[#This Row],[PRN Med Started]]&lt;=BF$4,OR(Tbl_ResidentData[[#This Row],[PRN Med Discontinued]]&gt;BF$4,ISBLANK(Tbl_ResidentData[[#This Row],[PRN Med Discontinued]])))</f>
        <v>0</v>
      </c>
      <c r="CE39" s="129" t="b">
        <f ca="1">AND(Tbl_ResidentData[[#This Row],[PRN Med Started]]&lt;&gt;"",Tbl_ResidentData[[#This Row],[PRN Med Started]]&lt;=NOW(),Tbl_ResidentData[[#This Row],[PRN Med Started]]&lt;=BG$4,OR(Tbl_ResidentData[[#This Row],[PRN Med Discontinued]]&gt;BG$4,ISBLANK(Tbl_ResidentData[[#This Row],[PRN Med Discontinued]])))</f>
        <v>0</v>
      </c>
      <c r="CF39" s="129" t="b">
        <f ca="1">AND(Tbl_ResidentData[[#This Row],[PRN Med Started]]&lt;&gt;"",Tbl_ResidentData[[#This Row],[PRN Med Started]]&lt;=NOW(),Tbl_ResidentData[[#This Row],[PRN Med Started]]&lt;=BH$4,OR(Tbl_ResidentData[[#This Row],[PRN Med Discontinued]]&gt;BH$4,ISBLANK(Tbl_ResidentData[[#This Row],[PRN Med Discontinued]])))</f>
        <v>0</v>
      </c>
      <c r="CG39" s="129" t="b">
        <f ca="1">AND(Tbl_ResidentData[[#This Row],[PRN Med Started]]&lt;&gt;"",Tbl_ResidentData[[#This Row],[PRN Med Started]]&lt;=NOW(),Tbl_ResidentData[[#This Row],[PRN Med Started]]&lt;=BI$4,OR(Tbl_ResidentData[[#This Row],[PRN Med Discontinued]]&gt;BI$4,ISBLANK(Tbl_ResidentData[[#This Row],[PRN Med Discontinued]])))</f>
        <v>0</v>
      </c>
      <c r="CH39" s="129" t="b">
        <f ca="1">AND(Tbl_ResidentData[[#This Row],[PRN Med Started]]&lt;&gt;"",Tbl_ResidentData[[#This Row],[PRN Med Started]]&lt;=NOW(),Tbl_ResidentData[[#This Row],[PRN Med Started]]&lt;=BJ$4,OR(Tbl_ResidentData[[#This Row],[PRN Med Discontinued]]&gt;BJ$4,ISBLANK(Tbl_ResidentData[[#This Row],[PRN Med Discontinued]])))</f>
        <v>0</v>
      </c>
      <c r="CI39" s="129" t="b">
        <f ca="1">AND(Tbl_ResidentData[[#This Row],[PRN Med Started]]&lt;&gt;"",Tbl_ResidentData[[#This Row],[PRN Med Started]]&lt;=NOW(),Tbl_ResidentData[[#This Row],[PRN Med Started]]&lt;=BK$4,OR(Tbl_ResidentData[[#This Row],[PRN Med Discontinued]]&gt;BK$4,ISBLANK(Tbl_ResidentData[[#This Row],[PRN Med Discontinued]])))</f>
        <v>0</v>
      </c>
      <c r="CJ39" s="129" t="b">
        <f ca="1">AND(Tbl_ResidentData[[#This Row],[PRN Med Started]]&lt;&gt;"",Tbl_ResidentData[[#This Row],[PRN Med Started]]&lt;=NOW(),Tbl_ResidentData[[#This Row],[PRN Med Started]]&lt;=BL$4,OR(Tbl_ResidentData[[#This Row],[PRN Med Discontinued]]&gt;BL$4,ISBLANK(Tbl_ResidentData[[#This Row],[PRN Med Discontinued]])))</f>
        <v>0</v>
      </c>
      <c r="CK39" s="129" t="b">
        <f ca="1">AND(Tbl_ResidentData[[#This Row],[PRN Med Started]]&lt;&gt;"",Tbl_ResidentData[[#This Row],[PRN Med Started]]&lt;=NOW(),Tbl_ResidentData[[#This Row],[PRN Med Started]]&lt;=BM$4,OR(Tbl_ResidentData[[#This Row],[PRN Med Discontinued]]&gt;BM$4,ISBLANK(Tbl_ResidentData[[#This Row],[PRN Med Discontinued]])))</f>
        <v>0</v>
      </c>
      <c r="CL39" s="129" t="b">
        <f ca="1">AND(Tbl_ResidentData[[#This Row],[PRN Med Started]]&lt;&gt;"",Tbl_ResidentData[[#This Row],[PRN Med Started]]&lt;=NOW(),Tbl_ResidentData[[#This Row],[PRN Med Started]]&lt;=BN$4,OR(Tbl_ResidentData[[#This Row],[PRN Med Discontinued]]&gt;BN$4,ISBLANK(Tbl_ResidentData[[#This Row],[PRN Med Discontinued]])))</f>
        <v>0</v>
      </c>
      <c r="CM39" s="121" t="b">
        <f ca="1">AND(Tbl_ResidentData[[#This Row],[PRN Med Started]]&lt;&gt;"",Tbl_ResidentData[[#This Row],[PRN Med Started]]&lt;=NOW(),Tbl_ResidentData[[#This Row],[PRN Med Started]]&lt;=BO$4,OR(Tbl_ResidentData[[#This Row],[PRN Med Discontinued]]&gt;BO$4,ISBLANK(Tbl_ResidentData[[#This Row],[PRN Med Discontinued]])))</f>
        <v>0</v>
      </c>
      <c r="CN39" s="122" t="b">
        <f ca="1">AND(Tbl_ResidentData[[#This Row],[PRN Med Started]]&lt;&gt;"",Tbl_ResidentData[[#This Row],[PRN Med Started]]&lt;=NOW(),Tbl_ResidentData[[#This Row],[PRN Med Started]]&lt;=BP$4,OR(Tbl_ResidentData[[#This Row],[PRN Med Discontinued]]&gt;BP$4,ISBLANK(Tbl_ResidentData[[#This Row],[PRN Med Discontinued]])))</f>
        <v>0</v>
      </c>
      <c r="CO39" s="120">
        <f ca="1">IF(OR(Tbl_ResidentData[[#This Row],[S1]]=TRUE,Tbl_ResidentData[[#This Row],[P1]]=TRUE),1,0)</f>
        <v>0</v>
      </c>
      <c r="CP39" s="121">
        <f ca="1">IF(OR(Tbl_ResidentData[[#This Row],[S2]]=TRUE,Tbl_ResidentData[[#This Row],[P2]]=TRUE),1,0)</f>
        <v>0</v>
      </c>
      <c r="CQ39" s="121">
        <f ca="1">IF(OR(Tbl_ResidentData[[#This Row],[S3]]=TRUE,Tbl_ResidentData[[#This Row],[P3]]=TRUE),1,0)</f>
        <v>0</v>
      </c>
      <c r="CR39" s="130">
        <f ca="1">IF(OR(Tbl_ResidentData[[#This Row],[S4]]=TRUE,Tbl_ResidentData[[#This Row],[P4]]=TRUE),1,0)</f>
        <v>0</v>
      </c>
      <c r="CS39" s="130">
        <f ca="1">IF(OR(Tbl_ResidentData[[#This Row],[S5]]=TRUE,Tbl_ResidentData[[#This Row],[P5]]=TRUE),1,0)</f>
        <v>0</v>
      </c>
      <c r="CT39" s="130">
        <f ca="1">IF(OR(Tbl_ResidentData[[#This Row],[S6]]=TRUE,Tbl_ResidentData[[#This Row],[P6]]=TRUE),1,0)</f>
        <v>0</v>
      </c>
      <c r="CU39" s="130">
        <f ca="1">IF(OR(Tbl_ResidentData[[#This Row],[S7]]=TRUE,Tbl_ResidentData[[#This Row],[P7]]=TRUE),1,0)</f>
        <v>0</v>
      </c>
      <c r="CV39" s="130">
        <f ca="1">IF(OR(Tbl_ResidentData[[#This Row],[S8]]=TRUE,Tbl_ResidentData[[#This Row],[P8]]=TRUE),1,0)</f>
        <v>0</v>
      </c>
      <c r="CW39" s="130">
        <f ca="1">IF(OR(Tbl_ResidentData[[#This Row],[S9]]=TRUE,Tbl_ResidentData[[#This Row],[P9]]=TRUE),1,0)</f>
        <v>0</v>
      </c>
      <c r="CX39" s="130">
        <f ca="1">IF(OR(Tbl_ResidentData[[#This Row],[S10]]=TRUE,Tbl_ResidentData[[#This Row],[P10]]=TRUE),1,0)</f>
        <v>0</v>
      </c>
      <c r="CY39" s="130">
        <f ca="1">IF(OR(Tbl_ResidentData[[#This Row],[S11]]=TRUE,Tbl_ResidentData[[#This Row],[P11]]=TRUE),1,0)</f>
        <v>0</v>
      </c>
      <c r="CZ39" s="130">
        <f ca="1">IF(OR(Tbl_ResidentData[[#This Row],[S12]]=TRUE,Tbl_ResidentData[[#This Row],[P12]]=TRUE),1,0)</f>
        <v>0</v>
      </c>
      <c r="DA39" s="130">
        <f ca="1">IF(OR(Tbl_ResidentData[[#This Row],[S13]]=TRUE,Tbl_ResidentData[[#This Row],[P13]]=TRUE),1,0)</f>
        <v>0</v>
      </c>
      <c r="DB39" s="130">
        <f ca="1">IF(OR(Tbl_ResidentData[[#This Row],[S14]]=TRUE,Tbl_ResidentData[[#This Row],[P14]]=TRUE),1,0)</f>
        <v>0</v>
      </c>
      <c r="DC39" s="130">
        <f ca="1">IF(OR(Tbl_ResidentData[[#This Row],[S15]]=TRUE,Tbl_ResidentData[[#This Row],[P15]]=TRUE),1,0)</f>
        <v>0</v>
      </c>
      <c r="DD39" s="130">
        <f ca="1">IF(OR(Tbl_ResidentData[[#This Row],[S16]]=TRUE,Tbl_ResidentData[[#This Row],[P16]]=TRUE),1,0)</f>
        <v>0</v>
      </c>
      <c r="DE39" s="130">
        <f ca="1">IF(OR(Tbl_ResidentData[[#This Row],[S17]]=TRUE,Tbl_ResidentData[[#This Row],[P17]]=TRUE),1,0)</f>
        <v>0</v>
      </c>
      <c r="DF39" s="130">
        <f ca="1">IF(OR(Tbl_ResidentData[[#This Row],[S18]]=TRUE,Tbl_ResidentData[[#This Row],[P18]]=TRUE),1,0)</f>
        <v>0</v>
      </c>
      <c r="DG39" s="130">
        <f ca="1">IF(OR(Tbl_ResidentData[[#This Row],[S19]]=TRUE,Tbl_ResidentData[[#This Row],[P19]]=TRUE),1,0)</f>
        <v>0</v>
      </c>
      <c r="DH39" s="130">
        <f ca="1">IF(OR(Tbl_ResidentData[[#This Row],[S20]]=TRUE,Tbl_ResidentData[[#This Row],[P20]]=TRUE),1,0)</f>
        <v>0</v>
      </c>
      <c r="DI39" s="130">
        <f ca="1">IF(OR(Tbl_ResidentData[[#This Row],[S21]]=TRUE,Tbl_ResidentData[[#This Row],[P21]]=TRUE),1,0)</f>
        <v>0</v>
      </c>
      <c r="DJ39" s="130">
        <f ca="1">IF(OR(Tbl_ResidentData[[#This Row],[S22]]=TRUE,Tbl_ResidentData[[#This Row],[P22]]=TRUE),1,0)</f>
        <v>0</v>
      </c>
      <c r="DK39" s="130">
        <f ca="1">IF(OR(Tbl_ResidentData[[#This Row],[S23]]=TRUE,Tbl_ResidentData[[#This Row],[P23]]=TRUE),1,0)</f>
        <v>0</v>
      </c>
      <c r="DL39" s="130">
        <f ca="1">IF(OR(Tbl_ResidentData[[#This Row],[S24]]=TRUE,Tbl_ResidentData[[#This Row],[P24]]=TRUE),1,0)</f>
        <v>0</v>
      </c>
      <c r="DM39" s="123" t="str">
        <f ca="1">IFERROR(INDEX($CO$4:$DL$4,MATCH(TRUE,INDEX((Tbl_ResidentData[[#This Row],[Over1]:[Over24]]&lt;&gt;0),0),0)),"")</f>
        <v/>
      </c>
      <c r="DN39" s="133" t="str">
        <f>IFERROR(INDEX(Tbl_PDSAData[Last DRT],MATCH(Tbl_ResidentData[Resident Name '[last, first']],Tbl_PDSAData[Resident Name (last, first)],0)),"")</f>
        <v/>
      </c>
      <c r="DO39" s="222" t="str">
        <f>IFERROR(INDEX(Tbl_PDSAData[Last MR],MATCH(Tbl_ResidentData[Resident Name '[last, first']],Tbl_PDSAData[Resident Name (last, first)],0)),"")</f>
        <v/>
      </c>
    </row>
    <row r="40" spans="1:119" x14ac:dyDescent="0.25">
      <c r="A40" s="179"/>
      <c r="B40" s="180"/>
      <c r="C40" s="180"/>
      <c r="D40" s="218"/>
      <c r="E40" s="179"/>
      <c r="F40" s="181"/>
      <c r="G40" s="181"/>
      <c r="H40" s="375"/>
      <c r="I40" s="185"/>
      <c r="J40" s="387"/>
      <c r="K40" s="178"/>
      <c r="L40" s="388"/>
      <c r="M40" s="185"/>
      <c r="N40" s="386"/>
      <c r="O40" s="178"/>
      <c r="P40" s="388"/>
      <c r="Q40" s="394"/>
      <c r="R40" s="388"/>
      <c r="S40" s="131" t="str">
        <f>IF(ISBLANK(Tbl_ResidentData[[#This Row],[Discharge '[mmm-yyyy']]]),IF(ISBLANK(Tbl_ResidentData[[#This Row],[Enrollment '[mmm-yyyy']]]),"","In Care Home"),"Discharged")</f>
        <v/>
      </c>
      <c r="T40" s="119" t="str">
        <f>IF(ISBLANK(Tbl_ResidentData[[#This Row],[Diagnosis (RAI)]]),IF(ISBLANK(Tbl_ResidentData[[#This Row],[Resident Name '[last, first']]]),"",0),IF(Tbl_ResidentData[[#This Row],[Diagnosis (RAI)]]="Other (see clinical notes)",0,1))</f>
        <v/>
      </c>
      <c r="U40" s="120" t="str">
        <f ca="1">IF(U$4&gt;NOW(),"-",IF(ISBLANK(Tbl_ResidentData[[#This Row],[Enrollment '[mmm-yyyy']]]),"-",AND((Tbl_ResidentData[[#This Row],[Enrollment '[mmm-yyyy']]]&lt;=U$4),IF(ISBLANK(Tbl_ResidentData[[#This Row],[Discharge '[mmm-yyyy']]]),TRUE,(Tbl_ResidentData[[#This Row],[Discharge '[mmm-yyyy']]]&gt;=U$4)))))</f>
        <v>-</v>
      </c>
      <c r="V40" s="121" t="str">
        <f ca="1">IF(V$4&gt;NOW(),"-",IF(ISBLANK(Tbl_ResidentData[[#This Row],[Enrollment '[mmm-yyyy']]]),"-",AND((Tbl_ResidentData[[#This Row],[Enrollment '[mmm-yyyy']]]&lt;=V$4),IF(ISBLANK(Tbl_ResidentData[[#This Row],[Discharge '[mmm-yyyy']]]),TRUE,(Tbl_ResidentData[[#This Row],[Discharge '[mmm-yyyy']]]&gt;=V$4)))))</f>
        <v>-</v>
      </c>
      <c r="W40" s="121" t="str">
        <f ca="1">IF(W$4&gt;NOW(),"-",IF(ISBLANK(Tbl_ResidentData[[#This Row],[Enrollment '[mmm-yyyy']]]),"-",AND((Tbl_ResidentData[[#This Row],[Enrollment '[mmm-yyyy']]]&lt;=W$4),IF(ISBLANK(Tbl_ResidentData[[#This Row],[Discharge '[mmm-yyyy']]]),TRUE,(Tbl_ResidentData[[#This Row],[Discharge '[mmm-yyyy']]]&gt;=W$4)))))</f>
        <v>-</v>
      </c>
      <c r="X40" s="121" t="str">
        <f ca="1">IF(X$4&gt;NOW(),"-",IF(ISBLANK(Tbl_ResidentData[[#This Row],[Enrollment '[mmm-yyyy']]]),"-",AND((Tbl_ResidentData[[#This Row],[Enrollment '[mmm-yyyy']]]&lt;=X$4),IF(ISBLANK(Tbl_ResidentData[[#This Row],[Discharge '[mmm-yyyy']]]),TRUE,(Tbl_ResidentData[[#This Row],[Discharge '[mmm-yyyy']]]&gt;=X$4)))))</f>
        <v>-</v>
      </c>
      <c r="Y40" s="121" t="str">
        <f ca="1">IF(Y$4&gt;NOW(),"-",IF(ISBLANK(Tbl_ResidentData[[#This Row],[Enrollment '[mmm-yyyy']]]),"-",AND((Tbl_ResidentData[[#This Row],[Enrollment '[mmm-yyyy']]]&lt;=Y$4),IF(ISBLANK(Tbl_ResidentData[[#This Row],[Discharge '[mmm-yyyy']]]),TRUE,(Tbl_ResidentData[[#This Row],[Discharge '[mmm-yyyy']]]&gt;=Y$4)))))</f>
        <v>-</v>
      </c>
      <c r="Z40" s="121" t="str">
        <f ca="1">IF(Z$4&gt;NOW(),"-",IF(ISBLANK(Tbl_ResidentData[[#This Row],[Enrollment '[mmm-yyyy']]]),"-",AND((Tbl_ResidentData[[#This Row],[Enrollment '[mmm-yyyy']]]&lt;=Z$4),IF(ISBLANK(Tbl_ResidentData[[#This Row],[Discharge '[mmm-yyyy']]]),TRUE,(Tbl_ResidentData[[#This Row],[Discharge '[mmm-yyyy']]]&gt;=Z$4)))))</f>
        <v>-</v>
      </c>
      <c r="AA40" s="121" t="str">
        <f ca="1">IF(AA$4&gt;NOW(),"-",IF(ISBLANK(Tbl_ResidentData[[#This Row],[Enrollment '[mmm-yyyy']]]),"-",AND((Tbl_ResidentData[[#This Row],[Enrollment '[mmm-yyyy']]]&lt;=AA$4),IF(ISBLANK(Tbl_ResidentData[[#This Row],[Discharge '[mmm-yyyy']]]),TRUE,(Tbl_ResidentData[[#This Row],[Discharge '[mmm-yyyy']]]&gt;=AA$4)))))</f>
        <v>-</v>
      </c>
      <c r="AB40" s="121" t="str">
        <f ca="1">IF(AB$4&gt;NOW(),"-",IF(ISBLANK(Tbl_ResidentData[[#This Row],[Enrollment '[mmm-yyyy']]]),"-",AND((Tbl_ResidentData[[#This Row],[Enrollment '[mmm-yyyy']]]&lt;=AB$4),IF(ISBLANK(Tbl_ResidentData[[#This Row],[Discharge '[mmm-yyyy']]]),TRUE,(Tbl_ResidentData[[#This Row],[Discharge '[mmm-yyyy']]]&gt;=AB$4)))))</f>
        <v>-</v>
      </c>
      <c r="AC40" s="121" t="str">
        <f ca="1">IF(AC$4&gt;NOW(),"-",IF(ISBLANK(Tbl_ResidentData[[#This Row],[Enrollment '[mmm-yyyy']]]),"-",AND((Tbl_ResidentData[[#This Row],[Enrollment '[mmm-yyyy']]]&lt;=AC$4),IF(ISBLANK(Tbl_ResidentData[[#This Row],[Discharge '[mmm-yyyy']]]),TRUE,(Tbl_ResidentData[[#This Row],[Discharge '[mmm-yyyy']]]&gt;=AC$4)))))</f>
        <v>-</v>
      </c>
      <c r="AD40" s="121" t="str">
        <f ca="1">IF(AD$4&gt;NOW(),"-",IF(ISBLANK(Tbl_ResidentData[[#This Row],[Enrollment '[mmm-yyyy']]]),"-",AND((Tbl_ResidentData[[#This Row],[Enrollment '[mmm-yyyy']]]&lt;=AD$4),IF(ISBLANK(Tbl_ResidentData[[#This Row],[Discharge '[mmm-yyyy']]]),TRUE,(Tbl_ResidentData[[#This Row],[Discharge '[mmm-yyyy']]]&gt;=AD$4)))))</f>
        <v>-</v>
      </c>
      <c r="AE40" s="121" t="str">
        <f ca="1">IF(AE$4&gt;NOW(),"-",IF(ISBLANK(Tbl_ResidentData[[#This Row],[Enrollment '[mmm-yyyy']]]),"-",AND((Tbl_ResidentData[[#This Row],[Enrollment '[mmm-yyyy']]]&lt;=AE$4),IF(ISBLANK(Tbl_ResidentData[[#This Row],[Discharge '[mmm-yyyy']]]),TRUE,(Tbl_ResidentData[[#This Row],[Discharge '[mmm-yyyy']]]&gt;=AE$4)))))</f>
        <v>-</v>
      </c>
      <c r="AF40" s="121" t="str">
        <f ca="1">IF(AF$4&gt;NOW(),"-",IF(ISBLANK(Tbl_ResidentData[[#This Row],[Enrollment '[mmm-yyyy']]]),"-",AND((Tbl_ResidentData[[#This Row],[Enrollment '[mmm-yyyy']]]&lt;=AF$4),IF(ISBLANK(Tbl_ResidentData[[#This Row],[Discharge '[mmm-yyyy']]]),TRUE,(Tbl_ResidentData[[#This Row],[Discharge '[mmm-yyyy']]]&gt;=AF$4)))))</f>
        <v>-</v>
      </c>
      <c r="AG40" s="121" t="str">
        <f ca="1">IF(AG$4&gt;NOW(),"-",IF(ISBLANK(Tbl_ResidentData[[#This Row],[Enrollment '[mmm-yyyy']]]),"-",AND((Tbl_ResidentData[[#This Row],[Enrollment '[mmm-yyyy']]]&lt;=AG$4),IF(ISBLANK(Tbl_ResidentData[[#This Row],[Discharge '[mmm-yyyy']]]),TRUE,(Tbl_ResidentData[[#This Row],[Discharge '[mmm-yyyy']]]&gt;=AG$4)))))</f>
        <v>-</v>
      </c>
      <c r="AH40" s="121" t="str">
        <f ca="1">IF(AH$4&gt;NOW(),"-",IF(ISBLANK(Tbl_ResidentData[[#This Row],[Enrollment '[mmm-yyyy']]]),"-",AND((Tbl_ResidentData[[#This Row],[Enrollment '[mmm-yyyy']]]&lt;=AH$4),IF(ISBLANK(Tbl_ResidentData[[#This Row],[Discharge '[mmm-yyyy']]]),TRUE,(Tbl_ResidentData[[#This Row],[Discharge '[mmm-yyyy']]]&gt;=AH$4)))))</f>
        <v>-</v>
      </c>
      <c r="AI40" s="121" t="str">
        <f ca="1">IF(AI$4&gt;NOW(),"-",IF(ISBLANK(Tbl_ResidentData[[#This Row],[Enrollment '[mmm-yyyy']]]),"-",AND((Tbl_ResidentData[[#This Row],[Enrollment '[mmm-yyyy']]]&lt;=AI$4),IF(ISBLANK(Tbl_ResidentData[[#This Row],[Discharge '[mmm-yyyy']]]),TRUE,(Tbl_ResidentData[[#This Row],[Discharge '[mmm-yyyy']]]&gt;=AI$4)))))</f>
        <v>-</v>
      </c>
      <c r="AJ40" s="121" t="str">
        <f ca="1">IF(AJ$4&gt;NOW(),"-",IF(ISBLANK(Tbl_ResidentData[[#This Row],[Enrollment '[mmm-yyyy']]]),"-",AND((Tbl_ResidentData[[#This Row],[Enrollment '[mmm-yyyy']]]&lt;=AJ$4),IF(ISBLANK(Tbl_ResidentData[[#This Row],[Discharge '[mmm-yyyy']]]),TRUE,(Tbl_ResidentData[[#This Row],[Discharge '[mmm-yyyy']]]&gt;=AJ$4)))))</f>
        <v>-</v>
      </c>
      <c r="AK40" s="121" t="str">
        <f ca="1">IF(AK$4&gt;NOW(),"-",IF(ISBLANK(Tbl_ResidentData[[#This Row],[Enrollment '[mmm-yyyy']]]),"-",AND((Tbl_ResidentData[[#This Row],[Enrollment '[mmm-yyyy']]]&lt;=AK$4),IF(ISBLANK(Tbl_ResidentData[[#This Row],[Discharge '[mmm-yyyy']]]),TRUE,(Tbl_ResidentData[[#This Row],[Discharge '[mmm-yyyy']]]&gt;=AK$4)))))</f>
        <v>-</v>
      </c>
      <c r="AL40" s="121" t="str">
        <f ca="1">IF(AL$4&gt;NOW(),"-",IF(ISBLANK(Tbl_ResidentData[[#This Row],[Enrollment '[mmm-yyyy']]]),"-",AND((Tbl_ResidentData[[#This Row],[Enrollment '[mmm-yyyy']]]&lt;=AL$4),IF(ISBLANK(Tbl_ResidentData[[#This Row],[Discharge '[mmm-yyyy']]]),TRUE,(Tbl_ResidentData[[#This Row],[Discharge '[mmm-yyyy']]]&gt;=AL$4)))))</f>
        <v>-</v>
      </c>
      <c r="AM40" s="121" t="str">
        <f ca="1">IF(AM$4&gt;NOW(),"-",IF(ISBLANK(Tbl_ResidentData[[#This Row],[Enrollment '[mmm-yyyy']]]),"-",AND((Tbl_ResidentData[[#This Row],[Enrollment '[mmm-yyyy']]]&lt;=AM$4),IF(ISBLANK(Tbl_ResidentData[[#This Row],[Discharge '[mmm-yyyy']]]),TRUE,(Tbl_ResidentData[[#This Row],[Discharge '[mmm-yyyy']]]&gt;=AM$4)))))</f>
        <v>-</v>
      </c>
      <c r="AN40" s="121" t="str">
        <f ca="1">IF(AN$4&gt;NOW(),"-",IF(ISBLANK(Tbl_ResidentData[[#This Row],[Enrollment '[mmm-yyyy']]]),"-",AND((Tbl_ResidentData[[#This Row],[Enrollment '[mmm-yyyy']]]&lt;=AN$4),IF(ISBLANK(Tbl_ResidentData[[#This Row],[Discharge '[mmm-yyyy']]]),TRUE,(Tbl_ResidentData[[#This Row],[Discharge '[mmm-yyyy']]]&gt;=AN$4)))))</f>
        <v>-</v>
      </c>
      <c r="AO40" s="121" t="str">
        <f ca="1">IF(AO$4&gt;NOW(),"-",IF(ISBLANK(Tbl_ResidentData[[#This Row],[Enrollment '[mmm-yyyy']]]),"-",AND((Tbl_ResidentData[[#This Row],[Enrollment '[mmm-yyyy']]]&lt;=AO$4),IF(ISBLANK(Tbl_ResidentData[[#This Row],[Discharge '[mmm-yyyy']]]),TRUE,(Tbl_ResidentData[[#This Row],[Discharge '[mmm-yyyy']]]&gt;=AO$4)))))</f>
        <v>-</v>
      </c>
      <c r="AP40" s="121" t="str">
        <f ca="1">IF(AP$4&gt;NOW(),"-",IF(ISBLANK(Tbl_ResidentData[[#This Row],[Enrollment '[mmm-yyyy']]]),"-",AND((Tbl_ResidentData[[#This Row],[Enrollment '[mmm-yyyy']]]&lt;=AP$4),IF(ISBLANK(Tbl_ResidentData[[#This Row],[Discharge '[mmm-yyyy']]]),TRUE,(Tbl_ResidentData[[#This Row],[Discharge '[mmm-yyyy']]]&gt;=AP$4)))))</f>
        <v>-</v>
      </c>
      <c r="AQ40" s="121" t="str">
        <f ca="1">IF(AQ$4&gt;NOW(),"-",IF(ISBLANK(Tbl_ResidentData[[#This Row],[Enrollment '[mmm-yyyy']]]),"-",AND((Tbl_ResidentData[[#This Row],[Enrollment '[mmm-yyyy']]]&lt;=AQ$4),IF(ISBLANK(Tbl_ResidentData[[#This Row],[Discharge '[mmm-yyyy']]]),TRUE,(Tbl_ResidentData[[#This Row],[Discharge '[mmm-yyyy']]]&gt;=AQ$4)))))</f>
        <v>-</v>
      </c>
      <c r="AR40" s="122" t="str">
        <f ca="1">IF(AR$4&gt;NOW(),"-",IF(ISBLANK(Tbl_ResidentData[[#This Row],[Enrollment '[mmm-yyyy']]]),"-",AND((Tbl_ResidentData[[#This Row],[Enrollment '[mmm-yyyy']]]&lt;=AR$4),IF(ISBLANK(Tbl_ResidentData[[#This Row],[Discharge '[mmm-yyyy']]]),TRUE,(Tbl_ResidentData[[#This Row],[Discharge '[mmm-yyyy']]]&gt;=AR$4)))))</f>
        <v>-</v>
      </c>
      <c r="AS4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4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4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4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4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4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4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4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4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4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4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4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4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4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4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4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4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4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4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4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4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4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4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4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40" s="120" t="b">
        <f ca="1">AND(Tbl_ResidentData[[#This Row],[PRN Med Started]]&lt;&gt;"",Tbl_ResidentData[[#This Row],[PRN Med Started]]&lt;=NOW(),Tbl_ResidentData[[#This Row],[PRN Med Started]]&lt;=AS$4,OR(Tbl_ResidentData[[#This Row],[PRN Med Discontinued]]&gt;AS$4,ISBLANK(Tbl_ResidentData[[#This Row],[PRN Med Discontinued]])))</f>
        <v>0</v>
      </c>
      <c r="BR40" s="121" t="b">
        <f ca="1">AND(Tbl_ResidentData[[#This Row],[PRN Med Started]]&lt;&gt;"",Tbl_ResidentData[[#This Row],[PRN Med Started]]&lt;=NOW(),Tbl_ResidentData[[#This Row],[PRN Med Started]]&lt;=AT$4,OR(Tbl_ResidentData[[#This Row],[PRN Med Discontinued]]&gt;AT$4,ISBLANK(Tbl_ResidentData[[#This Row],[PRN Med Discontinued]])))</f>
        <v>0</v>
      </c>
      <c r="BS40" s="121" t="b">
        <f ca="1">AND(Tbl_ResidentData[[#This Row],[PRN Med Started]]&lt;&gt;"",Tbl_ResidentData[[#This Row],[PRN Med Started]]&lt;=NOW(),Tbl_ResidentData[[#This Row],[PRN Med Started]]&lt;=AU$4,OR(Tbl_ResidentData[[#This Row],[PRN Med Discontinued]]&gt;AU$4,ISBLANK(Tbl_ResidentData[[#This Row],[PRN Med Discontinued]])))</f>
        <v>0</v>
      </c>
      <c r="BT40" s="121" t="b">
        <f ca="1">AND(Tbl_ResidentData[[#This Row],[PRN Med Started]]&lt;&gt;"",Tbl_ResidentData[[#This Row],[PRN Med Started]]&lt;=NOW(),Tbl_ResidentData[[#This Row],[PRN Med Started]]&lt;=AV$4,OR(Tbl_ResidentData[[#This Row],[PRN Med Discontinued]]&gt;AV$4,ISBLANK(Tbl_ResidentData[[#This Row],[PRN Med Discontinued]])))</f>
        <v>0</v>
      </c>
      <c r="BU40" s="121" t="b">
        <f ca="1">AND(Tbl_ResidentData[[#This Row],[PRN Med Started]]&lt;&gt;"",Tbl_ResidentData[[#This Row],[PRN Med Started]]&lt;=NOW(),Tbl_ResidentData[[#This Row],[PRN Med Started]]&lt;=AW$4,OR(Tbl_ResidentData[[#This Row],[PRN Med Discontinued]]&gt;AW$4,ISBLANK(Tbl_ResidentData[[#This Row],[PRN Med Discontinued]])))</f>
        <v>0</v>
      </c>
      <c r="BV40" s="121" t="b">
        <f ca="1">AND(Tbl_ResidentData[[#This Row],[PRN Med Started]]&lt;&gt;"",Tbl_ResidentData[[#This Row],[PRN Med Started]]&lt;=NOW(),Tbl_ResidentData[[#This Row],[PRN Med Started]]&lt;=AX$4,OR(Tbl_ResidentData[[#This Row],[PRN Med Discontinued]]&gt;AX$4,ISBLANK(Tbl_ResidentData[[#This Row],[PRN Med Discontinued]])))</f>
        <v>0</v>
      </c>
      <c r="BW40" s="121" t="b">
        <f ca="1">AND(Tbl_ResidentData[[#This Row],[PRN Med Started]]&lt;&gt;"",Tbl_ResidentData[[#This Row],[PRN Med Started]]&lt;=NOW(),Tbl_ResidentData[[#This Row],[PRN Med Started]]&lt;=AY$4,OR(Tbl_ResidentData[[#This Row],[PRN Med Discontinued]]&gt;AY$4,ISBLANK(Tbl_ResidentData[[#This Row],[PRN Med Discontinued]])))</f>
        <v>0</v>
      </c>
      <c r="BX40" s="121" t="b">
        <f ca="1">AND(Tbl_ResidentData[[#This Row],[PRN Med Started]]&lt;&gt;"",Tbl_ResidentData[[#This Row],[PRN Med Started]]&lt;=NOW(),Tbl_ResidentData[[#This Row],[PRN Med Started]]&lt;=AZ$4,OR(Tbl_ResidentData[[#This Row],[PRN Med Discontinued]]&gt;AZ$4,ISBLANK(Tbl_ResidentData[[#This Row],[PRN Med Discontinued]])))</f>
        <v>0</v>
      </c>
      <c r="BY40" s="121" t="b">
        <f ca="1">AND(Tbl_ResidentData[[#This Row],[PRN Med Started]]&lt;&gt;"",Tbl_ResidentData[[#This Row],[PRN Med Started]]&lt;=NOW(),Tbl_ResidentData[[#This Row],[PRN Med Started]]&lt;=BA$4,OR(Tbl_ResidentData[[#This Row],[PRN Med Discontinued]]&gt;BA$4,ISBLANK(Tbl_ResidentData[[#This Row],[PRN Med Discontinued]])))</f>
        <v>0</v>
      </c>
      <c r="BZ40" s="121" t="b">
        <f ca="1">AND(Tbl_ResidentData[[#This Row],[PRN Med Started]]&lt;&gt;"",Tbl_ResidentData[[#This Row],[PRN Med Started]]&lt;=NOW(),Tbl_ResidentData[[#This Row],[PRN Med Started]]&lt;=BB$4,OR(Tbl_ResidentData[[#This Row],[PRN Med Discontinued]]&gt;BB$4,ISBLANK(Tbl_ResidentData[[#This Row],[PRN Med Discontinued]])))</f>
        <v>0</v>
      </c>
      <c r="CA40" s="121" t="b">
        <f ca="1">AND(Tbl_ResidentData[[#This Row],[PRN Med Started]]&lt;&gt;"",Tbl_ResidentData[[#This Row],[PRN Med Started]]&lt;=NOW(),Tbl_ResidentData[[#This Row],[PRN Med Started]]&lt;=BC$4,OR(Tbl_ResidentData[[#This Row],[PRN Med Discontinued]]&gt;BC$4,ISBLANK(Tbl_ResidentData[[#This Row],[PRN Med Discontinued]])))</f>
        <v>0</v>
      </c>
      <c r="CB40" s="121" t="b">
        <f ca="1">AND(Tbl_ResidentData[[#This Row],[PRN Med Started]]&lt;&gt;"",Tbl_ResidentData[[#This Row],[PRN Med Started]]&lt;=NOW(),Tbl_ResidentData[[#This Row],[PRN Med Started]]&lt;=BD$4,OR(Tbl_ResidentData[[#This Row],[PRN Med Discontinued]]&gt;BD$4,ISBLANK(Tbl_ResidentData[[#This Row],[PRN Med Discontinued]])))</f>
        <v>0</v>
      </c>
      <c r="CC40" s="121" t="b">
        <f ca="1">AND(Tbl_ResidentData[[#This Row],[PRN Med Started]]&lt;&gt;"",Tbl_ResidentData[[#This Row],[PRN Med Started]]&lt;=NOW(),Tbl_ResidentData[[#This Row],[PRN Med Started]]&lt;=BE$4,OR(Tbl_ResidentData[[#This Row],[PRN Med Discontinued]]&gt;BE$4,ISBLANK(Tbl_ResidentData[[#This Row],[PRN Med Discontinued]])))</f>
        <v>0</v>
      </c>
      <c r="CD40" s="121" t="b">
        <f ca="1">AND(Tbl_ResidentData[[#This Row],[PRN Med Started]]&lt;&gt;"",Tbl_ResidentData[[#This Row],[PRN Med Started]]&lt;=NOW(),Tbl_ResidentData[[#This Row],[PRN Med Started]]&lt;=BF$4,OR(Tbl_ResidentData[[#This Row],[PRN Med Discontinued]]&gt;BF$4,ISBLANK(Tbl_ResidentData[[#This Row],[PRN Med Discontinued]])))</f>
        <v>0</v>
      </c>
      <c r="CE40" s="121" t="b">
        <f ca="1">AND(Tbl_ResidentData[[#This Row],[PRN Med Started]]&lt;&gt;"",Tbl_ResidentData[[#This Row],[PRN Med Started]]&lt;=NOW(),Tbl_ResidentData[[#This Row],[PRN Med Started]]&lt;=BG$4,OR(Tbl_ResidentData[[#This Row],[PRN Med Discontinued]]&gt;BG$4,ISBLANK(Tbl_ResidentData[[#This Row],[PRN Med Discontinued]])))</f>
        <v>0</v>
      </c>
      <c r="CF40" s="121" t="b">
        <f ca="1">AND(Tbl_ResidentData[[#This Row],[PRN Med Started]]&lt;&gt;"",Tbl_ResidentData[[#This Row],[PRN Med Started]]&lt;=NOW(),Tbl_ResidentData[[#This Row],[PRN Med Started]]&lt;=BH$4,OR(Tbl_ResidentData[[#This Row],[PRN Med Discontinued]]&gt;BH$4,ISBLANK(Tbl_ResidentData[[#This Row],[PRN Med Discontinued]])))</f>
        <v>0</v>
      </c>
      <c r="CG40" s="121" t="b">
        <f ca="1">AND(Tbl_ResidentData[[#This Row],[PRN Med Started]]&lt;&gt;"",Tbl_ResidentData[[#This Row],[PRN Med Started]]&lt;=NOW(),Tbl_ResidentData[[#This Row],[PRN Med Started]]&lt;=BI$4,OR(Tbl_ResidentData[[#This Row],[PRN Med Discontinued]]&gt;BI$4,ISBLANK(Tbl_ResidentData[[#This Row],[PRN Med Discontinued]])))</f>
        <v>0</v>
      </c>
      <c r="CH40" s="121" t="b">
        <f ca="1">AND(Tbl_ResidentData[[#This Row],[PRN Med Started]]&lt;&gt;"",Tbl_ResidentData[[#This Row],[PRN Med Started]]&lt;=NOW(),Tbl_ResidentData[[#This Row],[PRN Med Started]]&lt;=BJ$4,OR(Tbl_ResidentData[[#This Row],[PRN Med Discontinued]]&gt;BJ$4,ISBLANK(Tbl_ResidentData[[#This Row],[PRN Med Discontinued]])))</f>
        <v>0</v>
      </c>
      <c r="CI40" s="121" t="b">
        <f ca="1">AND(Tbl_ResidentData[[#This Row],[PRN Med Started]]&lt;&gt;"",Tbl_ResidentData[[#This Row],[PRN Med Started]]&lt;=NOW(),Tbl_ResidentData[[#This Row],[PRN Med Started]]&lt;=BK$4,OR(Tbl_ResidentData[[#This Row],[PRN Med Discontinued]]&gt;BK$4,ISBLANK(Tbl_ResidentData[[#This Row],[PRN Med Discontinued]])))</f>
        <v>0</v>
      </c>
      <c r="CJ40" s="121" t="b">
        <f ca="1">AND(Tbl_ResidentData[[#This Row],[PRN Med Started]]&lt;&gt;"",Tbl_ResidentData[[#This Row],[PRN Med Started]]&lt;=NOW(),Tbl_ResidentData[[#This Row],[PRN Med Started]]&lt;=BL$4,OR(Tbl_ResidentData[[#This Row],[PRN Med Discontinued]]&gt;BL$4,ISBLANK(Tbl_ResidentData[[#This Row],[PRN Med Discontinued]])))</f>
        <v>0</v>
      </c>
      <c r="CK40" s="121" t="b">
        <f ca="1">AND(Tbl_ResidentData[[#This Row],[PRN Med Started]]&lt;&gt;"",Tbl_ResidentData[[#This Row],[PRN Med Started]]&lt;=NOW(),Tbl_ResidentData[[#This Row],[PRN Med Started]]&lt;=BM$4,OR(Tbl_ResidentData[[#This Row],[PRN Med Discontinued]]&gt;BM$4,ISBLANK(Tbl_ResidentData[[#This Row],[PRN Med Discontinued]])))</f>
        <v>0</v>
      </c>
      <c r="CL40" s="121" t="b">
        <f ca="1">AND(Tbl_ResidentData[[#This Row],[PRN Med Started]]&lt;&gt;"",Tbl_ResidentData[[#This Row],[PRN Med Started]]&lt;=NOW(),Tbl_ResidentData[[#This Row],[PRN Med Started]]&lt;=BN$4,OR(Tbl_ResidentData[[#This Row],[PRN Med Discontinued]]&gt;BN$4,ISBLANK(Tbl_ResidentData[[#This Row],[PRN Med Discontinued]])))</f>
        <v>0</v>
      </c>
      <c r="CM40" s="121" t="b">
        <f ca="1">AND(Tbl_ResidentData[[#This Row],[PRN Med Started]]&lt;&gt;"",Tbl_ResidentData[[#This Row],[PRN Med Started]]&lt;=NOW(),Tbl_ResidentData[[#This Row],[PRN Med Started]]&lt;=BO$4,OR(Tbl_ResidentData[[#This Row],[PRN Med Discontinued]]&gt;BO$4,ISBLANK(Tbl_ResidentData[[#This Row],[PRN Med Discontinued]])))</f>
        <v>0</v>
      </c>
      <c r="CN40" s="122" t="b">
        <f ca="1">AND(Tbl_ResidentData[[#This Row],[PRN Med Started]]&lt;&gt;"",Tbl_ResidentData[[#This Row],[PRN Med Started]]&lt;=NOW(),Tbl_ResidentData[[#This Row],[PRN Med Started]]&lt;=BP$4,OR(Tbl_ResidentData[[#This Row],[PRN Med Discontinued]]&gt;BP$4,ISBLANK(Tbl_ResidentData[[#This Row],[PRN Med Discontinued]])))</f>
        <v>0</v>
      </c>
      <c r="CO40" s="120">
        <f ca="1">IF(OR(Tbl_ResidentData[[#This Row],[S1]]=TRUE,Tbl_ResidentData[[#This Row],[P1]]=TRUE),1,0)</f>
        <v>0</v>
      </c>
      <c r="CP40" s="121">
        <f ca="1">IF(OR(Tbl_ResidentData[[#This Row],[S2]]=TRUE,Tbl_ResidentData[[#This Row],[P2]]=TRUE),1,0)</f>
        <v>0</v>
      </c>
      <c r="CQ40" s="121">
        <f ca="1">IF(OR(Tbl_ResidentData[[#This Row],[S3]]=TRUE,Tbl_ResidentData[[#This Row],[P3]]=TRUE),1,0)</f>
        <v>0</v>
      </c>
      <c r="CR40" s="120">
        <f ca="1">IF(OR(Tbl_ResidentData[[#This Row],[S4]]=TRUE,Tbl_ResidentData[[#This Row],[P4]]=TRUE),1,0)</f>
        <v>0</v>
      </c>
      <c r="CS40" s="120">
        <f ca="1">IF(OR(Tbl_ResidentData[[#This Row],[S5]]=TRUE,Tbl_ResidentData[[#This Row],[P5]]=TRUE),1,0)</f>
        <v>0</v>
      </c>
      <c r="CT40" s="120">
        <f ca="1">IF(OR(Tbl_ResidentData[[#This Row],[S6]]=TRUE,Tbl_ResidentData[[#This Row],[P6]]=TRUE),1,0)</f>
        <v>0</v>
      </c>
      <c r="CU40" s="120">
        <f ca="1">IF(OR(Tbl_ResidentData[[#This Row],[S7]]=TRUE,Tbl_ResidentData[[#This Row],[P7]]=TRUE),1,0)</f>
        <v>0</v>
      </c>
      <c r="CV40" s="120">
        <f ca="1">IF(OR(Tbl_ResidentData[[#This Row],[S8]]=TRUE,Tbl_ResidentData[[#This Row],[P8]]=TRUE),1,0)</f>
        <v>0</v>
      </c>
      <c r="CW40" s="120">
        <f ca="1">IF(OR(Tbl_ResidentData[[#This Row],[S9]]=TRUE,Tbl_ResidentData[[#This Row],[P9]]=TRUE),1,0)</f>
        <v>0</v>
      </c>
      <c r="CX40" s="120">
        <f ca="1">IF(OR(Tbl_ResidentData[[#This Row],[S10]]=TRUE,Tbl_ResidentData[[#This Row],[P10]]=TRUE),1,0)</f>
        <v>0</v>
      </c>
      <c r="CY40" s="120">
        <f ca="1">IF(OR(Tbl_ResidentData[[#This Row],[S11]]=TRUE,Tbl_ResidentData[[#This Row],[P11]]=TRUE),1,0)</f>
        <v>0</v>
      </c>
      <c r="CZ40" s="120">
        <f ca="1">IF(OR(Tbl_ResidentData[[#This Row],[S12]]=TRUE,Tbl_ResidentData[[#This Row],[P12]]=TRUE),1,0)</f>
        <v>0</v>
      </c>
      <c r="DA40" s="120">
        <f ca="1">IF(OR(Tbl_ResidentData[[#This Row],[S13]]=TRUE,Tbl_ResidentData[[#This Row],[P13]]=TRUE),1,0)</f>
        <v>0</v>
      </c>
      <c r="DB40" s="120">
        <f ca="1">IF(OR(Tbl_ResidentData[[#This Row],[S14]]=TRUE,Tbl_ResidentData[[#This Row],[P14]]=TRUE),1,0)</f>
        <v>0</v>
      </c>
      <c r="DC40" s="120">
        <f ca="1">IF(OR(Tbl_ResidentData[[#This Row],[S15]]=TRUE,Tbl_ResidentData[[#This Row],[P15]]=TRUE),1,0)</f>
        <v>0</v>
      </c>
      <c r="DD40" s="120">
        <f ca="1">IF(OR(Tbl_ResidentData[[#This Row],[S16]]=TRUE,Tbl_ResidentData[[#This Row],[P16]]=TRUE),1,0)</f>
        <v>0</v>
      </c>
      <c r="DE40" s="120">
        <f ca="1">IF(OR(Tbl_ResidentData[[#This Row],[S17]]=TRUE,Tbl_ResidentData[[#This Row],[P17]]=TRUE),1,0)</f>
        <v>0</v>
      </c>
      <c r="DF40" s="120">
        <f ca="1">IF(OR(Tbl_ResidentData[[#This Row],[S18]]=TRUE,Tbl_ResidentData[[#This Row],[P18]]=TRUE),1,0)</f>
        <v>0</v>
      </c>
      <c r="DG40" s="120">
        <f ca="1">IF(OR(Tbl_ResidentData[[#This Row],[S19]]=TRUE,Tbl_ResidentData[[#This Row],[P19]]=TRUE),1,0)</f>
        <v>0</v>
      </c>
      <c r="DH40" s="120">
        <f ca="1">IF(OR(Tbl_ResidentData[[#This Row],[S20]]=TRUE,Tbl_ResidentData[[#This Row],[P20]]=TRUE),1,0)</f>
        <v>0</v>
      </c>
      <c r="DI40" s="120">
        <f ca="1">IF(OR(Tbl_ResidentData[[#This Row],[S21]]=TRUE,Tbl_ResidentData[[#This Row],[P21]]=TRUE),1,0)</f>
        <v>0</v>
      </c>
      <c r="DJ40" s="120">
        <f ca="1">IF(OR(Tbl_ResidentData[[#This Row],[S22]]=TRUE,Tbl_ResidentData[[#This Row],[P22]]=TRUE),1,0)</f>
        <v>0</v>
      </c>
      <c r="DK40" s="120">
        <f ca="1">IF(OR(Tbl_ResidentData[[#This Row],[S23]]=TRUE,Tbl_ResidentData[[#This Row],[P23]]=TRUE),1,0)</f>
        <v>0</v>
      </c>
      <c r="DL40" s="120">
        <f ca="1">IF(OR(Tbl_ResidentData[[#This Row],[S24]]=TRUE,Tbl_ResidentData[[#This Row],[P24]]=TRUE),1,0)</f>
        <v>0</v>
      </c>
      <c r="DM40" s="123" t="str">
        <f ca="1">IFERROR(INDEX($CO$4:$DL$4,MATCH(TRUE,INDEX((Tbl_ResidentData[[#This Row],[Over1]:[Over24]]&lt;&gt;0),0),0)),"")</f>
        <v/>
      </c>
      <c r="DN40" s="133" t="str">
        <f>IFERROR(INDEX(Tbl_PDSAData[Last DRT],MATCH(Tbl_ResidentData[Resident Name '[last, first']],Tbl_PDSAData[Resident Name (last, first)],0)),"")</f>
        <v/>
      </c>
      <c r="DO40" s="222" t="str">
        <f>IFERROR(INDEX(Tbl_PDSAData[Last MR],MATCH(Tbl_ResidentData[Resident Name '[last, first']],Tbl_PDSAData[Resident Name (last, first)],0)),"")</f>
        <v/>
      </c>
    </row>
    <row r="41" spans="1:119" x14ac:dyDescent="0.25">
      <c r="A41" s="179"/>
      <c r="B41" s="180"/>
      <c r="C41" s="180"/>
      <c r="D41" s="218"/>
      <c r="E41" s="179"/>
      <c r="F41" s="179"/>
      <c r="G41" s="181"/>
      <c r="H41" s="375"/>
      <c r="I41" s="186"/>
      <c r="J41" s="387"/>
      <c r="K41" s="178"/>
      <c r="L41" s="388"/>
      <c r="M41" s="187"/>
      <c r="N41" s="387"/>
      <c r="O41" s="178"/>
      <c r="P41" s="388"/>
      <c r="Q41" s="395"/>
      <c r="R41" s="396"/>
      <c r="S41" s="132" t="str">
        <f>IF(ISBLANK(Tbl_ResidentData[[#This Row],[Discharge '[mmm-yyyy']]]),IF(ISBLANK(Tbl_ResidentData[[#This Row],[Enrollment '[mmm-yyyy']]]),"","In Care Home"),"Discharged")</f>
        <v/>
      </c>
      <c r="T41" s="128" t="str">
        <f>IF(ISBLANK(Tbl_ResidentData[[#This Row],[Diagnosis (RAI)]]),IF(ISBLANK(Tbl_ResidentData[[#This Row],[Resident Name '[last, first']]]),"",0),IF(Tbl_ResidentData[[#This Row],[Diagnosis (RAI)]]="Other (see clinical notes)",0,1))</f>
        <v/>
      </c>
      <c r="U41" s="129" t="str">
        <f ca="1">IF(U$4&gt;NOW(),"-",IF(ISBLANK(Tbl_ResidentData[[#This Row],[Enrollment '[mmm-yyyy']]]),"-",AND((Tbl_ResidentData[[#This Row],[Enrollment '[mmm-yyyy']]]&lt;=U$4),IF(ISBLANK(Tbl_ResidentData[[#This Row],[Discharge '[mmm-yyyy']]]),TRUE,(Tbl_ResidentData[[#This Row],[Discharge '[mmm-yyyy']]]&gt;=U$4)))))</f>
        <v>-</v>
      </c>
      <c r="V41" s="121" t="str">
        <f ca="1">IF(V$4&gt;NOW(),"-",IF(ISBLANK(Tbl_ResidentData[[#This Row],[Enrollment '[mmm-yyyy']]]),"-",AND((Tbl_ResidentData[[#This Row],[Enrollment '[mmm-yyyy']]]&lt;=V$4),IF(ISBLANK(Tbl_ResidentData[[#This Row],[Discharge '[mmm-yyyy']]]),TRUE,(Tbl_ResidentData[[#This Row],[Discharge '[mmm-yyyy']]]&gt;=V$4)))))</f>
        <v>-</v>
      </c>
      <c r="W41" s="121" t="str">
        <f ca="1">IF(W$4&gt;NOW(),"-",IF(ISBLANK(Tbl_ResidentData[[#This Row],[Enrollment '[mmm-yyyy']]]),"-",AND((Tbl_ResidentData[[#This Row],[Enrollment '[mmm-yyyy']]]&lt;=W$4),IF(ISBLANK(Tbl_ResidentData[[#This Row],[Discharge '[mmm-yyyy']]]),TRUE,(Tbl_ResidentData[[#This Row],[Discharge '[mmm-yyyy']]]&gt;=W$4)))))</f>
        <v>-</v>
      </c>
      <c r="X41" s="121" t="str">
        <f ca="1">IF(X$4&gt;NOW(),"-",IF(ISBLANK(Tbl_ResidentData[[#This Row],[Enrollment '[mmm-yyyy']]]),"-",AND((Tbl_ResidentData[[#This Row],[Enrollment '[mmm-yyyy']]]&lt;=X$4),IF(ISBLANK(Tbl_ResidentData[[#This Row],[Discharge '[mmm-yyyy']]]),TRUE,(Tbl_ResidentData[[#This Row],[Discharge '[mmm-yyyy']]]&gt;=X$4)))))</f>
        <v>-</v>
      </c>
      <c r="Y41" s="121" t="str">
        <f ca="1">IF(Y$4&gt;NOW(),"-",IF(ISBLANK(Tbl_ResidentData[[#This Row],[Enrollment '[mmm-yyyy']]]),"-",AND((Tbl_ResidentData[[#This Row],[Enrollment '[mmm-yyyy']]]&lt;=Y$4),IF(ISBLANK(Tbl_ResidentData[[#This Row],[Discharge '[mmm-yyyy']]]),TRUE,(Tbl_ResidentData[[#This Row],[Discharge '[mmm-yyyy']]]&gt;=Y$4)))))</f>
        <v>-</v>
      </c>
      <c r="Z41" s="121" t="str">
        <f ca="1">IF(Z$4&gt;NOW(),"-",IF(ISBLANK(Tbl_ResidentData[[#This Row],[Enrollment '[mmm-yyyy']]]),"-",AND((Tbl_ResidentData[[#This Row],[Enrollment '[mmm-yyyy']]]&lt;=Z$4),IF(ISBLANK(Tbl_ResidentData[[#This Row],[Discharge '[mmm-yyyy']]]),TRUE,(Tbl_ResidentData[[#This Row],[Discharge '[mmm-yyyy']]]&gt;=Z$4)))))</f>
        <v>-</v>
      </c>
      <c r="AA41" s="121" t="str">
        <f ca="1">IF(AA$4&gt;NOW(),"-",IF(ISBLANK(Tbl_ResidentData[[#This Row],[Enrollment '[mmm-yyyy']]]),"-",AND((Tbl_ResidentData[[#This Row],[Enrollment '[mmm-yyyy']]]&lt;=AA$4),IF(ISBLANK(Tbl_ResidentData[[#This Row],[Discharge '[mmm-yyyy']]]),TRUE,(Tbl_ResidentData[[#This Row],[Discharge '[mmm-yyyy']]]&gt;=AA$4)))))</f>
        <v>-</v>
      </c>
      <c r="AB41" s="121" t="str">
        <f ca="1">IF(AB$4&gt;NOW(),"-",IF(ISBLANK(Tbl_ResidentData[[#This Row],[Enrollment '[mmm-yyyy']]]),"-",AND((Tbl_ResidentData[[#This Row],[Enrollment '[mmm-yyyy']]]&lt;=AB$4),IF(ISBLANK(Tbl_ResidentData[[#This Row],[Discharge '[mmm-yyyy']]]),TRUE,(Tbl_ResidentData[[#This Row],[Discharge '[mmm-yyyy']]]&gt;=AB$4)))))</f>
        <v>-</v>
      </c>
      <c r="AC41" s="121" t="str">
        <f ca="1">IF(AC$4&gt;NOW(),"-",IF(ISBLANK(Tbl_ResidentData[[#This Row],[Enrollment '[mmm-yyyy']]]),"-",AND((Tbl_ResidentData[[#This Row],[Enrollment '[mmm-yyyy']]]&lt;=AC$4),IF(ISBLANK(Tbl_ResidentData[[#This Row],[Discharge '[mmm-yyyy']]]),TRUE,(Tbl_ResidentData[[#This Row],[Discharge '[mmm-yyyy']]]&gt;=AC$4)))))</f>
        <v>-</v>
      </c>
      <c r="AD41" s="121" t="str">
        <f ca="1">IF(AD$4&gt;NOW(),"-",IF(ISBLANK(Tbl_ResidentData[[#This Row],[Enrollment '[mmm-yyyy']]]),"-",AND((Tbl_ResidentData[[#This Row],[Enrollment '[mmm-yyyy']]]&lt;=AD$4),IF(ISBLANK(Tbl_ResidentData[[#This Row],[Discharge '[mmm-yyyy']]]),TRUE,(Tbl_ResidentData[[#This Row],[Discharge '[mmm-yyyy']]]&gt;=AD$4)))))</f>
        <v>-</v>
      </c>
      <c r="AE41" s="121" t="str">
        <f ca="1">IF(AE$4&gt;NOW(),"-",IF(ISBLANK(Tbl_ResidentData[[#This Row],[Enrollment '[mmm-yyyy']]]),"-",AND((Tbl_ResidentData[[#This Row],[Enrollment '[mmm-yyyy']]]&lt;=AE$4),IF(ISBLANK(Tbl_ResidentData[[#This Row],[Discharge '[mmm-yyyy']]]),TRUE,(Tbl_ResidentData[[#This Row],[Discharge '[mmm-yyyy']]]&gt;=AE$4)))))</f>
        <v>-</v>
      </c>
      <c r="AF41" s="121" t="str">
        <f ca="1">IF(AF$4&gt;NOW(),"-",IF(ISBLANK(Tbl_ResidentData[[#This Row],[Enrollment '[mmm-yyyy']]]),"-",AND((Tbl_ResidentData[[#This Row],[Enrollment '[mmm-yyyy']]]&lt;=AF$4),IF(ISBLANK(Tbl_ResidentData[[#This Row],[Discharge '[mmm-yyyy']]]),TRUE,(Tbl_ResidentData[[#This Row],[Discharge '[mmm-yyyy']]]&gt;=AF$4)))))</f>
        <v>-</v>
      </c>
      <c r="AG41" s="121" t="str">
        <f ca="1">IF(AG$4&gt;NOW(),"-",IF(ISBLANK(Tbl_ResidentData[[#This Row],[Enrollment '[mmm-yyyy']]]),"-",AND((Tbl_ResidentData[[#This Row],[Enrollment '[mmm-yyyy']]]&lt;=AG$4),IF(ISBLANK(Tbl_ResidentData[[#This Row],[Discharge '[mmm-yyyy']]]),TRUE,(Tbl_ResidentData[[#This Row],[Discharge '[mmm-yyyy']]]&gt;=AG$4)))))</f>
        <v>-</v>
      </c>
      <c r="AH41" s="121" t="str">
        <f ca="1">IF(AH$4&gt;NOW(),"-",IF(ISBLANK(Tbl_ResidentData[[#This Row],[Enrollment '[mmm-yyyy']]]),"-",AND((Tbl_ResidentData[[#This Row],[Enrollment '[mmm-yyyy']]]&lt;=AH$4),IF(ISBLANK(Tbl_ResidentData[[#This Row],[Discharge '[mmm-yyyy']]]),TRUE,(Tbl_ResidentData[[#This Row],[Discharge '[mmm-yyyy']]]&gt;=AH$4)))))</f>
        <v>-</v>
      </c>
      <c r="AI41" s="121" t="str">
        <f ca="1">IF(AI$4&gt;NOW(),"-",IF(ISBLANK(Tbl_ResidentData[[#This Row],[Enrollment '[mmm-yyyy']]]),"-",AND((Tbl_ResidentData[[#This Row],[Enrollment '[mmm-yyyy']]]&lt;=AI$4),IF(ISBLANK(Tbl_ResidentData[[#This Row],[Discharge '[mmm-yyyy']]]),TRUE,(Tbl_ResidentData[[#This Row],[Discharge '[mmm-yyyy']]]&gt;=AI$4)))))</f>
        <v>-</v>
      </c>
      <c r="AJ41" s="121" t="str">
        <f ca="1">IF(AJ$4&gt;NOW(),"-",IF(ISBLANK(Tbl_ResidentData[[#This Row],[Enrollment '[mmm-yyyy']]]),"-",AND((Tbl_ResidentData[[#This Row],[Enrollment '[mmm-yyyy']]]&lt;=AJ$4),IF(ISBLANK(Tbl_ResidentData[[#This Row],[Discharge '[mmm-yyyy']]]),TRUE,(Tbl_ResidentData[[#This Row],[Discharge '[mmm-yyyy']]]&gt;=AJ$4)))))</f>
        <v>-</v>
      </c>
      <c r="AK41" s="121" t="str">
        <f ca="1">IF(AK$4&gt;NOW(),"-",IF(ISBLANK(Tbl_ResidentData[[#This Row],[Enrollment '[mmm-yyyy']]]),"-",AND((Tbl_ResidentData[[#This Row],[Enrollment '[mmm-yyyy']]]&lt;=AK$4),IF(ISBLANK(Tbl_ResidentData[[#This Row],[Discharge '[mmm-yyyy']]]),TRUE,(Tbl_ResidentData[[#This Row],[Discharge '[mmm-yyyy']]]&gt;=AK$4)))))</f>
        <v>-</v>
      </c>
      <c r="AL41" s="121" t="str">
        <f ca="1">IF(AL$4&gt;NOW(),"-",IF(ISBLANK(Tbl_ResidentData[[#This Row],[Enrollment '[mmm-yyyy']]]),"-",AND((Tbl_ResidentData[[#This Row],[Enrollment '[mmm-yyyy']]]&lt;=AL$4),IF(ISBLANK(Tbl_ResidentData[[#This Row],[Discharge '[mmm-yyyy']]]),TRUE,(Tbl_ResidentData[[#This Row],[Discharge '[mmm-yyyy']]]&gt;=AL$4)))))</f>
        <v>-</v>
      </c>
      <c r="AM41" s="121" t="str">
        <f ca="1">IF(AM$4&gt;NOW(),"-",IF(ISBLANK(Tbl_ResidentData[[#This Row],[Enrollment '[mmm-yyyy']]]),"-",AND((Tbl_ResidentData[[#This Row],[Enrollment '[mmm-yyyy']]]&lt;=AM$4),IF(ISBLANK(Tbl_ResidentData[[#This Row],[Discharge '[mmm-yyyy']]]),TRUE,(Tbl_ResidentData[[#This Row],[Discharge '[mmm-yyyy']]]&gt;=AM$4)))))</f>
        <v>-</v>
      </c>
      <c r="AN41" s="121" t="str">
        <f ca="1">IF(AN$4&gt;NOW(),"-",IF(ISBLANK(Tbl_ResidentData[[#This Row],[Enrollment '[mmm-yyyy']]]),"-",AND((Tbl_ResidentData[[#This Row],[Enrollment '[mmm-yyyy']]]&lt;=AN$4),IF(ISBLANK(Tbl_ResidentData[[#This Row],[Discharge '[mmm-yyyy']]]),TRUE,(Tbl_ResidentData[[#This Row],[Discharge '[mmm-yyyy']]]&gt;=AN$4)))))</f>
        <v>-</v>
      </c>
      <c r="AO41" s="121" t="str">
        <f ca="1">IF(AO$4&gt;NOW(),"-",IF(ISBLANK(Tbl_ResidentData[[#This Row],[Enrollment '[mmm-yyyy']]]),"-",AND((Tbl_ResidentData[[#This Row],[Enrollment '[mmm-yyyy']]]&lt;=AO$4),IF(ISBLANK(Tbl_ResidentData[[#This Row],[Discharge '[mmm-yyyy']]]),TRUE,(Tbl_ResidentData[[#This Row],[Discharge '[mmm-yyyy']]]&gt;=AO$4)))))</f>
        <v>-</v>
      </c>
      <c r="AP41" s="121" t="str">
        <f ca="1">IF(AP$4&gt;NOW(),"-",IF(ISBLANK(Tbl_ResidentData[[#This Row],[Enrollment '[mmm-yyyy']]]),"-",AND((Tbl_ResidentData[[#This Row],[Enrollment '[mmm-yyyy']]]&lt;=AP$4),IF(ISBLANK(Tbl_ResidentData[[#This Row],[Discharge '[mmm-yyyy']]]),TRUE,(Tbl_ResidentData[[#This Row],[Discharge '[mmm-yyyy']]]&gt;=AP$4)))))</f>
        <v>-</v>
      </c>
      <c r="AQ41" s="121" t="str">
        <f ca="1">IF(AQ$4&gt;NOW(),"-",IF(ISBLANK(Tbl_ResidentData[[#This Row],[Enrollment '[mmm-yyyy']]]),"-",AND((Tbl_ResidentData[[#This Row],[Enrollment '[mmm-yyyy']]]&lt;=AQ$4),IF(ISBLANK(Tbl_ResidentData[[#This Row],[Discharge '[mmm-yyyy']]]),TRUE,(Tbl_ResidentData[[#This Row],[Discharge '[mmm-yyyy']]]&gt;=AQ$4)))))</f>
        <v>-</v>
      </c>
      <c r="AR41" s="122" t="str">
        <f ca="1">IF(AR$4&gt;NOW(),"-",IF(ISBLANK(Tbl_ResidentData[[#This Row],[Enrollment '[mmm-yyyy']]]),"-",AND((Tbl_ResidentData[[#This Row],[Enrollment '[mmm-yyyy']]]&lt;=AR$4),IF(ISBLANK(Tbl_ResidentData[[#This Row],[Discharge '[mmm-yyyy']]]),TRUE,(Tbl_ResidentData[[#This Row],[Discharge '[mmm-yyyy']]]&gt;=AR$4)))))</f>
        <v>-</v>
      </c>
      <c r="AS4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41"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41"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41"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41"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41"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41"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41"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41"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41"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41"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41"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41"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41"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41"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41"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41"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41"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41"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41"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41"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4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4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4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41" s="120" t="b">
        <f ca="1">AND(Tbl_ResidentData[[#This Row],[PRN Med Started]]&lt;&gt;"",Tbl_ResidentData[[#This Row],[PRN Med Started]]&lt;=NOW(),Tbl_ResidentData[[#This Row],[PRN Med Started]]&lt;=AS$4,OR(Tbl_ResidentData[[#This Row],[PRN Med Discontinued]]&gt;AS$4,ISBLANK(Tbl_ResidentData[[#This Row],[PRN Med Discontinued]])))</f>
        <v>0</v>
      </c>
      <c r="BR41" s="121" t="b">
        <f ca="1">AND(Tbl_ResidentData[[#This Row],[PRN Med Started]]&lt;&gt;"",Tbl_ResidentData[[#This Row],[PRN Med Started]]&lt;=NOW(),Tbl_ResidentData[[#This Row],[PRN Med Started]]&lt;=AT$4,OR(Tbl_ResidentData[[#This Row],[PRN Med Discontinued]]&gt;AT$4,ISBLANK(Tbl_ResidentData[[#This Row],[PRN Med Discontinued]])))</f>
        <v>0</v>
      </c>
      <c r="BS41" s="129" t="b">
        <f ca="1">AND(Tbl_ResidentData[[#This Row],[PRN Med Started]]&lt;&gt;"",Tbl_ResidentData[[#This Row],[PRN Med Started]]&lt;=NOW(),Tbl_ResidentData[[#This Row],[PRN Med Started]]&lt;=AU$4,OR(Tbl_ResidentData[[#This Row],[PRN Med Discontinued]]&gt;AU$4,ISBLANK(Tbl_ResidentData[[#This Row],[PRN Med Discontinued]])))</f>
        <v>0</v>
      </c>
      <c r="BT41" s="129" t="b">
        <f ca="1">AND(Tbl_ResidentData[[#This Row],[PRN Med Started]]&lt;&gt;"",Tbl_ResidentData[[#This Row],[PRN Med Started]]&lt;=NOW(),Tbl_ResidentData[[#This Row],[PRN Med Started]]&lt;=AV$4,OR(Tbl_ResidentData[[#This Row],[PRN Med Discontinued]]&gt;AV$4,ISBLANK(Tbl_ResidentData[[#This Row],[PRN Med Discontinued]])))</f>
        <v>0</v>
      </c>
      <c r="BU41" s="129" t="b">
        <f ca="1">AND(Tbl_ResidentData[[#This Row],[PRN Med Started]]&lt;&gt;"",Tbl_ResidentData[[#This Row],[PRN Med Started]]&lt;=NOW(),Tbl_ResidentData[[#This Row],[PRN Med Started]]&lt;=AW$4,OR(Tbl_ResidentData[[#This Row],[PRN Med Discontinued]]&gt;AW$4,ISBLANK(Tbl_ResidentData[[#This Row],[PRN Med Discontinued]])))</f>
        <v>0</v>
      </c>
      <c r="BV41" s="129" t="b">
        <f ca="1">AND(Tbl_ResidentData[[#This Row],[PRN Med Started]]&lt;&gt;"",Tbl_ResidentData[[#This Row],[PRN Med Started]]&lt;=NOW(),Tbl_ResidentData[[#This Row],[PRN Med Started]]&lt;=AX$4,OR(Tbl_ResidentData[[#This Row],[PRN Med Discontinued]]&gt;AX$4,ISBLANK(Tbl_ResidentData[[#This Row],[PRN Med Discontinued]])))</f>
        <v>0</v>
      </c>
      <c r="BW41" s="129" t="b">
        <f ca="1">AND(Tbl_ResidentData[[#This Row],[PRN Med Started]]&lt;&gt;"",Tbl_ResidentData[[#This Row],[PRN Med Started]]&lt;=NOW(),Tbl_ResidentData[[#This Row],[PRN Med Started]]&lt;=AY$4,OR(Tbl_ResidentData[[#This Row],[PRN Med Discontinued]]&gt;AY$4,ISBLANK(Tbl_ResidentData[[#This Row],[PRN Med Discontinued]])))</f>
        <v>0</v>
      </c>
      <c r="BX41" s="129" t="b">
        <f ca="1">AND(Tbl_ResidentData[[#This Row],[PRN Med Started]]&lt;&gt;"",Tbl_ResidentData[[#This Row],[PRN Med Started]]&lt;=NOW(),Tbl_ResidentData[[#This Row],[PRN Med Started]]&lt;=AZ$4,OR(Tbl_ResidentData[[#This Row],[PRN Med Discontinued]]&gt;AZ$4,ISBLANK(Tbl_ResidentData[[#This Row],[PRN Med Discontinued]])))</f>
        <v>0</v>
      </c>
      <c r="BY41" s="129" t="b">
        <f ca="1">AND(Tbl_ResidentData[[#This Row],[PRN Med Started]]&lt;&gt;"",Tbl_ResidentData[[#This Row],[PRN Med Started]]&lt;=NOW(),Tbl_ResidentData[[#This Row],[PRN Med Started]]&lt;=BA$4,OR(Tbl_ResidentData[[#This Row],[PRN Med Discontinued]]&gt;BA$4,ISBLANK(Tbl_ResidentData[[#This Row],[PRN Med Discontinued]])))</f>
        <v>0</v>
      </c>
      <c r="BZ41" s="129" t="b">
        <f ca="1">AND(Tbl_ResidentData[[#This Row],[PRN Med Started]]&lt;&gt;"",Tbl_ResidentData[[#This Row],[PRN Med Started]]&lt;=NOW(),Tbl_ResidentData[[#This Row],[PRN Med Started]]&lt;=BB$4,OR(Tbl_ResidentData[[#This Row],[PRN Med Discontinued]]&gt;BB$4,ISBLANK(Tbl_ResidentData[[#This Row],[PRN Med Discontinued]])))</f>
        <v>0</v>
      </c>
      <c r="CA41" s="129" t="b">
        <f ca="1">AND(Tbl_ResidentData[[#This Row],[PRN Med Started]]&lt;&gt;"",Tbl_ResidentData[[#This Row],[PRN Med Started]]&lt;=NOW(),Tbl_ResidentData[[#This Row],[PRN Med Started]]&lt;=BC$4,OR(Tbl_ResidentData[[#This Row],[PRN Med Discontinued]]&gt;BC$4,ISBLANK(Tbl_ResidentData[[#This Row],[PRN Med Discontinued]])))</f>
        <v>0</v>
      </c>
      <c r="CB41" s="129" t="b">
        <f ca="1">AND(Tbl_ResidentData[[#This Row],[PRN Med Started]]&lt;&gt;"",Tbl_ResidentData[[#This Row],[PRN Med Started]]&lt;=NOW(),Tbl_ResidentData[[#This Row],[PRN Med Started]]&lt;=BD$4,OR(Tbl_ResidentData[[#This Row],[PRN Med Discontinued]]&gt;BD$4,ISBLANK(Tbl_ResidentData[[#This Row],[PRN Med Discontinued]])))</f>
        <v>0</v>
      </c>
      <c r="CC41" s="129" t="b">
        <f ca="1">AND(Tbl_ResidentData[[#This Row],[PRN Med Started]]&lt;&gt;"",Tbl_ResidentData[[#This Row],[PRN Med Started]]&lt;=NOW(),Tbl_ResidentData[[#This Row],[PRN Med Started]]&lt;=BE$4,OR(Tbl_ResidentData[[#This Row],[PRN Med Discontinued]]&gt;BE$4,ISBLANK(Tbl_ResidentData[[#This Row],[PRN Med Discontinued]])))</f>
        <v>0</v>
      </c>
      <c r="CD41" s="129" t="b">
        <f ca="1">AND(Tbl_ResidentData[[#This Row],[PRN Med Started]]&lt;&gt;"",Tbl_ResidentData[[#This Row],[PRN Med Started]]&lt;=NOW(),Tbl_ResidentData[[#This Row],[PRN Med Started]]&lt;=BF$4,OR(Tbl_ResidentData[[#This Row],[PRN Med Discontinued]]&gt;BF$4,ISBLANK(Tbl_ResidentData[[#This Row],[PRN Med Discontinued]])))</f>
        <v>0</v>
      </c>
      <c r="CE41" s="129" t="b">
        <f ca="1">AND(Tbl_ResidentData[[#This Row],[PRN Med Started]]&lt;&gt;"",Tbl_ResidentData[[#This Row],[PRN Med Started]]&lt;=NOW(),Tbl_ResidentData[[#This Row],[PRN Med Started]]&lt;=BG$4,OR(Tbl_ResidentData[[#This Row],[PRN Med Discontinued]]&gt;BG$4,ISBLANK(Tbl_ResidentData[[#This Row],[PRN Med Discontinued]])))</f>
        <v>0</v>
      </c>
      <c r="CF41" s="129" t="b">
        <f ca="1">AND(Tbl_ResidentData[[#This Row],[PRN Med Started]]&lt;&gt;"",Tbl_ResidentData[[#This Row],[PRN Med Started]]&lt;=NOW(),Tbl_ResidentData[[#This Row],[PRN Med Started]]&lt;=BH$4,OR(Tbl_ResidentData[[#This Row],[PRN Med Discontinued]]&gt;BH$4,ISBLANK(Tbl_ResidentData[[#This Row],[PRN Med Discontinued]])))</f>
        <v>0</v>
      </c>
      <c r="CG41" s="129" t="b">
        <f ca="1">AND(Tbl_ResidentData[[#This Row],[PRN Med Started]]&lt;&gt;"",Tbl_ResidentData[[#This Row],[PRN Med Started]]&lt;=NOW(),Tbl_ResidentData[[#This Row],[PRN Med Started]]&lt;=BI$4,OR(Tbl_ResidentData[[#This Row],[PRN Med Discontinued]]&gt;BI$4,ISBLANK(Tbl_ResidentData[[#This Row],[PRN Med Discontinued]])))</f>
        <v>0</v>
      </c>
      <c r="CH41" s="129" t="b">
        <f ca="1">AND(Tbl_ResidentData[[#This Row],[PRN Med Started]]&lt;&gt;"",Tbl_ResidentData[[#This Row],[PRN Med Started]]&lt;=NOW(),Tbl_ResidentData[[#This Row],[PRN Med Started]]&lt;=BJ$4,OR(Tbl_ResidentData[[#This Row],[PRN Med Discontinued]]&gt;BJ$4,ISBLANK(Tbl_ResidentData[[#This Row],[PRN Med Discontinued]])))</f>
        <v>0</v>
      </c>
      <c r="CI41" s="129" t="b">
        <f ca="1">AND(Tbl_ResidentData[[#This Row],[PRN Med Started]]&lt;&gt;"",Tbl_ResidentData[[#This Row],[PRN Med Started]]&lt;=NOW(),Tbl_ResidentData[[#This Row],[PRN Med Started]]&lt;=BK$4,OR(Tbl_ResidentData[[#This Row],[PRN Med Discontinued]]&gt;BK$4,ISBLANK(Tbl_ResidentData[[#This Row],[PRN Med Discontinued]])))</f>
        <v>0</v>
      </c>
      <c r="CJ41" s="129" t="b">
        <f ca="1">AND(Tbl_ResidentData[[#This Row],[PRN Med Started]]&lt;&gt;"",Tbl_ResidentData[[#This Row],[PRN Med Started]]&lt;=NOW(),Tbl_ResidentData[[#This Row],[PRN Med Started]]&lt;=BL$4,OR(Tbl_ResidentData[[#This Row],[PRN Med Discontinued]]&gt;BL$4,ISBLANK(Tbl_ResidentData[[#This Row],[PRN Med Discontinued]])))</f>
        <v>0</v>
      </c>
      <c r="CK41" s="129" t="b">
        <f ca="1">AND(Tbl_ResidentData[[#This Row],[PRN Med Started]]&lt;&gt;"",Tbl_ResidentData[[#This Row],[PRN Med Started]]&lt;=NOW(),Tbl_ResidentData[[#This Row],[PRN Med Started]]&lt;=BM$4,OR(Tbl_ResidentData[[#This Row],[PRN Med Discontinued]]&gt;BM$4,ISBLANK(Tbl_ResidentData[[#This Row],[PRN Med Discontinued]])))</f>
        <v>0</v>
      </c>
      <c r="CL41" s="129" t="b">
        <f ca="1">AND(Tbl_ResidentData[[#This Row],[PRN Med Started]]&lt;&gt;"",Tbl_ResidentData[[#This Row],[PRN Med Started]]&lt;=NOW(),Tbl_ResidentData[[#This Row],[PRN Med Started]]&lt;=BN$4,OR(Tbl_ResidentData[[#This Row],[PRN Med Discontinued]]&gt;BN$4,ISBLANK(Tbl_ResidentData[[#This Row],[PRN Med Discontinued]])))</f>
        <v>0</v>
      </c>
      <c r="CM41" s="121" t="b">
        <f ca="1">AND(Tbl_ResidentData[[#This Row],[PRN Med Started]]&lt;&gt;"",Tbl_ResidentData[[#This Row],[PRN Med Started]]&lt;=NOW(),Tbl_ResidentData[[#This Row],[PRN Med Started]]&lt;=BO$4,OR(Tbl_ResidentData[[#This Row],[PRN Med Discontinued]]&gt;BO$4,ISBLANK(Tbl_ResidentData[[#This Row],[PRN Med Discontinued]])))</f>
        <v>0</v>
      </c>
      <c r="CN41" s="122" t="b">
        <f ca="1">AND(Tbl_ResidentData[[#This Row],[PRN Med Started]]&lt;&gt;"",Tbl_ResidentData[[#This Row],[PRN Med Started]]&lt;=NOW(),Tbl_ResidentData[[#This Row],[PRN Med Started]]&lt;=BP$4,OR(Tbl_ResidentData[[#This Row],[PRN Med Discontinued]]&gt;BP$4,ISBLANK(Tbl_ResidentData[[#This Row],[PRN Med Discontinued]])))</f>
        <v>0</v>
      </c>
      <c r="CO41" s="120">
        <f ca="1">IF(OR(Tbl_ResidentData[[#This Row],[S1]]=TRUE,Tbl_ResidentData[[#This Row],[P1]]=TRUE),1,0)</f>
        <v>0</v>
      </c>
      <c r="CP41" s="121">
        <f ca="1">IF(OR(Tbl_ResidentData[[#This Row],[S2]]=TRUE,Tbl_ResidentData[[#This Row],[P2]]=TRUE),1,0)</f>
        <v>0</v>
      </c>
      <c r="CQ41" s="121">
        <f ca="1">IF(OR(Tbl_ResidentData[[#This Row],[S3]]=TRUE,Tbl_ResidentData[[#This Row],[P3]]=TRUE),1,0)</f>
        <v>0</v>
      </c>
      <c r="CR41" s="130">
        <f ca="1">IF(OR(Tbl_ResidentData[[#This Row],[S4]]=TRUE,Tbl_ResidentData[[#This Row],[P4]]=TRUE),1,0)</f>
        <v>0</v>
      </c>
      <c r="CS41" s="130">
        <f ca="1">IF(OR(Tbl_ResidentData[[#This Row],[S5]]=TRUE,Tbl_ResidentData[[#This Row],[P5]]=TRUE),1,0)</f>
        <v>0</v>
      </c>
      <c r="CT41" s="130">
        <f ca="1">IF(OR(Tbl_ResidentData[[#This Row],[S6]]=TRUE,Tbl_ResidentData[[#This Row],[P6]]=TRUE),1,0)</f>
        <v>0</v>
      </c>
      <c r="CU41" s="130">
        <f ca="1">IF(OR(Tbl_ResidentData[[#This Row],[S7]]=TRUE,Tbl_ResidentData[[#This Row],[P7]]=TRUE),1,0)</f>
        <v>0</v>
      </c>
      <c r="CV41" s="130">
        <f ca="1">IF(OR(Tbl_ResidentData[[#This Row],[S8]]=TRUE,Tbl_ResidentData[[#This Row],[P8]]=TRUE),1,0)</f>
        <v>0</v>
      </c>
      <c r="CW41" s="130">
        <f ca="1">IF(OR(Tbl_ResidentData[[#This Row],[S9]]=TRUE,Tbl_ResidentData[[#This Row],[P9]]=TRUE),1,0)</f>
        <v>0</v>
      </c>
      <c r="CX41" s="130">
        <f ca="1">IF(OR(Tbl_ResidentData[[#This Row],[S10]]=TRUE,Tbl_ResidentData[[#This Row],[P10]]=TRUE),1,0)</f>
        <v>0</v>
      </c>
      <c r="CY41" s="130">
        <f ca="1">IF(OR(Tbl_ResidentData[[#This Row],[S11]]=TRUE,Tbl_ResidentData[[#This Row],[P11]]=TRUE),1,0)</f>
        <v>0</v>
      </c>
      <c r="CZ41" s="130">
        <f ca="1">IF(OR(Tbl_ResidentData[[#This Row],[S12]]=TRUE,Tbl_ResidentData[[#This Row],[P12]]=TRUE),1,0)</f>
        <v>0</v>
      </c>
      <c r="DA41" s="130">
        <f ca="1">IF(OR(Tbl_ResidentData[[#This Row],[S13]]=TRUE,Tbl_ResidentData[[#This Row],[P13]]=TRUE),1,0)</f>
        <v>0</v>
      </c>
      <c r="DB41" s="130">
        <f ca="1">IF(OR(Tbl_ResidentData[[#This Row],[S14]]=TRUE,Tbl_ResidentData[[#This Row],[P14]]=TRUE),1,0)</f>
        <v>0</v>
      </c>
      <c r="DC41" s="130">
        <f ca="1">IF(OR(Tbl_ResidentData[[#This Row],[S15]]=TRUE,Tbl_ResidentData[[#This Row],[P15]]=TRUE),1,0)</f>
        <v>0</v>
      </c>
      <c r="DD41" s="130">
        <f ca="1">IF(OR(Tbl_ResidentData[[#This Row],[S16]]=TRUE,Tbl_ResidentData[[#This Row],[P16]]=TRUE),1,0)</f>
        <v>0</v>
      </c>
      <c r="DE41" s="130">
        <f ca="1">IF(OR(Tbl_ResidentData[[#This Row],[S17]]=TRUE,Tbl_ResidentData[[#This Row],[P17]]=TRUE),1,0)</f>
        <v>0</v>
      </c>
      <c r="DF41" s="130">
        <f ca="1">IF(OR(Tbl_ResidentData[[#This Row],[S18]]=TRUE,Tbl_ResidentData[[#This Row],[P18]]=TRUE),1,0)</f>
        <v>0</v>
      </c>
      <c r="DG41" s="130">
        <f ca="1">IF(OR(Tbl_ResidentData[[#This Row],[S19]]=TRUE,Tbl_ResidentData[[#This Row],[P19]]=TRUE),1,0)</f>
        <v>0</v>
      </c>
      <c r="DH41" s="130">
        <f ca="1">IF(OR(Tbl_ResidentData[[#This Row],[S20]]=TRUE,Tbl_ResidentData[[#This Row],[P20]]=TRUE),1,0)</f>
        <v>0</v>
      </c>
      <c r="DI41" s="130">
        <f ca="1">IF(OR(Tbl_ResidentData[[#This Row],[S21]]=TRUE,Tbl_ResidentData[[#This Row],[P21]]=TRUE),1,0)</f>
        <v>0</v>
      </c>
      <c r="DJ41" s="130">
        <f ca="1">IF(OR(Tbl_ResidentData[[#This Row],[S22]]=TRUE,Tbl_ResidentData[[#This Row],[P22]]=TRUE),1,0)</f>
        <v>0</v>
      </c>
      <c r="DK41" s="130">
        <f ca="1">IF(OR(Tbl_ResidentData[[#This Row],[S23]]=TRUE,Tbl_ResidentData[[#This Row],[P23]]=TRUE),1,0)</f>
        <v>0</v>
      </c>
      <c r="DL41" s="130">
        <f ca="1">IF(OR(Tbl_ResidentData[[#This Row],[S24]]=TRUE,Tbl_ResidentData[[#This Row],[P24]]=TRUE),1,0)</f>
        <v>0</v>
      </c>
      <c r="DM41" s="123" t="str">
        <f ca="1">IFERROR(INDEX($CO$4:$DL$4,MATCH(TRUE,INDEX((Tbl_ResidentData[[#This Row],[Over1]:[Over24]]&lt;&gt;0),0),0)),"")</f>
        <v/>
      </c>
      <c r="DN41" s="133" t="str">
        <f>IFERROR(INDEX(Tbl_PDSAData[Last DRT],MATCH(Tbl_ResidentData[Resident Name '[last, first']],Tbl_PDSAData[Resident Name (last, first)],0)),"")</f>
        <v/>
      </c>
      <c r="DO41" s="222" t="str">
        <f>IFERROR(INDEX(Tbl_PDSAData[Last MR],MATCH(Tbl_ResidentData[Resident Name '[last, first']],Tbl_PDSAData[Resident Name (last, first)],0)),"")</f>
        <v/>
      </c>
    </row>
    <row r="42" spans="1:119" x14ac:dyDescent="0.25">
      <c r="A42" s="179"/>
      <c r="B42" s="180"/>
      <c r="C42" s="180"/>
      <c r="D42" s="218"/>
      <c r="E42" s="179"/>
      <c r="F42" s="179"/>
      <c r="G42" s="181"/>
      <c r="H42" s="182"/>
      <c r="I42" s="186"/>
      <c r="J42" s="387"/>
      <c r="K42" s="178"/>
      <c r="L42" s="388"/>
      <c r="M42" s="187"/>
      <c r="N42" s="387"/>
      <c r="O42" s="178"/>
      <c r="P42" s="388"/>
      <c r="Q42" s="394"/>
      <c r="R42" s="388"/>
      <c r="S42" s="132" t="str">
        <f>IF(ISBLANK(Tbl_ResidentData[[#This Row],[Discharge '[mmm-yyyy']]]),IF(ISBLANK(Tbl_ResidentData[[#This Row],[Enrollment '[mmm-yyyy']]]),"","In Care Home"),"Discharged")</f>
        <v/>
      </c>
      <c r="T42" s="128" t="str">
        <f>IF(ISBLANK(Tbl_ResidentData[[#This Row],[Diagnosis (RAI)]]),IF(ISBLANK(Tbl_ResidentData[[#This Row],[Resident Name '[last, first']]]),"",0),IF(Tbl_ResidentData[[#This Row],[Diagnosis (RAI)]]="Other (see clinical notes)",0,1))</f>
        <v/>
      </c>
      <c r="U42" s="129" t="str">
        <f ca="1">IF(U$4&gt;NOW(),"-",IF(ISBLANK(Tbl_ResidentData[[#This Row],[Enrollment '[mmm-yyyy']]]),"-",AND((Tbl_ResidentData[[#This Row],[Enrollment '[mmm-yyyy']]]&lt;=U$4),IF(ISBLANK(Tbl_ResidentData[[#This Row],[Discharge '[mmm-yyyy']]]),TRUE,(Tbl_ResidentData[[#This Row],[Discharge '[mmm-yyyy']]]&gt;=U$4)))))</f>
        <v>-</v>
      </c>
      <c r="V42" s="121" t="str">
        <f ca="1">IF(V$4&gt;NOW(),"-",IF(ISBLANK(Tbl_ResidentData[[#This Row],[Enrollment '[mmm-yyyy']]]),"-",AND((Tbl_ResidentData[[#This Row],[Enrollment '[mmm-yyyy']]]&lt;=V$4),IF(ISBLANK(Tbl_ResidentData[[#This Row],[Discharge '[mmm-yyyy']]]),TRUE,(Tbl_ResidentData[[#This Row],[Discharge '[mmm-yyyy']]]&gt;=V$4)))))</f>
        <v>-</v>
      </c>
      <c r="W42" s="121" t="str">
        <f ca="1">IF(W$4&gt;NOW(),"-",IF(ISBLANK(Tbl_ResidentData[[#This Row],[Enrollment '[mmm-yyyy']]]),"-",AND((Tbl_ResidentData[[#This Row],[Enrollment '[mmm-yyyy']]]&lt;=W$4),IF(ISBLANK(Tbl_ResidentData[[#This Row],[Discharge '[mmm-yyyy']]]),TRUE,(Tbl_ResidentData[[#This Row],[Discharge '[mmm-yyyy']]]&gt;=W$4)))))</f>
        <v>-</v>
      </c>
      <c r="X42" s="121" t="str">
        <f ca="1">IF(X$4&gt;NOW(),"-",IF(ISBLANK(Tbl_ResidentData[[#This Row],[Enrollment '[mmm-yyyy']]]),"-",AND((Tbl_ResidentData[[#This Row],[Enrollment '[mmm-yyyy']]]&lt;=X$4),IF(ISBLANK(Tbl_ResidentData[[#This Row],[Discharge '[mmm-yyyy']]]),TRUE,(Tbl_ResidentData[[#This Row],[Discharge '[mmm-yyyy']]]&gt;=X$4)))))</f>
        <v>-</v>
      </c>
      <c r="Y42" s="121" t="str">
        <f ca="1">IF(Y$4&gt;NOW(),"-",IF(ISBLANK(Tbl_ResidentData[[#This Row],[Enrollment '[mmm-yyyy']]]),"-",AND((Tbl_ResidentData[[#This Row],[Enrollment '[mmm-yyyy']]]&lt;=Y$4),IF(ISBLANK(Tbl_ResidentData[[#This Row],[Discharge '[mmm-yyyy']]]),TRUE,(Tbl_ResidentData[[#This Row],[Discharge '[mmm-yyyy']]]&gt;=Y$4)))))</f>
        <v>-</v>
      </c>
      <c r="Z42" s="121" t="str">
        <f ca="1">IF(Z$4&gt;NOW(),"-",IF(ISBLANK(Tbl_ResidentData[[#This Row],[Enrollment '[mmm-yyyy']]]),"-",AND((Tbl_ResidentData[[#This Row],[Enrollment '[mmm-yyyy']]]&lt;=Z$4),IF(ISBLANK(Tbl_ResidentData[[#This Row],[Discharge '[mmm-yyyy']]]),TRUE,(Tbl_ResidentData[[#This Row],[Discharge '[mmm-yyyy']]]&gt;=Z$4)))))</f>
        <v>-</v>
      </c>
      <c r="AA42" s="121" t="str">
        <f ca="1">IF(AA$4&gt;NOW(),"-",IF(ISBLANK(Tbl_ResidentData[[#This Row],[Enrollment '[mmm-yyyy']]]),"-",AND((Tbl_ResidentData[[#This Row],[Enrollment '[mmm-yyyy']]]&lt;=AA$4),IF(ISBLANK(Tbl_ResidentData[[#This Row],[Discharge '[mmm-yyyy']]]),TRUE,(Tbl_ResidentData[[#This Row],[Discharge '[mmm-yyyy']]]&gt;=AA$4)))))</f>
        <v>-</v>
      </c>
      <c r="AB42" s="121" t="str">
        <f ca="1">IF(AB$4&gt;NOW(),"-",IF(ISBLANK(Tbl_ResidentData[[#This Row],[Enrollment '[mmm-yyyy']]]),"-",AND((Tbl_ResidentData[[#This Row],[Enrollment '[mmm-yyyy']]]&lt;=AB$4),IF(ISBLANK(Tbl_ResidentData[[#This Row],[Discharge '[mmm-yyyy']]]),TRUE,(Tbl_ResidentData[[#This Row],[Discharge '[mmm-yyyy']]]&gt;=AB$4)))))</f>
        <v>-</v>
      </c>
      <c r="AC42" s="121" t="str">
        <f ca="1">IF(AC$4&gt;NOW(),"-",IF(ISBLANK(Tbl_ResidentData[[#This Row],[Enrollment '[mmm-yyyy']]]),"-",AND((Tbl_ResidentData[[#This Row],[Enrollment '[mmm-yyyy']]]&lt;=AC$4),IF(ISBLANK(Tbl_ResidentData[[#This Row],[Discharge '[mmm-yyyy']]]),TRUE,(Tbl_ResidentData[[#This Row],[Discharge '[mmm-yyyy']]]&gt;=AC$4)))))</f>
        <v>-</v>
      </c>
      <c r="AD42" s="121" t="str">
        <f ca="1">IF(AD$4&gt;NOW(),"-",IF(ISBLANK(Tbl_ResidentData[[#This Row],[Enrollment '[mmm-yyyy']]]),"-",AND((Tbl_ResidentData[[#This Row],[Enrollment '[mmm-yyyy']]]&lt;=AD$4),IF(ISBLANK(Tbl_ResidentData[[#This Row],[Discharge '[mmm-yyyy']]]),TRUE,(Tbl_ResidentData[[#This Row],[Discharge '[mmm-yyyy']]]&gt;=AD$4)))))</f>
        <v>-</v>
      </c>
      <c r="AE42" s="121" t="str">
        <f ca="1">IF(AE$4&gt;NOW(),"-",IF(ISBLANK(Tbl_ResidentData[[#This Row],[Enrollment '[mmm-yyyy']]]),"-",AND((Tbl_ResidentData[[#This Row],[Enrollment '[mmm-yyyy']]]&lt;=AE$4),IF(ISBLANK(Tbl_ResidentData[[#This Row],[Discharge '[mmm-yyyy']]]),TRUE,(Tbl_ResidentData[[#This Row],[Discharge '[mmm-yyyy']]]&gt;=AE$4)))))</f>
        <v>-</v>
      </c>
      <c r="AF42" s="121" t="str">
        <f ca="1">IF(AF$4&gt;NOW(),"-",IF(ISBLANK(Tbl_ResidentData[[#This Row],[Enrollment '[mmm-yyyy']]]),"-",AND((Tbl_ResidentData[[#This Row],[Enrollment '[mmm-yyyy']]]&lt;=AF$4),IF(ISBLANK(Tbl_ResidentData[[#This Row],[Discharge '[mmm-yyyy']]]),TRUE,(Tbl_ResidentData[[#This Row],[Discharge '[mmm-yyyy']]]&gt;=AF$4)))))</f>
        <v>-</v>
      </c>
      <c r="AG42" s="121" t="str">
        <f ca="1">IF(AG$4&gt;NOW(),"-",IF(ISBLANK(Tbl_ResidentData[[#This Row],[Enrollment '[mmm-yyyy']]]),"-",AND((Tbl_ResidentData[[#This Row],[Enrollment '[mmm-yyyy']]]&lt;=AG$4),IF(ISBLANK(Tbl_ResidentData[[#This Row],[Discharge '[mmm-yyyy']]]),TRUE,(Tbl_ResidentData[[#This Row],[Discharge '[mmm-yyyy']]]&gt;=AG$4)))))</f>
        <v>-</v>
      </c>
      <c r="AH42" s="121" t="str">
        <f ca="1">IF(AH$4&gt;NOW(),"-",IF(ISBLANK(Tbl_ResidentData[[#This Row],[Enrollment '[mmm-yyyy']]]),"-",AND((Tbl_ResidentData[[#This Row],[Enrollment '[mmm-yyyy']]]&lt;=AH$4),IF(ISBLANK(Tbl_ResidentData[[#This Row],[Discharge '[mmm-yyyy']]]),TRUE,(Tbl_ResidentData[[#This Row],[Discharge '[mmm-yyyy']]]&gt;=AH$4)))))</f>
        <v>-</v>
      </c>
      <c r="AI42" s="121" t="str">
        <f ca="1">IF(AI$4&gt;NOW(),"-",IF(ISBLANK(Tbl_ResidentData[[#This Row],[Enrollment '[mmm-yyyy']]]),"-",AND((Tbl_ResidentData[[#This Row],[Enrollment '[mmm-yyyy']]]&lt;=AI$4),IF(ISBLANK(Tbl_ResidentData[[#This Row],[Discharge '[mmm-yyyy']]]),TRUE,(Tbl_ResidentData[[#This Row],[Discharge '[mmm-yyyy']]]&gt;=AI$4)))))</f>
        <v>-</v>
      </c>
      <c r="AJ42" s="121" t="str">
        <f ca="1">IF(AJ$4&gt;NOW(),"-",IF(ISBLANK(Tbl_ResidentData[[#This Row],[Enrollment '[mmm-yyyy']]]),"-",AND((Tbl_ResidentData[[#This Row],[Enrollment '[mmm-yyyy']]]&lt;=AJ$4),IF(ISBLANK(Tbl_ResidentData[[#This Row],[Discharge '[mmm-yyyy']]]),TRUE,(Tbl_ResidentData[[#This Row],[Discharge '[mmm-yyyy']]]&gt;=AJ$4)))))</f>
        <v>-</v>
      </c>
      <c r="AK42" s="121" t="str">
        <f ca="1">IF(AK$4&gt;NOW(),"-",IF(ISBLANK(Tbl_ResidentData[[#This Row],[Enrollment '[mmm-yyyy']]]),"-",AND((Tbl_ResidentData[[#This Row],[Enrollment '[mmm-yyyy']]]&lt;=AK$4),IF(ISBLANK(Tbl_ResidentData[[#This Row],[Discharge '[mmm-yyyy']]]),TRUE,(Tbl_ResidentData[[#This Row],[Discharge '[mmm-yyyy']]]&gt;=AK$4)))))</f>
        <v>-</v>
      </c>
      <c r="AL42" s="121" t="str">
        <f ca="1">IF(AL$4&gt;NOW(),"-",IF(ISBLANK(Tbl_ResidentData[[#This Row],[Enrollment '[mmm-yyyy']]]),"-",AND((Tbl_ResidentData[[#This Row],[Enrollment '[mmm-yyyy']]]&lt;=AL$4),IF(ISBLANK(Tbl_ResidentData[[#This Row],[Discharge '[mmm-yyyy']]]),TRUE,(Tbl_ResidentData[[#This Row],[Discharge '[mmm-yyyy']]]&gt;=AL$4)))))</f>
        <v>-</v>
      </c>
      <c r="AM42" s="121" t="str">
        <f ca="1">IF(AM$4&gt;NOW(),"-",IF(ISBLANK(Tbl_ResidentData[[#This Row],[Enrollment '[mmm-yyyy']]]),"-",AND((Tbl_ResidentData[[#This Row],[Enrollment '[mmm-yyyy']]]&lt;=AM$4),IF(ISBLANK(Tbl_ResidentData[[#This Row],[Discharge '[mmm-yyyy']]]),TRUE,(Tbl_ResidentData[[#This Row],[Discharge '[mmm-yyyy']]]&gt;=AM$4)))))</f>
        <v>-</v>
      </c>
      <c r="AN42" s="121" t="str">
        <f ca="1">IF(AN$4&gt;NOW(),"-",IF(ISBLANK(Tbl_ResidentData[[#This Row],[Enrollment '[mmm-yyyy']]]),"-",AND((Tbl_ResidentData[[#This Row],[Enrollment '[mmm-yyyy']]]&lt;=AN$4),IF(ISBLANK(Tbl_ResidentData[[#This Row],[Discharge '[mmm-yyyy']]]),TRUE,(Tbl_ResidentData[[#This Row],[Discharge '[mmm-yyyy']]]&gt;=AN$4)))))</f>
        <v>-</v>
      </c>
      <c r="AO42" s="121" t="str">
        <f ca="1">IF(AO$4&gt;NOW(),"-",IF(ISBLANK(Tbl_ResidentData[[#This Row],[Enrollment '[mmm-yyyy']]]),"-",AND((Tbl_ResidentData[[#This Row],[Enrollment '[mmm-yyyy']]]&lt;=AO$4),IF(ISBLANK(Tbl_ResidentData[[#This Row],[Discharge '[mmm-yyyy']]]),TRUE,(Tbl_ResidentData[[#This Row],[Discharge '[mmm-yyyy']]]&gt;=AO$4)))))</f>
        <v>-</v>
      </c>
      <c r="AP42" s="121" t="str">
        <f ca="1">IF(AP$4&gt;NOW(),"-",IF(ISBLANK(Tbl_ResidentData[[#This Row],[Enrollment '[mmm-yyyy']]]),"-",AND((Tbl_ResidentData[[#This Row],[Enrollment '[mmm-yyyy']]]&lt;=AP$4),IF(ISBLANK(Tbl_ResidentData[[#This Row],[Discharge '[mmm-yyyy']]]),TRUE,(Tbl_ResidentData[[#This Row],[Discharge '[mmm-yyyy']]]&gt;=AP$4)))))</f>
        <v>-</v>
      </c>
      <c r="AQ42" s="121" t="str">
        <f ca="1">IF(AQ$4&gt;NOW(),"-",IF(ISBLANK(Tbl_ResidentData[[#This Row],[Enrollment '[mmm-yyyy']]]),"-",AND((Tbl_ResidentData[[#This Row],[Enrollment '[mmm-yyyy']]]&lt;=AQ$4),IF(ISBLANK(Tbl_ResidentData[[#This Row],[Discharge '[mmm-yyyy']]]),TRUE,(Tbl_ResidentData[[#This Row],[Discharge '[mmm-yyyy']]]&gt;=AQ$4)))))</f>
        <v>-</v>
      </c>
      <c r="AR42" s="122" t="str">
        <f ca="1">IF(AR$4&gt;NOW(),"-",IF(ISBLANK(Tbl_ResidentData[[#This Row],[Enrollment '[mmm-yyyy']]]),"-",AND((Tbl_ResidentData[[#This Row],[Enrollment '[mmm-yyyy']]]&lt;=AR$4),IF(ISBLANK(Tbl_ResidentData[[#This Row],[Discharge '[mmm-yyyy']]]),TRUE,(Tbl_ResidentData[[#This Row],[Discharge '[mmm-yyyy']]]&gt;=AR$4)))))</f>
        <v>-</v>
      </c>
      <c r="AS4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42"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42"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42"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42"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42"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42"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42"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42"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42"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42"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42"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42"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42"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42"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42"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42"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42"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42"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42"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42"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4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4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4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42" s="120" t="b">
        <f ca="1">AND(Tbl_ResidentData[[#This Row],[PRN Med Started]]&lt;&gt;"",Tbl_ResidentData[[#This Row],[PRN Med Started]]&lt;=NOW(),Tbl_ResidentData[[#This Row],[PRN Med Started]]&lt;=AS$4,OR(Tbl_ResidentData[[#This Row],[PRN Med Discontinued]]&gt;AS$4,ISBLANK(Tbl_ResidentData[[#This Row],[PRN Med Discontinued]])))</f>
        <v>0</v>
      </c>
      <c r="BR42" s="121" t="b">
        <f ca="1">AND(Tbl_ResidentData[[#This Row],[PRN Med Started]]&lt;&gt;"",Tbl_ResidentData[[#This Row],[PRN Med Started]]&lt;=NOW(),Tbl_ResidentData[[#This Row],[PRN Med Started]]&lt;=AT$4,OR(Tbl_ResidentData[[#This Row],[PRN Med Discontinued]]&gt;AT$4,ISBLANK(Tbl_ResidentData[[#This Row],[PRN Med Discontinued]])))</f>
        <v>0</v>
      </c>
      <c r="BS42" s="129" t="b">
        <f ca="1">AND(Tbl_ResidentData[[#This Row],[PRN Med Started]]&lt;&gt;"",Tbl_ResidentData[[#This Row],[PRN Med Started]]&lt;=NOW(),Tbl_ResidentData[[#This Row],[PRN Med Started]]&lt;=AU$4,OR(Tbl_ResidentData[[#This Row],[PRN Med Discontinued]]&gt;AU$4,ISBLANK(Tbl_ResidentData[[#This Row],[PRN Med Discontinued]])))</f>
        <v>0</v>
      </c>
      <c r="BT42" s="129" t="b">
        <f ca="1">AND(Tbl_ResidentData[[#This Row],[PRN Med Started]]&lt;&gt;"",Tbl_ResidentData[[#This Row],[PRN Med Started]]&lt;=NOW(),Tbl_ResidentData[[#This Row],[PRN Med Started]]&lt;=AV$4,OR(Tbl_ResidentData[[#This Row],[PRN Med Discontinued]]&gt;AV$4,ISBLANK(Tbl_ResidentData[[#This Row],[PRN Med Discontinued]])))</f>
        <v>0</v>
      </c>
      <c r="BU42" s="129" t="b">
        <f ca="1">AND(Tbl_ResidentData[[#This Row],[PRN Med Started]]&lt;&gt;"",Tbl_ResidentData[[#This Row],[PRN Med Started]]&lt;=NOW(),Tbl_ResidentData[[#This Row],[PRN Med Started]]&lt;=AW$4,OR(Tbl_ResidentData[[#This Row],[PRN Med Discontinued]]&gt;AW$4,ISBLANK(Tbl_ResidentData[[#This Row],[PRN Med Discontinued]])))</f>
        <v>0</v>
      </c>
      <c r="BV42" s="129" t="b">
        <f ca="1">AND(Tbl_ResidentData[[#This Row],[PRN Med Started]]&lt;&gt;"",Tbl_ResidentData[[#This Row],[PRN Med Started]]&lt;=NOW(),Tbl_ResidentData[[#This Row],[PRN Med Started]]&lt;=AX$4,OR(Tbl_ResidentData[[#This Row],[PRN Med Discontinued]]&gt;AX$4,ISBLANK(Tbl_ResidentData[[#This Row],[PRN Med Discontinued]])))</f>
        <v>0</v>
      </c>
      <c r="BW42" s="129" t="b">
        <f ca="1">AND(Tbl_ResidentData[[#This Row],[PRN Med Started]]&lt;&gt;"",Tbl_ResidentData[[#This Row],[PRN Med Started]]&lt;=NOW(),Tbl_ResidentData[[#This Row],[PRN Med Started]]&lt;=AY$4,OR(Tbl_ResidentData[[#This Row],[PRN Med Discontinued]]&gt;AY$4,ISBLANK(Tbl_ResidentData[[#This Row],[PRN Med Discontinued]])))</f>
        <v>0</v>
      </c>
      <c r="BX42" s="129" t="b">
        <f ca="1">AND(Tbl_ResidentData[[#This Row],[PRN Med Started]]&lt;&gt;"",Tbl_ResidentData[[#This Row],[PRN Med Started]]&lt;=NOW(),Tbl_ResidentData[[#This Row],[PRN Med Started]]&lt;=AZ$4,OR(Tbl_ResidentData[[#This Row],[PRN Med Discontinued]]&gt;AZ$4,ISBLANK(Tbl_ResidentData[[#This Row],[PRN Med Discontinued]])))</f>
        <v>0</v>
      </c>
      <c r="BY42" s="129" t="b">
        <f ca="1">AND(Tbl_ResidentData[[#This Row],[PRN Med Started]]&lt;&gt;"",Tbl_ResidentData[[#This Row],[PRN Med Started]]&lt;=NOW(),Tbl_ResidentData[[#This Row],[PRN Med Started]]&lt;=BA$4,OR(Tbl_ResidentData[[#This Row],[PRN Med Discontinued]]&gt;BA$4,ISBLANK(Tbl_ResidentData[[#This Row],[PRN Med Discontinued]])))</f>
        <v>0</v>
      </c>
      <c r="BZ42" s="129" t="b">
        <f ca="1">AND(Tbl_ResidentData[[#This Row],[PRN Med Started]]&lt;&gt;"",Tbl_ResidentData[[#This Row],[PRN Med Started]]&lt;=NOW(),Tbl_ResidentData[[#This Row],[PRN Med Started]]&lt;=BB$4,OR(Tbl_ResidentData[[#This Row],[PRN Med Discontinued]]&gt;BB$4,ISBLANK(Tbl_ResidentData[[#This Row],[PRN Med Discontinued]])))</f>
        <v>0</v>
      </c>
      <c r="CA42" s="129" t="b">
        <f ca="1">AND(Tbl_ResidentData[[#This Row],[PRN Med Started]]&lt;&gt;"",Tbl_ResidentData[[#This Row],[PRN Med Started]]&lt;=NOW(),Tbl_ResidentData[[#This Row],[PRN Med Started]]&lt;=BC$4,OR(Tbl_ResidentData[[#This Row],[PRN Med Discontinued]]&gt;BC$4,ISBLANK(Tbl_ResidentData[[#This Row],[PRN Med Discontinued]])))</f>
        <v>0</v>
      </c>
      <c r="CB42" s="129" t="b">
        <f ca="1">AND(Tbl_ResidentData[[#This Row],[PRN Med Started]]&lt;&gt;"",Tbl_ResidentData[[#This Row],[PRN Med Started]]&lt;=NOW(),Tbl_ResidentData[[#This Row],[PRN Med Started]]&lt;=BD$4,OR(Tbl_ResidentData[[#This Row],[PRN Med Discontinued]]&gt;BD$4,ISBLANK(Tbl_ResidentData[[#This Row],[PRN Med Discontinued]])))</f>
        <v>0</v>
      </c>
      <c r="CC42" s="129" t="b">
        <f ca="1">AND(Tbl_ResidentData[[#This Row],[PRN Med Started]]&lt;&gt;"",Tbl_ResidentData[[#This Row],[PRN Med Started]]&lt;=NOW(),Tbl_ResidentData[[#This Row],[PRN Med Started]]&lt;=BE$4,OR(Tbl_ResidentData[[#This Row],[PRN Med Discontinued]]&gt;BE$4,ISBLANK(Tbl_ResidentData[[#This Row],[PRN Med Discontinued]])))</f>
        <v>0</v>
      </c>
      <c r="CD42" s="129" t="b">
        <f ca="1">AND(Tbl_ResidentData[[#This Row],[PRN Med Started]]&lt;&gt;"",Tbl_ResidentData[[#This Row],[PRN Med Started]]&lt;=NOW(),Tbl_ResidentData[[#This Row],[PRN Med Started]]&lt;=BF$4,OR(Tbl_ResidentData[[#This Row],[PRN Med Discontinued]]&gt;BF$4,ISBLANK(Tbl_ResidentData[[#This Row],[PRN Med Discontinued]])))</f>
        <v>0</v>
      </c>
      <c r="CE42" s="129" t="b">
        <f ca="1">AND(Tbl_ResidentData[[#This Row],[PRN Med Started]]&lt;&gt;"",Tbl_ResidentData[[#This Row],[PRN Med Started]]&lt;=NOW(),Tbl_ResidentData[[#This Row],[PRN Med Started]]&lt;=BG$4,OR(Tbl_ResidentData[[#This Row],[PRN Med Discontinued]]&gt;BG$4,ISBLANK(Tbl_ResidentData[[#This Row],[PRN Med Discontinued]])))</f>
        <v>0</v>
      </c>
      <c r="CF42" s="129" t="b">
        <f ca="1">AND(Tbl_ResidentData[[#This Row],[PRN Med Started]]&lt;&gt;"",Tbl_ResidentData[[#This Row],[PRN Med Started]]&lt;=NOW(),Tbl_ResidentData[[#This Row],[PRN Med Started]]&lt;=BH$4,OR(Tbl_ResidentData[[#This Row],[PRN Med Discontinued]]&gt;BH$4,ISBLANK(Tbl_ResidentData[[#This Row],[PRN Med Discontinued]])))</f>
        <v>0</v>
      </c>
      <c r="CG42" s="129" t="b">
        <f ca="1">AND(Tbl_ResidentData[[#This Row],[PRN Med Started]]&lt;&gt;"",Tbl_ResidentData[[#This Row],[PRN Med Started]]&lt;=NOW(),Tbl_ResidentData[[#This Row],[PRN Med Started]]&lt;=BI$4,OR(Tbl_ResidentData[[#This Row],[PRN Med Discontinued]]&gt;BI$4,ISBLANK(Tbl_ResidentData[[#This Row],[PRN Med Discontinued]])))</f>
        <v>0</v>
      </c>
      <c r="CH42" s="129" t="b">
        <f ca="1">AND(Tbl_ResidentData[[#This Row],[PRN Med Started]]&lt;&gt;"",Tbl_ResidentData[[#This Row],[PRN Med Started]]&lt;=NOW(),Tbl_ResidentData[[#This Row],[PRN Med Started]]&lt;=BJ$4,OR(Tbl_ResidentData[[#This Row],[PRN Med Discontinued]]&gt;BJ$4,ISBLANK(Tbl_ResidentData[[#This Row],[PRN Med Discontinued]])))</f>
        <v>0</v>
      </c>
      <c r="CI42" s="129" t="b">
        <f ca="1">AND(Tbl_ResidentData[[#This Row],[PRN Med Started]]&lt;&gt;"",Tbl_ResidentData[[#This Row],[PRN Med Started]]&lt;=NOW(),Tbl_ResidentData[[#This Row],[PRN Med Started]]&lt;=BK$4,OR(Tbl_ResidentData[[#This Row],[PRN Med Discontinued]]&gt;BK$4,ISBLANK(Tbl_ResidentData[[#This Row],[PRN Med Discontinued]])))</f>
        <v>0</v>
      </c>
      <c r="CJ42" s="129" t="b">
        <f ca="1">AND(Tbl_ResidentData[[#This Row],[PRN Med Started]]&lt;&gt;"",Tbl_ResidentData[[#This Row],[PRN Med Started]]&lt;=NOW(),Tbl_ResidentData[[#This Row],[PRN Med Started]]&lt;=BL$4,OR(Tbl_ResidentData[[#This Row],[PRN Med Discontinued]]&gt;BL$4,ISBLANK(Tbl_ResidentData[[#This Row],[PRN Med Discontinued]])))</f>
        <v>0</v>
      </c>
      <c r="CK42" s="129" t="b">
        <f ca="1">AND(Tbl_ResidentData[[#This Row],[PRN Med Started]]&lt;&gt;"",Tbl_ResidentData[[#This Row],[PRN Med Started]]&lt;=NOW(),Tbl_ResidentData[[#This Row],[PRN Med Started]]&lt;=BM$4,OR(Tbl_ResidentData[[#This Row],[PRN Med Discontinued]]&gt;BM$4,ISBLANK(Tbl_ResidentData[[#This Row],[PRN Med Discontinued]])))</f>
        <v>0</v>
      </c>
      <c r="CL42" s="129" t="b">
        <f ca="1">AND(Tbl_ResidentData[[#This Row],[PRN Med Started]]&lt;&gt;"",Tbl_ResidentData[[#This Row],[PRN Med Started]]&lt;=NOW(),Tbl_ResidentData[[#This Row],[PRN Med Started]]&lt;=BN$4,OR(Tbl_ResidentData[[#This Row],[PRN Med Discontinued]]&gt;BN$4,ISBLANK(Tbl_ResidentData[[#This Row],[PRN Med Discontinued]])))</f>
        <v>0</v>
      </c>
      <c r="CM42" s="121" t="b">
        <f ca="1">AND(Tbl_ResidentData[[#This Row],[PRN Med Started]]&lt;&gt;"",Tbl_ResidentData[[#This Row],[PRN Med Started]]&lt;=NOW(),Tbl_ResidentData[[#This Row],[PRN Med Started]]&lt;=BO$4,OR(Tbl_ResidentData[[#This Row],[PRN Med Discontinued]]&gt;BO$4,ISBLANK(Tbl_ResidentData[[#This Row],[PRN Med Discontinued]])))</f>
        <v>0</v>
      </c>
      <c r="CN42" s="122" t="b">
        <f ca="1">AND(Tbl_ResidentData[[#This Row],[PRN Med Started]]&lt;&gt;"",Tbl_ResidentData[[#This Row],[PRN Med Started]]&lt;=NOW(),Tbl_ResidentData[[#This Row],[PRN Med Started]]&lt;=BP$4,OR(Tbl_ResidentData[[#This Row],[PRN Med Discontinued]]&gt;BP$4,ISBLANK(Tbl_ResidentData[[#This Row],[PRN Med Discontinued]])))</f>
        <v>0</v>
      </c>
      <c r="CO42" s="120">
        <f ca="1">IF(OR(Tbl_ResidentData[[#This Row],[S1]]=TRUE,Tbl_ResidentData[[#This Row],[P1]]=TRUE),1,0)</f>
        <v>0</v>
      </c>
      <c r="CP42" s="121">
        <f ca="1">IF(OR(Tbl_ResidentData[[#This Row],[S2]]=TRUE,Tbl_ResidentData[[#This Row],[P2]]=TRUE),1,0)</f>
        <v>0</v>
      </c>
      <c r="CQ42" s="121">
        <f ca="1">IF(OR(Tbl_ResidentData[[#This Row],[S3]]=TRUE,Tbl_ResidentData[[#This Row],[P3]]=TRUE),1,0)</f>
        <v>0</v>
      </c>
      <c r="CR42" s="130">
        <f ca="1">IF(OR(Tbl_ResidentData[[#This Row],[S4]]=TRUE,Tbl_ResidentData[[#This Row],[P4]]=TRUE),1,0)</f>
        <v>0</v>
      </c>
      <c r="CS42" s="130">
        <f ca="1">IF(OR(Tbl_ResidentData[[#This Row],[S5]]=TRUE,Tbl_ResidentData[[#This Row],[P5]]=TRUE),1,0)</f>
        <v>0</v>
      </c>
      <c r="CT42" s="130">
        <f ca="1">IF(OR(Tbl_ResidentData[[#This Row],[S6]]=TRUE,Tbl_ResidentData[[#This Row],[P6]]=TRUE),1,0)</f>
        <v>0</v>
      </c>
      <c r="CU42" s="130">
        <f ca="1">IF(OR(Tbl_ResidentData[[#This Row],[S7]]=TRUE,Tbl_ResidentData[[#This Row],[P7]]=TRUE),1,0)</f>
        <v>0</v>
      </c>
      <c r="CV42" s="130">
        <f ca="1">IF(OR(Tbl_ResidentData[[#This Row],[S8]]=TRUE,Tbl_ResidentData[[#This Row],[P8]]=TRUE),1,0)</f>
        <v>0</v>
      </c>
      <c r="CW42" s="130">
        <f ca="1">IF(OR(Tbl_ResidentData[[#This Row],[S9]]=TRUE,Tbl_ResidentData[[#This Row],[P9]]=TRUE),1,0)</f>
        <v>0</v>
      </c>
      <c r="CX42" s="130">
        <f ca="1">IF(OR(Tbl_ResidentData[[#This Row],[S10]]=TRUE,Tbl_ResidentData[[#This Row],[P10]]=TRUE),1,0)</f>
        <v>0</v>
      </c>
      <c r="CY42" s="130">
        <f ca="1">IF(OR(Tbl_ResidentData[[#This Row],[S11]]=TRUE,Tbl_ResidentData[[#This Row],[P11]]=TRUE),1,0)</f>
        <v>0</v>
      </c>
      <c r="CZ42" s="130">
        <f ca="1">IF(OR(Tbl_ResidentData[[#This Row],[S12]]=TRUE,Tbl_ResidentData[[#This Row],[P12]]=TRUE),1,0)</f>
        <v>0</v>
      </c>
      <c r="DA42" s="130">
        <f ca="1">IF(OR(Tbl_ResidentData[[#This Row],[S13]]=TRUE,Tbl_ResidentData[[#This Row],[P13]]=TRUE),1,0)</f>
        <v>0</v>
      </c>
      <c r="DB42" s="130">
        <f ca="1">IF(OR(Tbl_ResidentData[[#This Row],[S14]]=TRUE,Tbl_ResidentData[[#This Row],[P14]]=TRUE),1,0)</f>
        <v>0</v>
      </c>
      <c r="DC42" s="130">
        <f ca="1">IF(OR(Tbl_ResidentData[[#This Row],[S15]]=TRUE,Tbl_ResidentData[[#This Row],[P15]]=TRUE),1,0)</f>
        <v>0</v>
      </c>
      <c r="DD42" s="130">
        <f ca="1">IF(OR(Tbl_ResidentData[[#This Row],[S16]]=TRUE,Tbl_ResidentData[[#This Row],[P16]]=TRUE),1,0)</f>
        <v>0</v>
      </c>
      <c r="DE42" s="130">
        <f ca="1">IF(OR(Tbl_ResidentData[[#This Row],[S17]]=TRUE,Tbl_ResidentData[[#This Row],[P17]]=TRUE),1,0)</f>
        <v>0</v>
      </c>
      <c r="DF42" s="130">
        <f ca="1">IF(OR(Tbl_ResidentData[[#This Row],[S18]]=TRUE,Tbl_ResidentData[[#This Row],[P18]]=TRUE),1,0)</f>
        <v>0</v>
      </c>
      <c r="DG42" s="130">
        <f ca="1">IF(OR(Tbl_ResidentData[[#This Row],[S19]]=TRUE,Tbl_ResidentData[[#This Row],[P19]]=TRUE),1,0)</f>
        <v>0</v>
      </c>
      <c r="DH42" s="130">
        <f ca="1">IF(OR(Tbl_ResidentData[[#This Row],[S20]]=TRUE,Tbl_ResidentData[[#This Row],[P20]]=TRUE),1,0)</f>
        <v>0</v>
      </c>
      <c r="DI42" s="130">
        <f ca="1">IF(OR(Tbl_ResidentData[[#This Row],[S21]]=TRUE,Tbl_ResidentData[[#This Row],[P21]]=TRUE),1,0)</f>
        <v>0</v>
      </c>
      <c r="DJ42" s="130">
        <f ca="1">IF(OR(Tbl_ResidentData[[#This Row],[S22]]=TRUE,Tbl_ResidentData[[#This Row],[P22]]=TRUE),1,0)</f>
        <v>0</v>
      </c>
      <c r="DK42" s="130">
        <f ca="1">IF(OR(Tbl_ResidentData[[#This Row],[S23]]=TRUE,Tbl_ResidentData[[#This Row],[P23]]=TRUE),1,0)</f>
        <v>0</v>
      </c>
      <c r="DL42" s="130">
        <f ca="1">IF(OR(Tbl_ResidentData[[#This Row],[S24]]=TRUE,Tbl_ResidentData[[#This Row],[P24]]=TRUE),1,0)</f>
        <v>0</v>
      </c>
      <c r="DM42" s="123" t="str">
        <f ca="1">IFERROR(INDEX($CO$4:$DL$4,MATCH(TRUE,INDEX((Tbl_ResidentData[[#This Row],[Over1]:[Over24]]&lt;&gt;0),0),0)),"")</f>
        <v/>
      </c>
      <c r="DN42" s="133" t="str">
        <f>IFERROR(INDEX(Tbl_PDSAData[Last DRT],MATCH(Tbl_ResidentData[Resident Name '[last, first']],Tbl_PDSAData[Resident Name (last, first)],0)),"")</f>
        <v/>
      </c>
      <c r="DO42" s="222" t="str">
        <f>IFERROR(INDEX(Tbl_PDSAData[Last MR],MATCH(Tbl_ResidentData[Resident Name '[last, first']],Tbl_PDSAData[Resident Name (last, first)],0)),"")</f>
        <v/>
      </c>
    </row>
    <row r="43" spans="1:119" x14ac:dyDescent="0.25">
      <c r="A43" s="179"/>
      <c r="B43" s="180"/>
      <c r="C43" s="180"/>
      <c r="D43" s="218"/>
      <c r="E43" s="179"/>
      <c r="F43" s="179"/>
      <c r="G43" s="181"/>
      <c r="H43" s="375"/>
      <c r="I43" s="186"/>
      <c r="J43" s="387"/>
      <c r="K43" s="178"/>
      <c r="L43" s="388"/>
      <c r="M43" s="187"/>
      <c r="N43" s="387"/>
      <c r="O43" s="178"/>
      <c r="P43" s="388"/>
      <c r="Q43" s="395"/>
      <c r="R43" s="396"/>
      <c r="S43" s="132" t="str">
        <f>IF(ISBLANK(Tbl_ResidentData[[#This Row],[Discharge '[mmm-yyyy']]]),IF(ISBLANK(Tbl_ResidentData[[#This Row],[Enrollment '[mmm-yyyy']]]),"","In Care Home"),"Discharged")</f>
        <v/>
      </c>
      <c r="T43" s="128" t="str">
        <f>IF(ISBLANK(Tbl_ResidentData[[#This Row],[Diagnosis (RAI)]]),IF(ISBLANK(Tbl_ResidentData[[#This Row],[Resident Name '[last, first']]]),"",0),IF(Tbl_ResidentData[[#This Row],[Diagnosis (RAI)]]="Other (see clinical notes)",0,1))</f>
        <v/>
      </c>
      <c r="U43" s="129" t="str">
        <f ca="1">IF(U$4&gt;NOW(),"-",IF(ISBLANK(Tbl_ResidentData[[#This Row],[Enrollment '[mmm-yyyy']]]),"-",AND((Tbl_ResidentData[[#This Row],[Enrollment '[mmm-yyyy']]]&lt;=U$4),IF(ISBLANK(Tbl_ResidentData[[#This Row],[Discharge '[mmm-yyyy']]]),TRUE,(Tbl_ResidentData[[#This Row],[Discharge '[mmm-yyyy']]]&gt;=U$4)))))</f>
        <v>-</v>
      </c>
      <c r="V43" s="121" t="str">
        <f ca="1">IF(V$4&gt;NOW(),"-",IF(ISBLANK(Tbl_ResidentData[[#This Row],[Enrollment '[mmm-yyyy']]]),"-",AND((Tbl_ResidentData[[#This Row],[Enrollment '[mmm-yyyy']]]&lt;=V$4),IF(ISBLANK(Tbl_ResidentData[[#This Row],[Discharge '[mmm-yyyy']]]),TRUE,(Tbl_ResidentData[[#This Row],[Discharge '[mmm-yyyy']]]&gt;=V$4)))))</f>
        <v>-</v>
      </c>
      <c r="W43" s="121" t="str">
        <f ca="1">IF(W$4&gt;NOW(),"-",IF(ISBLANK(Tbl_ResidentData[[#This Row],[Enrollment '[mmm-yyyy']]]),"-",AND((Tbl_ResidentData[[#This Row],[Enrollment '[mmm-yyyy']]]&lt;=W$4),IF(ISBLANK(Tbl_ResidentData[[#This Row],[Discharge '[mmm-yyyy']]]),TRUE,(Tbl_ResidentData[[#This Row],[Discharge '[mmm-yyyy']]]&gt;=W$4)))))</f>
        <v>-</v>
      </c>
      <c r="X43" s="121" t="str">
        <f ca="1">IF(X$4&gt;NOW(),"-",IF(ISBLANK(Tbl_ResidentData[[#This Row],[Enrollment '[mmm-yyyy']]]),"-",AND((Tbl_ResidentData[[#This Row],[Enrollment '[mmm-yyyy']]]&lt;=X$4),IF(ISBLANK(Tbl_ResidentData[[#This Row],[Discharge '[mmm-yyyy']]]),TRUE,(Tbl_ResidentData[[#This Row],[Discharge '[mmm-yyyy']]]&gt;=X$4)))))</f>
        <v>-</v>
      </c>
      <c r="Y43" s="121" t="str">
        <f ca="1">IF(Y$4&gt;NOW(),"-",IF(ISBLANK(Tbl_ResidentData[[#This Row],[Enrollment '[mmm-yyyy']]]),"-",AND((Tbl_ResidentData[[#This Row],[Enrollment '[mmm-yyyy']]]&lt;=Y$4),IF(ISBLANK(Tbl_ResidentData[[#This Row],[Discharge '[mmm-yyyy']]]),TRUE,(Tbl_ResidentData[[#This Row],[Discharge '[mmm-yyyy']]]&gt;=Y$4)))))</f>
        <v>-</v>
      </c>
      <c r="Z43" s="121" t="str">
        <f ca="1">IF(Z$4&gt;NOW(),"-",IF(ISBLANK(Tbl_ResidentData[[#This Row],[Enrollment '[mmm-yyyy']]]),"-",AND((Tbl_ResidentData[[#This Row],[Enrollment '[mmm-yyyy']]]&lt;=Z$4),IF(ISBLANK(Tbl_ResidentData[[#This Row],[Discharge '[mmm-yyyy']]]),TRUE,(Tbl_ResidentData[[#This Row],[Discharge '[mmm-yyyy']]]&gt;=Z$4)))))</f>
        <v>-</v>
      </c>
      <c r="AA43" s="121" t="str">
        <f ca="1">IF(AA$4&gt;NOW(),"-",IF(ISBLANK(Tbl_ResidentData[[#This Row],[Enrollment '[mmm-yyyy']]]),"-",AND((Tbl_ResidentData[[#This Row],[Enrollment '[mmm-yyyy']]]&lt;=AA$4),IF(ISBLANK(Tbl_ResidentData[[#This Row],[Discharge '[mmm-yyyy']]]),TRUE,(Tbl_ResidentData[[#This Row],[Discharge '[mmm-yyyy']]]&gt;=AA$4)))))</f>
        <v>-</v>
      </c>
      <c r="AB43" s="121" t="str">
        <f ca="1">IF(AB$4&gt;NOW(),"-",IF(ISBLANK(Tbl_ResidentData[[#This Row],[Enrollment '[mmm-yyyy']]]),"-",AND((Tbl_ResidentData[[#This Row],[Enrollment '[mmm-yyyy']]]&lt;=AB$4),IF(ISBLANK(Tbl_ResidentData[[#This Row],[Discharge '[mmm-yyyy']]]),TRUE,(Tbl_ResidentData[[#This Row],[Discharge '[mmm-yyyy']]]&gt;=AB$4)))))</f>
        <v>-</v>
      </c>
      <c r="AC43" s="121" t="str">
        <f ca="1">IF(AC$4&gt;NOW(),"-",IF(ISBLANK(Tbl_ResidentData[[#This Row],[Enrollment '[mmm-yyyy']]]),"-",AND((Tbl_ResidentData[[#This Row],[Enrollment '[mmm-yyyy']]]&lt;=AC$4),IF(ISBLANK(Tbl_ResidentData[[#This Row],[Discharge '[mmm-yyyy']]]),TRUE,(Tbl_ResidentData[[#This Row],[Discharge '[mmm-yyyy']]]&gt;=AC$4)))))</f>
        <v>-</v>
      </c>
      <c r="AD43" s="121" t="str">
        <f ca="1">IF(AD$4&gt;NOW(),"-",IF(ISBLANK(Tbl_ResidentData[[#This Row],[Enrollment '[mmm-yyyy']]]),"-",AND((Tbl_ResidentData[[#This Row],[Enrollment '[mmm-yyyy']]]&lt;=AD$4),IF(ISBLANK(Tbl_ResidentData[[#This Row],[Discharge '[mmm-yyyy']]]),TRUE,(Tbl_ResidentData[[#This Row],[Discharge '[mmm-yyyy']]]&gt;=AD$4)))))</f>
        <v>-</v>
      </c>
      <c r="AE43" s="121" t="str">
        <f ca="1">IF(AE$4&gt;NOW(),"-",IF(ISBLANK(Tbl_ResidentData[[#This Row],[Enrollment '[mmm-yyyy']]]),"-",AND((Tbl_ResidentData[[#This Row],[Enrollment '[mmm-yyyy']]]&lt;=AE$4),IF(ISBLANK(Tbl_ResidentData[[#This Row],[Discharge '[mmm-yyyy']]]),TRUE,(Tbl_ResidentData[[#This Row],[Discharge '[mmm-yyyy']]]&gt;=AE$4)))))</f>
        <v>-</v>
      </c>
      <c r="AF43" s="121" t="str">
        <f ca="1">IF(AF$4&gt;NOW(),"-",IF(ISBLANK(Tbl_ResidentData[[#This Row],[Enrollment '[mmm-yyyy']]]),"-",AND((Tbl_ResidentData[[#This Row],[Enrollment '[mmm-yyyy']]]&lt;=AF$4),IF(ISBLANK(Tbl_ResidentData[[#This Row],[Discharge '[mmm-yyyy']]]),TRUE,(Tbl_ResidentData[[#This Row],[Discharge '[mmm-yyyy']]]&gt;=AF$4)))))</f>
        <v>-</v>
      </c>
      <c r="AG43" s="121" t="str">
        <f ca="1">IF(AG$4&gt;NOW(),"-",IF(ISBLANK(Tbl_ResidentData[[#This Row],[Enrollment '[mmm-yyyy']]]),"-",AND((Tbl_ResidentData[[#This Row],[Enrollment '[mmm-yyyy']]]&lt;=AG$4),IF(ISBLANK(Tbl_ResidentData[[#This Row],[Discharge '[mmm-yyyy']]]),TRUE,(Tbl_ResidentData[[#This Row],[Discharge '[mmm-yyyy']]]&gt;=AG$4)))))</f>
        <v>-</v>
      </c>
      <c r="AH43" s="121" t="str">
        <f ca="1">IF(AH$4&gt;NOW(),"-",IF(ISBLANK(Tbl_ResidentData[[#This Row],[Enrollment '[mmm-yyyy']]]),"-",AND((Tbl_ResidentData[[#This Row],[Enrollment '[mmm-yyyy']]]&lt;=AH$4),IF(ISBLANK(Tbl_ResidentData[[#This Row],[Discharge '[mmm-yyyy']]]),TRUE,(Tbl_ResidentData[[#This Row],[Discharge '[mmm-yyyy']]]&gt;=AH$4)))))</f>
        <v>-</v>
      </c>
      <c r="AI43" s="121" t="str">
        <f ca="1">IF(AI$4&gt;NOW(),"-",IF(ISBLANK(Tbl_ResidentData[[#This Row],[Enrollment '[mmm-yyyy']]]),"-",AND((Tbl_ResidentData[[#This Row],[Enrollment '[mmm-yyyy']]]&lt;=AI$4),IF(ISBLANK(Tbl_ResidentData[[#This Row],[Discharge '[mmm-yyyy']]]),TRUE,(Tbl_ResidentData[[#This Row],[Discharge '[mmm-yyyy']]]&gt;=AI$4)))))</f>
        <v>-</v>
      </c>
      <c r="AJ43" s="121" t="str">
        <f ca="1">IF(AJ$4&gt;NOW(),"-",IF(ISBLANK(Tbl_ResidentData[[#This Row],[Enrollment '[mmm-yyyy']]]),"-",AND((Tbl_ResidentData[[#This Row],[Enrollment '[mmm-yyyy']]]&lt;=AJ$4),IF(ISBLANK(Tbl_ResidentData[[#This Row],[Discharge '[mmm-yyyy']]]),TRUE,(Tbl_ResidentData[[#This Row],[Discharge '[mmm-yyyy']]]&gt;=AJ$4)))))</f>
        <v>-</v>
      </c>
      <c r="AK43" s="121" t="str">
        <f ca="1">IF(AK$4&gt;NOW(),"-",IF(ISBLANK(Tbl_ResidentData[[#This Row],[Enrollment '[mmm-yyyy']]]),"-",AND((Tbl_ResidentData[[#This Row],[Enrollment '[mmm-yyyy']]]&lt;=AK$4),IF(ISBLANK(Tbl_ResidentData[[#This Row],[Discharge '[mmm-yyyy']]]),TRUE,(Tbl_ResidentData[[#This Row],[Discharge '[mmm-yyyy']]]&gt;=AK$4)))))</f>
        <v>-</v>
      </c>
      <c r="AL43" s="121" t="str">
        <f ca="1">IF(AL$4&gt;NOW(),"-",IF(ISBLANK(Tbl_ResidentData[[#This Row],[Enrollment '[mmm-yyyy']]]),"-",AND((Tbl_ResidentData[[#This Row],[Enrollment '[mmm-yyyy']]]&lt;=AL$4),IF(ISBLANK(Tbl_ResidentData[[#This Row],[Discharge '[mmm-yyyy']]]),TRUE,(Tbl_ResidentData[[#This Row],[Discharge '[mmm-yyyy']]]&gt;=AL$4)))))</f>
        <v>-</v>
      </c>
      <c r="AM43" s="121" t="str">
        <f ca="1">IF(AM$4&gt;NOW(),"-",IF(ISBLANK(Tbl_ResidentData[[#This Row],[Enrollment '[mmm-yyyy']]]),"-",AND((Tbl_ResidentData[[#This Row],[Enrollment '[mmm-yyyy']]]&lt;=AM$4),IF(ISBLANK(Tbl_ResidentData[[#This Row],[Discharge '[mmm-yyyy']]]),TRUE,(Tbl_ResidentData[[#This Row],[Discharge '[mmm-yyyy']]]&gt;=AM$4)))))</f>
        <v>-</v>
      </c>
      <c r="AN43" s="121" t="str">
        <f ca="1">IF(AN$4&gt;NOW(),"-",IF(ISBLANK(Tbl_ResidentData[[#This Row],[Enrollment '[mmm-yyyy']]]),"-",AND((Tbl_ResidentData[[#This Row],[Enrollment '[mmm-yyyy']]]&lt;=AN$4),IF(ISBLANK(Tbl_ResidentData[[#This Row],[Discharge '[mmm-yyyy']]]),TRUE,(Tbl_ResidentData[[#This Row],[Discharge '[mmm-yyyy']]]&gt;=AN$4)))))</f>
        <v>-</v>
      </c>
      <c r="AO43" s="121" t="str">
        <f ca="1">IF(AO$4&gt;NOW(),"-",IF(ISBLANK(Tbl_ResidentData[[#This Row],[Enrollment '[mmm-yyyy']]]),"-",AND((Tbl_ResidentData[[#This Row],[Enrollment '[mmm-yyyy']]]&lt;=AO$4),IF(ISBLANK(Tbl_ResidentData[[#This Row],[Discharge '[mmm-yyyy']]]),TRUE,(Tbl_ResidentData[[#This Row],[Discharge '[mmm-yyyy']]]&gt;=AO$4)))))</f>
        <v>-</v>
      </c>
      <c r="AP43" s="121" t="str">
        <f ca="1">IF(AP$4&gt;NOW(),"-",IF(ISBLANK(Tbl_ResidentData[[#This Row],[Enrollment '[mmm-yyyy']]]),"-",AND((Tbl_ResidentData[[#This Row],[Enrollment '[mmm-yyyy']]]&lt;=AP$4),IF(ISBLANK(Tbl_ResidentData[[#This Row],[Discharge '[mmm-yyyy']]]),TRUE,(Tbl_ResidentData[[#This Row],[Discharge '[mmm-yyyy']]]&gt;=AP$4)))))</f>
        <v>-</v>
      </c>
      <c r="AQ43" s="121" t="str">
        <f ca="1">IF(AQ$4&gt;NOW(),"-",IF(ISBLANK(Tbl_ResidentData[[#This Row],[Enrollment '[mmm-yyyy']]]),"-",AND((Tbl_ResidentData[[#This Row],[Enrollment '[mmm-yyyy']]]&lt;=AQ$4),IF(ISBLANK(Tbl_ResidentData[[#This Row],[Discharge '[mmm-yyyy']]]),TRUE,(Tbl_ResidentData[[#This Row],[Discharge '[mmm-yyyy']]]&gt;=AQ$4)))))</f>
        <v>-</v>
      </c>
      <c r="AR43" s="122" t="str">
        <f ca="1">IF(AR$4&gt;NOW(),"-",IF(ISBLANK(Tbl_ResidentData[[#This Row],[Enrollment '[mmm-yyyy']]]),"-",AND((Tbl_ResidentData[[#This Row],[Enrollment '[mmm-yyyy']]]&lt;=AR$4),IF(ISBLANK(Tbl_ResidentData[[#This Row],[Discharge '[mmm-yyyy']]]),TRUE,(Tbl_ResidentData[[#This Row],[Discharge '[mmm-yyyy']]]&gt;=AR$4)))))</f>
        <v>-</v>
      </c>
      <c r="AS4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43"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43"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43"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43"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43"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43"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43"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43"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43"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43"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43"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43"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43"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43"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43"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43"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43"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43"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43"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43"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4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4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4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43" s="120" t="b">
        <f ca="1">AND(Tbl_ResidentData[[#This Row],[PRN Med Started]]&lt;&gt;"",Tbl_ResidentData[[#This Row],[PRN Med Started]]&lt;=NOW(),Tbl_ResidentData[[#This Row],[PRN Med Started]]&lt;=AS$4,OR(Tbl_ResidentData[[#This Row],[PRN Med Discontinued]]&gt;AS$4,ISBLANK(Tbl_ResidentData[[#This Row],[PRN Med Discontinued]])))</f>
        <v>0</v>
      </c>
      <c r="BR43" s="121" t="b">
        <f ca="1">AND(Tbl_ResidentData[[#This Row],[PRN Med Started]]&lt;&gt;"",Tbl_ResidentData[[#This Row],[PRN Med Started]]&lt;=NOW(),Tbl_ResidentData[[#This Row],[PRN Med Started]]&lt;=AT$4,OR(Tbl_ResidentData[[#This Row],[PRN Med Discontinued]]&gt;AT$4,ISBLANK(Tbl_ResidentData[[#This Row],[PRN Med Discontinued]])))</f>
        <v>0</v>
      </c>
      <c r="BS43" s="129" t="b">
        <f ca="1">AND(Tbl_ResidentData[[#This Row],[PRN Med Started]]&lt;&gt;"",Tbl_ResidentData[[#This Row],[PRN Med Started]]&lt;=NOW(),Tbl_ResidentData[[#This Row],[PRN Med Started]]&lt;=AU$4,OR(Tbl_ResidentData[[#This Row],[PRN Med Discontinued]]&gt;AU$4,ISBLANK(Tbl_ResidentData[[#This Row],[PRN Med Discontinued]])))</f>
        <v>0</v>
      </c>
      <c r="BT43" s="129" t="b">
        <f ca="1">AND(Tbl_ResidentData[[#This Row],[PRN Med Started]]&lt;&gt;"",Tbl_ResidentData[[#This Row],[PRN Med Started]]&lt;=NOW(),Tbl_ResidentData[[#This Row],[PRN Med Started]]&lt;=AV$4,OR(Tbl_ResidentData[[#This Row],[PRN Med Discontinued]]&gt;AV$4,ISBLANK(Tbl_ResidentData[[#This Row],[PRN Med Discontinued]])))</f>
        <v>0</v>
      </c>
      <c r="BU43" s="129" t="b">
        <f ca="1">AND(Tbl_ResidentData[[#This Row],[PRN Med Started]]&lt;&gt;"",Tbl_ResidentData[[#This Row],[PRN Med Started]]&lt;=NOW(),Tbl_ResidentData[[#This Row],[PRN Med Started]]&lt;=AW$4,OR(Tbl_ResidentData[[#This Row],[PRN Med Discontinued]]&gt;AW$4,ISBLANK(Tbl_ResidentData[[#This Row],[PRN Med Discontinued]])))</f>
        <v>0</v>
      </c>
      <c r="BV43" s="129" t="b">
        <f ca="1">AND(Tbl_ResidentData[[#This Row],[PRN Med Started]]&lt;&gt;"",Tbl_ResidentData[[#This Row],[PRN Med Started]]&lt;=NOW(),Tbl_ResidentData[[#This Row],[PRN Med Started]]&lt;=AX$4,OR(Tbl_ResidentData[[#This Row],[PRN Med Discontinued]]&gt;AX$4,ISBLANK(Tbl_ResidentData[[#This Row],[PRN Med Discontinued]])))</f>
        <v>0</v>
      </c>
      <c r="BW43" s="129" t="b">
        <f ca="1">AND(Tbl_ResidentData[[#This Row],[PRN Med Started]]&lt;&gt;"",Tbl_ResidentData[[#This Row],[PRN Med Started]]&lt;=NOW(),Tbl_ResidentData[[#This Row],[PRN Med Started]]&lt;=AY$4,OR(Tbl_ResidentData[[#This Row],[PRN Med Discontinued]]&gt;AY$4,ISBLANK(Tbl_ResidentData[[#This Row],[PRN Med Discontinued]])))</f>
        <v>0</v>
      </c>
      <c r="BX43" s="129" t="b">
        <f ca="1">AND(Tbl_ResidentData[[#This Row],[PRN Med Started]]&lt;&gt;"",Tbl_ResidentData[[#This Row],[PRN Med Started]]&lt;=NOW(),Tbl_ResidentData[[#This Row],[PRN Med Started]]&lt;=AZ$4,OR(Tbl_ResidentData[[#This Row],[PRN Med Discontinued]]&gt;AZ$4,ISBLANK(Tbl_ResidentData[[#This Row],[PRN Med Discontinued]])))</f>
        <v>0</v>
      </c>
      <c r="BY43" s="129" t="b">
        <f ca="1">AND(Tbl_ResidentData[[#This Row],[PRN Med Started]]&lt;&gt;"",Tbl_ResidentData[[#This Row],[PRN Med Started]]&lt;=NOW(),Tbl_ResidentData[[#This Row],[PRN Med Started]]&lt;=BA$4,OR(Tbl_ResidentData[[#This Row],[PRN Med Discontinued]]&gt;BA$4,ISBLANK(Tbl_ResidentData[[#This Row],[PRN Med Discontinued]])))</f>
        <v>0</v>
      </c>
      <c r="BZ43" s="129" t="b">
        <f ca="1">AND(Tbl_ResidentData[[#This Row],[PRN Med Started]]&lt;&gt;"",Tbl_ResidentData[[#This Row],[PRN Med Started]]&lt;=NOW(),Tbl_ResidentData[[#This Row],[PRN Med Started]]&lt;=BB$4,OR(Tbl_ResidentData[[#This Row],[PRN Med Discontinued]]&gt;BB$4,ISBLANK(Tbl_ResidentData[[#This Row],[PRN Med Discontinued]])))</f>
        <v>0</v>
      </c>
      <c r="CA43" s="129" t="b">
        <f ca="1">AND(Tbl_ResidentData[[#This Row],[PRN Med Started]]&lt;&gt;"",Tbl_ResidentData[[#This Row],[PRN Med Started]]&lt;=NOW(),Tbl_ResidentData[[#This Row],[PRN Med Started]]&lt;=BC$4,OR(Tbl_ResidentData[[#This Row],[PRN Med Discontinued]]&gt;BC$4,ISBLANK(Tbl_ResidentData[[#This Row],[PRN Med Discontinued]])))</f>
        <v>0</v>
      </c>
      <c r="CB43" s="129" t="b">
        <f ca="1">AND(Tbl_ResidentData[[#This Row],[PRN Med Started]]&lt;&gt;"",Tbl_ResidentData[[#This Row],[PRN Med Started]]&lt;=NOW(),Tbl_ResidentData[[#This Row],[PRN Med Started]]&lt;=BD$4,OR(Tbl_ResidentData[[#This Row],[PRN Med Discontinued]]&gt;BD$4,ISBLANK(Tbl_ResidentData[[#This Row],[PRN Med Discontinued]])))</f>
        <v>0</v>
      </c>
      <c r="CC43" s="129" t="b">
        <f ca="1">AND(Tbl_ResidentData[[#This Row],[PRN Med Started]]&lt;&gt;"",Tbl_ResidentData[[#This Row],[PRN Med Started]]&lt;=NOW(),Tbl_ResidentData[[#This Row],[PRN Med Started]]&lt;=BE$4,OR(Tbl_ResidentData[[#This Row],[PRN Med Discontinued]]&gt;BE$4,ISBLANK(Tbl_ResidentData[[#This Row],[PRN Med Discontinued]])))</f>
        <v>0</v>
      </c>
      <c r="CD43" s="129" t="b">
        <f ca="1">AND(Tbl_ResidentData[[#This Row],[PRN Med Started]]&lt;&gt;"",Tbl_ResidentData[[#This Row],[PRN Med Started]]&lt;=NOW(),Tbl_ResidentData[[#This Row],[PRN Med Started]]&lt;=BF$4,OR(Tbl_ResidentData[[#This Row],[PRN Med Discontinued]]&gt;BF$4,ISBLANK(Tbl_ResidentData[[#This Row],[PRN Med Discontinued]])))</f>
        <v>0</v>
      </c>
      <c r="CE43" s="129" t="b">
        <f ca="1">AND(Tbl_ResidentData[[#This Row],[PRN Med Started]]&lt;&gt;"",Tbl_ResidentData[[#This Row],[PRN Med Started]]&lt;=NOW(),Tbl_ResidentData[[#This Row],[PRN Med Started]]&lt;=BG$4,OR(Tbl_ResidentData[[#This Row],[PRN Med Discontinued]]&gt;BG$4,ISBLANK(Tbl_ResidentData[[#This Row],[PRN Med Discontinued]])))</f>
        <v>0</v>
      </c>
      <c r="CF43" s="129" t="b">
        <f ca="1">AND(Tbl_ResidentData[[#This Row],[PRN Med Started]]&lt;&gt;"",Tbl_ResidentData[[#This Row],[PRN Med Started]]&lt;=NOW(),Tbl_ResidentData[[#This Row],[PRN Med Started]]&lt;=BH$4,OR(Tbl_ResidentData[[#This Row],[PRN Med Discontinued]]&gt;BH$4,ISBLANK(Tbl_ResidentData[[#This Row],[PRN Med Discontinued]])))</f>
        <v>0</v>
      </c>
      <c r="CG43" s="129" t="b">
        <f ca="1">AND(Tbl_ResidentData[[#This Row],[PRN Med Started]]&lt;&gt;"",Tbl_ResidentData[[#This Row],[PRN Med Started]]&lt;=NOW(),Tbl_ResidentData[[#This Row],[PRN Med Started]]&lt;=BI$4,OR(Tbl_ResidentData[[#This Row],[PRN Med Discontinued]]&gt;BI$4,ISBLANK(Tbl_ResidentData[[#This Row],[PRN Med Discontinued]])))</f>
        <v>0</v>
      </c>
      <c r="CH43" s="129" t="b">
        <f ca="1">AND(Tbl_ResidentData[[#This Row],[PRN Med Started]]&lt;&gt;"",Tbl_ResidentData[[#This Row],[PRN Med Started]]&lt;=NOW(),Tbl_ResidentData[[#This Row],[PRN Med Started]]&lt;=BJ$4,OR(Tbl_ResidentData[[#This Row],[PRN Med Discontinued]]&gt;BJ$4,ISBLANK(Tbl_ResidentData[[#This Row],[PRN Med Discontinued]])))</f>
        <v>0</v>
      </c>
      <c r="CI43" s="129" t="b">
        <f ca="1">AND(Tbl_ResidentData[[#This Row],[PRN Med Started]]&lt;&gt;"",Tbl_ResidentData[[#This Row],[PRN Med Started]]&lt;=NOW(),Tbl_ResidentData[[#This Row],[PRN Med Started]]&lt;=BK$4,OR(Tbl_ResidentData[[#This Row],[PRN Med Discontinued]]&gt;BK$4,ISBLANK(Tbl_ResidentData[[#This Row],[PRN Med Discontinued]])))</f>
        <v>0</v>
      </c>
      <c r="CJ43" s="129" t="b">
        <f ca="1">AND(Tbl_ResidentData[[#This Row],[PRN Med Started]]&lt;&gt;"",Tbl_ResidentData[[#This Row],[PRN Med Started]]&lt;=NOW(),Tbl_ResidentData[[#This Row],[PRN Med Started]]&lt;=BL$4,OR(Tbl_ResidentData[[#This Row],[PRN Med Discontinued]]&gt;BL$4,ISBLANK(Tbl_ResidentData[[#This Row],[PRN Med Discontinued]])))</f>
        <v>0</v>
      </c>
      <c r="CK43" s="129" t="b">
        <f ca="1">AND(Tbl_ResidentData[[#This Row],[PRN Med Started]]&lt;&gt;"",Tbl_ResidentData[[#This Row],[PRN Med Started]]&lt;=NOW(),Tbl_ResidentData[[#This Row],[PRN Med Started]]&lt;=BM$4,OR(Tbl_ResidentData[[#This Row],[PRN Med Discontinued]]&gt;BM$4,ISBLANK(Tbl_ResidentData[[#This Row],[PRN Med Discontinued]])))</f>
        <v>0</v>
      </c>
      <c r="CL43" s="129" t="b">
        <f ca="1">AND(Tbl_ResidentData[[#This Row],[PRN Med Started]]&lt;&gt;"",Tbl_ResidentData[[#This Row],[PRN Med Started]]&lt;=NOW(),Tbl_ResidentData[[#This Row],[PRN Med Started]]&lt;=BN$4,OR(Tbl_ResidentData[[#This Row],[PRN Med Discontinued]]&gt;BN$4,ISBLANK(Tbl_ResidentData[[#This Row],[PRN Med Discontinued]])))</f>
        <v>0</v>
      </c>
      <c r="CM43" s="121" t="b">
        <f ca="1">AND(Tbl_ResidentData[[#This Row],[PRN Med Started]]&lt;&gt;"",Tbl_ResidentData[[#This Row],[PRN Med Started]]&lt;=NOW(),Tbl_ResidentData[[#This Row],[PRN Med Started]]&lt;=BO$4,OR(Tbl_ResidentData[[#This Row],[PRN Med Discontinued]]&gt;BO$4,ISBLANK(Tbl_ResidentData[[#This Row],[PRN Med Discontinued]])))</f>
        <v>0</v>
      </c>
      <c r="CN43" s="122" t="b">
        <f ca="1">AND(Tbl_ResidentData[[#This Row],[PRN Med Started]]&lt;&gt;"",Tbl_ResidentData[[#This Row],[PRN Med Started]]&lt;=NOW(),Tbl_ResidentData[[#This Row],[PRN Med Started]]&lt;=BP$4,OR(Tbl_ResidentData[[#This Row],[PRN Med Discontinued]]&gt;BP$4,ISBLANK(Tbl_ResidentData[[#This Row],[PRN Med Discontinued]])))</f>
        <v>0</v>
      </c>
      <c r="CO43" s="120">
        <f ca="1">IF(OR(Tbl_ResidentData[[#This Row],[S1]]=TRUE,Tbl_ResidentData[[#This Row],[P1]]=TRUE),1,0)</f>
        <v>0</v>
      </c>
      <c r="CP43" s="121">
        <f ca="1">IF(OR(Tbl_ResidentData[[#This Row],[S2]]=TRUE,Tbl_ResidentData[[#This Row],[P2]]=TRUE),1,0)</f>
        <v>0</v>
      </c>
      <c r="CQ43" s="121">
        <f ca="1">IF(OR(Tbl_ResidentData[[#This Row],[S3]]=TRUE,Tbl_ResidentData[[#This Row],[P3]]=TRUE),1,0)</f>
        <v>0</v>
      </c>
      <c r="CR43" s="130">
        <f ca="1">IF(OR(Tbl_ResidentData[[#This Row],[S4]]=TRUE,Tbl_ResidentData[[#This Row],[P4]]=TRUE),1,0)</f>
        <v>0</v>
      </c>
      <c r="CS43" s="130">
        <f ca="1">IF(OR(Tbl_ResidentData[[#This Row],[S5]]=TRUE,Tbl_ResidentData[[#This Row],[P5]]=TRUE),1,0)</f>
        <v>0</v>
      </c>
      <c r="CT43" s="130">
        <f ca="1">IF(OR(Tbl_ResidentData[[#This Row],[S6]]=TRUE,Tbl_ResidentData[[#This Row],[P6]]=TRUE),1,0)</f>
        <v>0</v>
      </c>
      <c r="CU43" s="130">
        <f ca="1">IF(OR(Tbl_ResidentData[[#This Row],[S7]]=TRUE,Tbl_ResidentData[[#This Row],[P7]]=TRUE),1,0)</f>
        <v>0</v>
      </c>
      <c r="CV43" s="130">
        <f ca="1">IF(OR(Tbl_ResidentData[[#This Row],[S8]]=TRUE,Tbl_ResidentData[[#This Row],[P8]]=TRUE),1,0)</f>
        <v>0</v>
      </c>
      <c r="CW43" s="130">
        <f ca="1">IF(OR(Tbl_ResidentData[[#This Row],[S9]]=TRUE,Tbl_ResidentData[[#This Row],[P9]]=TRUE),1,0)</f>
        <v>0</v>
      </c>
      <c r="CX43" s="130">
        <f ca="1">IF(OR(Tbl_ResidentData[[#This Row],[S10]]=TRUE,Tbl_ResidentData[[#This Row],[P10]]=TRUE),1,0)</f>
        <v>0</v>
      </c>
      <c r="CY43" s="130">
        <f ca="1">IF(OR(Tbl_ResidentData[[#This Row],[S11]]=TRUE,Tbl_ResidentData[[#This Row],[P11]]=TRUE),1,0)</f>
        <v>0</v>
      </c>
      <c r="CZ43" s="130">
        <f ca="1">IF(OR(Tbl_ResidentData[[#This Row],[S12]]=TRUE,Tbl_ResidentData[[#This Row],[P12]]=TRUE),1,0)</f>
        <v>0</v>
      </c>
      <c r="DA43" s="130">
        <f ca="1">IF(OR(Tbl_ResidentData[[#This Row],[S13]]=TRUE,Tbl_ResidentData[[#This Row],[P13]]=TRUE),1,0)</f>
        <v>0</v>
      </c>
      <c r="DB43" s="130">
        <f ca="1">IF(OR(Tbl_ResidentData[[#This Row],[S14]]=TRUE,Tbl_ResidentData[[#This Row],[P14]]=TRUE),1,0)</f>
        <v>0</v>
      </c>
      <c r="DC43" s="130">
        <f ca="1">IF(OR(Tbl_ResidentData[[#This Row],[S15]]=TRUE,Tbl_ResidentData[[#This Row],[P15]]=TRUE),1,0)</f>
        <v>0</v>
      </c>
      <c r="DD43" s="130">
        <f ca="1">IF(OR(Tbl_ResidentData[[#This Row],[S16]]=TRUE,Tbl_ResidentData[[#This Row],[P16]]=TRUE),1,0)</f>
        <v>0</v>
      </c>
      <c r="DE43" s="130">
        <f ca="1">IF(OR(Tbl_ResidentData[[#This Row],[S17]]=TRUE,Tbl_ResidentData[[#This Row],[P17]]=TRUE),1,0)</f>
        <v>0</v>
      </c>
      <c r="DF43" s="130">
        <f ca="1">IF(OR(Tbl_ResidentData[[#This Row],[S18]]=TRUE,Tbl_ResidentData[[#This Row],[P18]]=TRUE),1,0)</f>
        <v>0</v>
      </c>
      <c r="DG43" s="130">
        <f ca="1">IF(OR(Tbl_ResidentData[[#This Row],[S19]]=TRUE,Tbl_ResidentData[[#This Row],[P19]]=TRUE),1,0)</f>
        <v>0</v>
      </c>
      <c r="DH43" s="130">
        <f ca="1">IF(OR(Tbl_ResidentData[[#This Row],[S20]]=TRUE,Tbl_ResidentData[[#This Row],[P20]]=TRUE),1,0)</f>
        <v>0</v>
      </c>
      <c r="DI43" s="130">
        <f ca="1">IF(OR(Tbl_ResidentData[[#This Row],[S21]]=TRUE,Tbl_ResidentData[[#This Row],[P21]]=TRUE),1,0)</f>
        <v>0</v>
      </c>
      <c r="DJ43" s="130">
        <f ca="1">IF(OR(Tbl_ResidentData[[#This Row],[S22]]=TRUE,Tbl_ResidentData[[#This Row],[P22]]=TRUE),1,0)</f>
        <v>0</v>
      </c>
      <c r="DK43" s="130">
        <f ca="1">IF(OR(Tbl_ResidentData[[#This Row],[S23]]=TRUE,Tbl_ResidentData[[#This Row],[P23]]=TRUE),1,0)</f>
        <v>0</v>
      </c>
      <c r="DL43" s="130">
        <f ca="1">IF(OR(Tbl_ResidentData[[#This Row],[S24]]=TRUE,Tbl_ResidentData[[#This Row],[P24]]=TRUE),1,0)</f>
        <v>0</v>
      </c>
      <c r="DM43" s="123" t="str">
        <f ca="1">IFERROR(INDEX($CO$4:$DL$4,MATCH(TRUE,INDEX((Tbl_ResidentData[[#This Row],[Over1]:[Over24]]&lt;&gt;0),0),0)),"")</f>
        <v/>
      </c>
      <c r="DN43" s="133" t="str">
        <f>IFERROR(INDEX(Tbl_PDSAData[Last DRT],MATCH(Tbl_ResidentData[Resident Name '[last, first']],Tbl_PDSAData[Resident Name (last, first)],0)),"")</f>
        <v/>
      </c>
      <c r="DO43" s="222" t="str">
        <f>IFERROR(INDEX(Tbl_PDSAData[Last MR],MATCH(Tbl_ResidentData[Resident Name '[last, first']],Tbl_PDSAData[Resident Name (last, first)],0)),"")</f>
        <v/>
      </c>
    </row>
    <row r="44" spans="1:119" x14ac:dyDescent="0.25">
      <c r="A44" s="179"/>
      <c r="B44" s="180"/>
      <c r="C44" s="180"/>
      <c r="D44" s="218"/>
      <c r="E44" s="179"/>
      <c r="F44" s="179"/>
      <c r="G44" s="181"/>
      <c r="H44" s="375"/>
      <c r="I44" s="186"/>
      <c r="J44" s="387"/>
      <c r="K44" s="178"/>
      <c r="L44" s="388"/>
      <c r="M44" s="187"/>
      <c r="N44" s="387"/>
      <c r="O44" s="178"/>
      <c r="P44" s="388"/>
      <c r="Q44" s="394"/>
      <c r="R44" s="388"/>
      <c r="S44" s="132" t="str">
        <f>IF(ISBLANK(Tbl_ResidentData[[#This Row],[Discharge '[mmm-yyyy']]]),IF(ISBLANK(Tbl_ResidentData[[#This Row],[Enrollment '[mmm-yyyy']]]),"","In Care Home"),"Discharged")</f>
        <v/>
      </c>
      <c r="T44" s="128" t="str">
        <f>IF(ISBLANK(Tbl_ResidentData[[#This Row],[Diagnosis (RAI)]]),IF(ISBLANK(Tbl_ResidentData[[#This Row],[Resident Name '[last, first']]]),"",0),IF(Tbl_ResidentData[[#This Row],[Diagnosis (RAI)]]="Other (see clinical notes)",0,1))</f>
        <v/>
      </c>
      <c r="U44" s="129" t="str">
        <f ca="1">IF(U$4&gt;NOW(),"-",IF(ISBLANK(Tbl_ResidentData[[#This Row],[Enrollment '[mmm-yyyy']]]),"-",AND((Tbl_ResidentData[[#This Row],[Enrollment '[mmm-yyyy']]]&lt;=U$4),IF(ISBLANK(Tbl_ResidentData[[#This Row],[Discharge '[mmm-yyyy']]]),TRUE,(Tbl_ResidentData[[#This Row],[Discharge '[mmm-yyyy']]]&gt;=U$4)))))</f>
        <v>-</v>
      </c>
      <c r="V44" s="121" t="str">
        <f ca="1">IF(V$4&gt;NOW(),"-",IF(ISBLANK(Tbl_ResidentData[[#This Row],[Enrollment '[mmm-yyyy']]]),"-",AND((Tbl_ResidentData[[#This Row],[Enrollment '[mmm-yyyy']]]&lt;=V$4),IF(ISBLANK(Tbl_ResidentData[[#This Row],[Discharge '[mmm-yyyy']]]),TRUE,(Tbl_ResidentData[[#This Row],[Discharge '[mmm-yyyy']]]&gt;=V$4)))))</f>
        <v>-</v>
      </c>
      <c r="W44" s="121" t="str">
        <f ca="1">IF(W$4&gt;NOW(),"-",IF(ISBLANK(Tbl_ResidentData[[#This Row],[Enrollment '[mmm-yyyy']]]),"-",AND((Tbl_ResidentData[[#This Row],[Enrollment '[mmm-yyyy']]]&lt;=W$4),IF(ISBLANK(Tbl_ResidentData[[#This Row],[Discharge '[mmm-yyyy']]]),TRUE,(Tbl_ResidentData[[#This Row],[Discharge '[mmm-yyyy']]]&gt;=W$4)))))</f>
        <v>-</v>
      </c>
      <c r="X44" s="121" t="str">
        <f ca="1">IF(X$4&gt;NOW(),"-",IF(ISBLANK(Tbl_ResidentData[[#This Row],[Enrollment '[mmm-yyyy']]]),"-",AND((Tbl_ResidentData[[#This Row],[Enrollment '[mmm-yyyy']]]&lt;=X$4),IF(ISBLANK(Tbl_ResidentData[[#This Row],[Discharge '[mmm-yyyy']]]),TRUE,(Tbl_ResidentData[[#This Row],[Discharge '[mmm-yyyy']]]&gt;=X$4)))))</f>
        <v>-</v>
      </c>
      <c r="Y44" s="121" t="str">
        <f ca="1">IF(Y$4&gt;NOW(),"-",IF(ISBLANK(Tbl_ResidentData[[#This Row],[Enrollment '[mmm-yyyy']]]),"-",AND((Tbl_ResidentData[[#This Row],[Enrollment '[mmm-yyyy']]]&lt;=Y$4),IF(ISBLANK(Tbl_ResidentData[[#This Row],[Discharge '[mmm-yyyy']]]),TRUE,(Tbl_ResidentData[[#This Row],[Discharge '[mmm-yyyy']]]&gt;=Y$4)))))</f>
        <v>-</v>
      </c>
      <c r="Z44" s="121" t="str">
        <f ca="1">IF(Z$4&gt;NOW(),"-",IF(ISBLANK(Tbl_ResidentData[[#This Row],[Enrollment '[mmm-yyyy']]]),"-",AND((Tbl_ResidentData[[#This Row],[Enrollment '[mmm-yyyy']]]&lt;=Z$4),IF(ISBLANK(Tbl_ResidentData[[#This Row],[Discharge '[mmm-yyyy']]]),TRUE,(Tbl_ResidentData[[#This Row],[Discharge '[mmm-yyyy']]]&gt;=Z$4)))))</f>
        <v>-</v>
      </c>
      <c r="AA44" s="121" t="str">
        <f ca="1">IF(AA$4&gt;NOW(),"-",IF(ISBLANK(Tbl_ResidentData[[#This Row],[Enrollment '[mmm-yyyy']]]),"-",AND((Tbl_ResidentData[[#This Row],[Enrollment '[mmm-yyyy']]]&lt;=AA$4),IF(ISBLANK(Tbl_ResidentData[[#This Row],[Discharge '[mmm-yyyy']]]),TRUE,(Tbl_ResidentData[[#This Row],[Discharge '[mmm-yyyy']]]&gt;=AA$4)))))</f>
        <v>-</v>
      </c>
      <c r="AB44" s="121" t="str">
        <f ca="1">IF(AB$4&gt;NOW(),"-",IF(ISBLANK(Tbl_ResidentData[[#This Row],[Enrollment '[mmm-yyyy']]]),"-",AND((Tbl_ResidentData[[#This Row],[Enrollment '[mmm-yyyy']]]&lt;=AB$4),IF(ISBLANK(Tbl_ResidentData[[#This Row],[Discharge '[mmm-yyyy']]]),TRUE,(Tbl_ResidentData[[#This Row],[Discharge '[mmm-yyyy']]]&gt;=AB$4)))))</f>
        <v>-</v>
      </c>
      <c r="AC44" s="121" t="str">
        <f ca="1">IF(AC$4&gt;NOW(),"-",IF(ISBLANK(Tbl_ResidentData[[#This Row],[Enrollment '[mmm-yyyy']]]),"-",AND((Tbl_ResidentData[[#This Row],[Enrollment '[mmm-yyyy']]]&lt;=AC$4),IF(ISBLANK(Tbl_ResidentData[[#This Row],[Discharge '[mmm-yyyy']]]),TRUE,(Tbl_ResidentData[[#This Row],[Discharge '[mmm-yyyy']]]&gt;=AC$4)))))</f>
        <v>-</v>
      </c>
      <c r="AD44" s="121" t="str">
        <f ca="1">IF(AD$4&gt;NOW(),"-",IF(ISBLANK(Tbl_ResidentData[[#This Row],[Enrollment '[mmm-yyyy']]]),"-",AND((Tbl_ResidentData[[#This Row],[Enrollment '[mmm-yyyy']]]&lt;=AD$4),IF(ISBLANK(Tbl_ResidentData[[#This Row],[Discharge '[mmm-yyyy']]]),TRUE,(Tbl_ResidentData[[#This Row],[Discharge '[mmm-yyyy']]]&gt;=AD$4)))))</f>
        <v>-</v>
      </c>
      <c r="AE44" s="121" t="str">
        <f ca="1">IF(AE$4&gt;NOW(),"-",IF(ISBLANK(Tbl_ResidentData[[#This Row],[Enrollment '[mmm-yyyy']]]),"-",AND((Tbl_ResidentData[[#This Row],[Enrollment '[mmm-yyyy']]]&lt;=AE$4),IF(ISBLANK(Tbl_ResidentData[[#This Row],[Discharge '[mmm-yyyy']]]),TRUE,(Tbl_ResidentData[[#This Row],[Discharge '[mmm-yyyy']]]&gt;=AE$4)))))</f>
        <v>-</v>
      </c>
      <c r="AF44" s="121" t="str">
        <f ca="1">IF(AF$4&gt;NOW(),"-",IF(ISBLANK(Tbl_ResidentData[[#This Row],[Enrollment '[mmm-yyyy']]]),"-",AND((Tbl_ResidentData[[#This Row],[Enrollment '[mmm-yyyy']]]&lt;=AF$4),IF(ISBLANK(Tbl_ResidentData[[#This Row],[Discharge '[mmm-yyyy']]]),TRUE,(Tbl_ResidentData[[#This Row],[Discharge '[mmm-yyyy']]]&gt;=AF$4)))))</f>
        <v>-</v>
      </c>
      <c r="AG44" s="121" t="str">
        <f ca="1">IF(AG$4&gt;NOW(),"-",IF(ISBLANK(Tbl_ResidentData[[#This Row],[Enrollment '[mmm-yyyy']]]),"-",AND((Tbl_ResidentData[[#This Row],[Enrollment '[mmm-yyyy']]]&lt;=AG$4),IF(ISBLANK(Tbl_ResidentData[[#This Row],[Discharge '[mmm-yyyy']]]),TRUE,(Tbl_ResidentData[[#This Row],[Discharge '[mmm-yyyy']]]&gt;=AG$4)))))</f>
        <v>-</v>
      </c>
      <c r="AH44" s="121" t="str">
        <f ca="1">IF(AH$4&gt;NOW(),"-",IF(ISBLANK(Tbl_ResidentData[[#This Row],[Enrollment '[mmm-yyyy']]]),"-",AND((Tbl_ResidentData[[#This Row],[Enrollment '[mmm-yyyy']]]&lt;=AH$4),IF(ISBLANK(Tbl_ResidentData[[#This Row],[Discharge '[mmm-yyyy']]]),TRUE,(Tbl_ResidentData[[#This Row],[Discharge '[mmm-yyyy']]]&gt;=AH$4)))))</f>
        <v>-</v>
      </c>
      <c r="AI44" s="121" t="str">
        <f ca="1">IF(AI$4&gt;NOW(),"-",IF(ISBLANK(Tbl_ResidentData[[#This Row],[Enrollment '[mmm-yyyy']]]),"-",AND((Tbl_ResidentData[[#This Row],[Enrollment '[mmm-yyyy']]]&lt;=AI$4),IF(ISBLANK(Tbl_ResidentData[[#This Row],[Discharge '[mmm-yyyy']]]),TRUE,(Tbl_ResidentData[[#This Row],[Discharge '[mmm-yyyy']]]&gt;=AI$4)))))</f>
        <v>-</v>
      </c>
      <c r="AJ44" s="121" t="str">
        <f ca="1">IF(AJ$4&gt;NOW(),"-",IF(ISBLANK(Tbl_ResidentData[[#This Row],[Enrollment '[mmm-yyyy']]]),"-",AND((Tbl_ResidentData[[#This Row],[Enrollment '[mmm-yyyy']]]&lt;=AJ$4),IF(ISBLANK(Tbl_ResidentData[[#This Row],[Discharge '[mmm-yyyy']]]),TRUE,(Tbl_ResidentData[[#This Row],[Discharge '[mmm-yyyy']]]&gt;=AJ$4)))))</f>
        <v>-</v>
      </c>
      <c r="AK44" s="121" t="str">
        <f ca="1">IF(AK$4&gt;NOW(),"-",IF(ISBLANK(Tbl_ResidentData[[#This Row],[Enrollment '[mmm-yyyy']]]),"-",AND((Tbl_ResidentData[[#This Row],[Enrollment '[mmm-yyyy']]]&lt;=AK$4),IF(ISBLANK(Tbl_ResidentData[[#This Row],[Discharge '[mmm-yyyy']]]),TRUE,(Tbl_ResidentData[[#This Row],[Discharge '[mmm-yyyy']]]&gt;=AK$4)))))</f>
        <v>-</v>
      </c>
      <c r="AL44" s="121" t="str">
        <f ca="1">IF(AL$4&gt;NOW(),"-",IF(ISBLANK(Tbl_ResidentData[[#This Row],[Enrollment '[mmm-yyyy']]]),"-",AND((Tbl_ResidentData[[#This Row],[Enrollment '[mmm-yyyy']]]&lt;=AL$4),IF(ISBLANK(Tbl_ResidentData[[#This Row],[Discharge '[mmm-yyyy']]]),TRUE,(Tbl_ResidentData[[#This Row],[Discharge '[mmm-yyyy']]]&gt;=AL$4)))))</f>
        <v>-</v>
      </c>
      <c r="AM44" s="121" t="str">
        <f ca="1">IF(AM$4&gt;NOW(),"-",IF(ISBLANK(Tbl_ResidentData[[#This Row],[Enrollment '[mmm-yyyy']]]),"-",AND((Tbl_ResidentData[[#This Row],[Enrollment '[mmm-yyyy']]]&lt;=AM$4),IF(ISBLANK(Tbl_ResidentData[[#This Row],[Discharge '[mmm-yyyy']]]),TRUE,(Tbl_ResidentData[[#This Row],[Discharge '[mmm-yyyy']]]&gt;=AM$4)))))</f>
        <v>-</v>
      </c>
      <c r="AN44" s="121" t="str">
        <f ca="1">IF(AN$4&gt;NOW(),"-",IF(ISBLANK(Tbl_ResidentData[[#This Row],[Enrollment '[mmm-yyyy']]]),"-",AND((Tbl_ResidentData[[#This Row],[Enrollment '[mmm-yyyy']]]&lt;=AN$4),IF(ISBLANK(Tbl_ResidentData[[#This Row],[Discharge '[mmm-yyyy']]]),TRUE,(Tbl_ResidentData[[#This Row],[Discharge '[mmm-yyyy']]]&gt;=AN$4)))))</f>
        <v>-</v>
      </c>
      <c r="AO44" s="121" t="str">
        <f ca="1">IF(AO$4&gt;NOW(),"-",IF(ISBLANK(Tbl_ResidentData[[#This Row],[Enrollment '[mmm-yyyy']]]),"-",AND((Tbl_ResidentData[[#This Row],[Enrollment '[mmm-yyyy']]]&lt;=AO$4),IF(ISBLANK(Tbl_ResidentData[[#This Row],[Discharge '[mmm-yyyy']]]),TRUE,(Tbl_ResidentData[[#This Row],[Discharge '[mmm-yyyy']]]&gt;=AO$4)))))</f>
        <v>-</v>
      </c>
      <c r="AP44" s="121" t="str">
        <f ca="1">IF(AP$4&gt;NOW(),"-",IF(ISBLANK(Tbl_ResidentData[[#This Row],[Enrollment '[mmm-yyyy']]]),"-",AND((Tbl_ResidentData[[#This Row],[Enrollment '[mmm-yyyy']]]&lt;=AP$4),IF(ISBLANK(Tbl_ResidentData[[#This Row],[Discharge '[mmm-yyyy']]]),TRUE,(Tbl_ResidentData[[#This Row],[Discharge '[mmm-yyyy']]]&gt;=AP$4)))))</f>
        <v>-</v>
      </c>
      <c r="AQ44" s="121" t="str">
        <f ca="1">IF(AQ$4&gt;NOW(),"-",IF(ISBLANK(Tbl_ResidentData[[#This Row],[Enrollment '[mmm-yyyy']]]),"-",AND((Tbl_ResidentData[[#This Row],[Enrollment '[mmm-yyyy']]]&lt;=AQ$4),IF(ISBLANK(Tbl_ResidentData[[#This Row],[Discharge '[mmm-yyyy']]]),TRUE,(Tbl_ResidentData[[#This Row],[Discharge '[mmm-yyyy']]]&gt;=AQ$4)))))</f>
        <v>-</v>
      </c>
      <c r="AR44" s="122" t="str">
        <f ca="1">IF(AR$4&gt;NOW(),"-",IF(ISBLANK(Tbl_ResidentData[[#This Row],[Enrollment '[mmm-yyyy']]]),"-",AND((Tbl_ResidentData[[#This Row],[Enrollment '[mmm-yyyy']]]&lt;=AR$4),IF(ISBLANK(Tbl_ResidentData[[#This Row],[Discharge '[mmm-yyyy']]]),TRUE,(Tbl_ResidentData[[#This Row],[Discharge '[mmm-yyyy']]]&gt;=AR$4)))))</f>
        <v>-</v>
      </c>
      <c r="AS4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44"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44"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44"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44"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44"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44"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44"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44"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44"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44"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44"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44"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44"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44"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44"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44"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44"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44"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44"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44"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4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4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4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44" s="120" t="b">
        <f ca="1">AND(Tbl_ResidentData[[#This Row],[PRN Med Started]]&lt;&gt;"",Tbl_ResidentData[[#This Row],[PRN Med Started]]&lt;=NOW(),Tbl_ResidentData[[#This Row],[PRN Med Started]]&lt;=AS$4,OR(Tbl_ResidentData[[#This Row],[PRN Med Discontinued]]&gt;AS$4,ISBLANK(Tbl_ResidentData[[#This Row],[PRN Med Discontinued]])))</f>
        <v>0</v>
      </c>
      <c r="BR44" s="121" t="b">
        <f ca="1">AND(Tbl_ResidentData[[#This Row],[PRN Med Started]]&lt;&gt;"",Tbl_ResidentData[[#This Row],[PRN Med Started]]&lt;=NOW(),Tbl_ResidentData[[#This Row],[PRN Med Started]]&lt;=AT$4,OR(Tbl_ResidentData[[#This Row],[PRN Med Discontinued]]&gt;AT$4,ISBLANK(Tbl_ResidentData[[#This Row],[PRN Med Discontinued]])))</f>
        <v>0</v>
      </c>
      <c r="BS44" s="129" t="b">
        <f ca="1">AND(Tbl_ResidentData[[#This Row],[PRN Med Started]]&lt;&gt;"",Tbl_ResidentData[[#This Row],[PRN Med Started]]&lt;=NOW(),Tbl_ResidentData[[#This Row],[PRN Med Started]]&lt;=AU$4,OR(Tbl_ResidentData[[#This Row],[PRN Med Discontinued]]&gt;AU$4,ISBLANK(Tbl_ResidentData[[#This Row],[PRN Med Discontinued]])))</f>
        <v>0</v>
      </c>
      <c r="BT44" s="129" t="b">
        <f ca="1">AND(Tbl_ResidentData[[#This Row],[PRN Med Started]]&lt;&gt;"",Tbl_ResidentData[[#This Row],[PRN Med Started]]&lt;=NOW(),Tbl_ResidentData[[#This Row],[PRN Med Started]]&lt;=AV$4,OR(Tbl_ResidentData[[#This Row],[PRN Med Discontinued]]&gt;AV$4,ISBLANK(Tbl_ResidentData[[#This Row],[PRN Med Discontinued]])))</f>
        <v>0</v>
      </c>
      <c r="BU44" s="129" t="b">
        <f ca="1">AND(Tbl_ResidentData[[#This Row],[PRN Med Started]]&lt;&gt;"",Tbl_ResidentData[[#This Row],[PRN Med Started]]&lt;=NOW(),Tbl_ResidentData[[#This Row],[PRN Med Started]]&lt;=AW$4,OR(Tbl_ResidentData[[#This Row],[PRN Med Discontinued]]&gt;AW$4,ISBLANK(Tbl_ResidentData[[#This Row],[PRN Med Discontinued]])))</f>
        <v>0</v>
      </c>
      <c r="BV44" s="129" t="b">
        <f ca="1">AND(Tbl_ResidentData[[#This Row],[PRN Med Started]]&lt;&gt;"",Tbl_ResidentData[[#This Row],[PRN Med Started]]&lt;=NOW(),Tbl_ResidentData[[#This Row],[PRN Med Started]]&lt;=AX$4,OR(Tbl_ResidentData[[#This Row],[PRN Med Discontinued]]&gt;AX$4,ISBLANK(Tbl_ResidentData[[#This Row],[PRN Med Discontinued]])))</f>
        <v>0</v>
      </c>
      <c r="BW44" s="129" t="b">
        <f ca="1">AND(Tbl_ResidentData[[#This Row],[PRN Med Started]]&lt;&gt;"",Tbl_ResidentData[[#This Row],[PRN Med Started]]&lt;=NOW(),Tbl_ResidentData[[#This Row],[PRN Med Started]]&lt;=AY$4,OR(Tbl_ResidentData[[#This Row],[PRN Med Discontinued]]&gt;AY$4,ISBLANK(Tbl_ResidentData[[#This Row],[PRN Med Discontinued]])))</f>
        <v>0</v>
      </c>
      <c r="BX44" s="129" t="b">
        <f ca="1">AND(Tbl_ResidentData[[#This Row],[PRN Med Started]]&lt;&gt;"",Tbl_ResidentData[[#This Row],[PRN Med Started]]&lt;=NOW(),Tbl_ResidentData[[#This Row],[PRN Med Started]]&lt;=AZ$4,OR(Tbl_ResidentData[[#This Row],[PRN Med Discontinued]]&gt;AZ$4,ISBLANK(Tbl_ResidentData[[#This Row],[PRN Med Discontinued]])))</f>
        <v>0</v>
      </c>
      <c r="BY44" s="129" t="b">
        <f ca="1">AND(Tbl_ResidentData[[#This Row],[PRN Med Started]]&lt;&gt;"",Tbl_ResidentData[[#This Row],[PRN Med Started]]&lt;=NOW(),Tbl_ResidentData[[#This Row],[PRN Med Started]]&lt;=BA$4,OR(Tbl_ResidentData[[#This Row],[PRN Med Discontinued]]&gt;BA$4,ISBLANK(Tbl_ResidentData[[#This Row],[PRN Med Discontinued]])))</f>
        <v>0</v>
      </c>
      <c r="BZ44" s="129" t="b">
        <f ca="1">AND(Tbl_ResidentData[[#This Row],[PRN Med Started]]&lt;&gt;"",Tbl_ResidentData[[#This Row],[PRN Med Started]]&lt;=NOW(),Tbl_ResidentData[[#This Row],[PRN Med Started]]&lt;=BB$4,OR(Tbl_ResidentData[[#This Row],[PRN Med Discontinued]]&gt;BB$4,ISBLANK(Tbl_ResidentData[[#This Row],[PRN Med Discontinued]])))</f>
        <v>0</v>
      </c>
      <c r="CA44" s="129" t="b">
        <f ca="1">AND(Tbl_ResidentData[[#This Row],[PRN Med Started]]&lt;&gt;"",Tbl_ResidentData[[#This Row],[PRN Med Started]]&lt;=NOW(),Tbl_ResidentData[[#This Row],[PRN Med Started]]&lt;=BC$4,OR(Tbl_ResidentData[[#This Row],[PRN Med Discontinued]]&gt;BC$4,ISBLANK(Tbl_ResidentData[[#This Row],[PRN Med Discontinued]])))</f>
        <v>0</v>
      </c>
      <c r="CB44" s="129" t="b">
        <f ca="1">AND(Tbl_ResidentData[[#This Row],[PRN Med Started]]&lt;&gt;"",Tbl_ResidentData[[#This Row],[PRN Med Started]]&lt;=NOW(),Tbl_ResidentData[[#This Row],[PRN Med Started]]&lt;=BD$4,OR(Tbl_ResidentData[[#This Row],[PRN Med Discontinued]]&gt;BD$4,ISBLANK(Tbl_ResidentData[[#This Row],[PRN Med Discontinued]])))</f>
        <v>0</v>
      </c>
      <c r="CC44" s="129" t="b">
        <f ca="1">AND(Tbl_ResidentData[[#This Row],[PRN Med Started]]&lt;&gt;"",Tbl_ResidentData[[#This Row],[PRN Med Started]]&lt;=NOW(),Tbl_ResidentData[[#This Row],[PRN Med Started]]&lt;=BE$4,OR(Tbl_ResidentData[[#This Row],[PRN Med Discontinued]]&gt;BE$4,ISBLANK(Tbl_ResidentData[[#This Row],[PRN Med Discontinued]])))</f>
        <v>0</v>
      </c>
      <c r="CD44" s="129" t="b">
        <f ca="1">AND(Tbl_ResidentData[[#This Row],[PRN Med Started]]&lt;&gt;"",Tbl_ResidentData[[#This Row],[PRN Med Started]]&lt;=NOW(),Tbl_ResidentData[[#This Row],[PRN Med Started]]&lt;=BF$4,OR(Tbl_ResidentData[[#This Row],[PRN Med Discontinued]]&gt;BF$4,ISBLANK(Tbl_ResidentData[[#This Row],[PRN Med Discontinued]])))</f>
        <v>0</v>
      </c>
      <c r="CE44" s="129" t="b">
        <f ca="1">AND(Tbl_ResidentData[[#This Row],[PRN Med Started]]&lt;&gt;"",Tbl_ResidentData[[#This Row],[PRN Med Started]]&lt;=NOW(),Tbl_ResidentData[[#This Row],[PRN Med Started]]&lt;=BG$4,OR(Tbl_ResidentData[[#This Row],[PRN Med Discontinued]]&gt;BG$4,ISBLANK(Tbl_ResidentData[[#This Row],[PRN Med Discontinued]])))</f>
        <v>0</v>
      </c>
      <c r="CF44" s="129" t="b">
        <f ca="1">AND(Tbl_ResidentData[[#This Row],[PRN Med Started]]&lt;&gt;"",Tbl_ResidentData[[#This Row],[PRN Med Started]]&lt;=NOW(),Tbl_ResidentData[[#This Row],[PRN Med Started]]&lt;=BH$4,OR(Tbl_ResidentData[[#This Row],[PRN Med Discontinued]]&gt;BH$4,ISBLANK(Tbl_ResidentData[[#This Row],[PRN Med Discontinued]])))</f>
        <v>0</v>
      </c>
      <c r="CG44" s="129" t="b">
        <f ca="1">AND(Tbl_ResidentData[[#This Row],[PRN Med Started]]&lt;&gt;"",Tbl_ResidentData[[#This Row],[PRN Med Started]]&lt;=NOW(),Tbl_ResidentData[[#This Row],[PRN Med Started]]&lt;=BI$4,OR(Tbl_ResidentData[[#This Row],[PRN Med Discontinued]]&gt;BI$4,ISBLANK(Tbl_ResidentData[[#This Row],[PRN Med Discontinued]])))</f>
        <v>0</v>
      </c>
      <c r="CH44" s="129" t="b">
        <f ca="1">AND(Tbl_ResidentData[[#This Row],[PRN Med Started]]&lt;&gt;"",Tbl_ResidentData[[#This Row],[PRN Med Started]]&lt;=NOW(),Tbl_ResidentData[[#This Row],[PRN Med Started]]&lt;=BJ$4,OR(Tbl_ResidentData[[#This Row],[PRN Med Discontinued]]&gt;BJ$4,ISBLANK(Tbl_ResidentData[[#This Row],[PRN Med Discontinued]])))</f>
        <v>0</v>
      </c>
      <c r="CI44" s="129" t="b">
        <f ca="1">AND(Tbl_ResidentData[[#This Row],[PRN Med Started]]&lt;&gt;"",Tbl_ResidentData[[#This Row],[PRN Med Started]]&lt;=NOW(),Tbl_ResidentData[[#This Row],[PRN Med Started]]&lt;=BK$4,OR(Tbl_ResidentData[[#This Row],[PRN Med Discontinued]]&gt;BK$4,ISBLANK(Tbl_ResidentData[[#This Row],[PRN Med Discontinued]])))</f>
        <v>0</v>
      </c>
      <c r="CJ44" s="129" t="b">
        <f ca="1">AND(Tbl_ResidentData[[#This Row],[PRN Med Started]]&lt;&gt;"",Tbl_ResidentData[[#This Row],[PRN Med Started]]&lt;=NOW(),Tbl_ResidentData[[#This Row],[PRN Med Started]]&lt;=BL$4,OR(Tbl_ResidentData[[#This Row],[PRN Med Discontinued]]&gt;BL$4,ISBLANK(Tbl_ResidentData[[#This Row],[PRN Med Discontinued]])))</f>
        <v>0</v>
      </c>
      <c r="CK44" s="129" t="b">
        <f ca="1">AND(Tbl_ResidentData[[#This Row],[PRN Med Started]]&lt;&gt;"",Tbl_ResidentData[[#This Row],[PRN Med Started]]&lt;=NOW(),Tbl_ResidentData[[#This Row],[PRN Med Started]]&lt;=BM$4,OR(Tbl_ResidentData[[#This Row],[PRN Med Discontinued]]&gt;BM$4,ISBLANK(Tbl_ResidentData[[#This Row],[PRN Med Discontinued]])))</f>
        <v>0</v>
      </c>
      <c r="CL44" s="129" t="b">
        <f ca="1">AND(Tbl_ResidentData[[#This Row],[PRN Med Started]]&lt;&gt;"",Tbl_ResidentData[[#This Row],[PRN Med Started]]&lt;=NOW(),Tbl_ResidentData[[#This Row],[PRN Med Started]]&lt;=BN$4,OR(Tbl_ResidentData[[#This Row],[PRN Med Discontinued]]&gt;BN$4,ISBLANK(Tbl_ResidentData[[#This Row],[PRN Med Discontinued]])))</f>
        <v>0</v>
      </c>
      <c r="CM44" s="121" t="b">
        <f ca="1">AND(Tbl_ResidentData[[#This Row],[PRN Med Started]]&lt;&gt;"",Tbl_ResidentData[[#This Row],[PRN Med Started]]&lt;=NOW(),Tbl_ResidentData[[#This Row],[PRN Med Started]]&lt;=BO$4,OR(Tbl_ResidentData[[#This Row],[PRN Med Discontinued]]&gt;BO$4,ISBLANK(Tbl_ResidentData[[#This Row],[PRN Med Discontinued]])))</f>
        <v>0</v>
      </c>
      <c r="CN44" s="122" t="b">
        <f ca="1">AND(Tbl_ResidentData[[#This Row],[PRN Med Started]]&lt;&gt;"",Tbl_ResidentData[[#This Row],[PRN Med Started]]&lt;=NOW(),Tbl_ResidentData[[#This Row],[PRN Med Started]]&lt;=BP$4,OR(Tbl_ResidentData[[#This Row],[PRN Med Discontinued]]&gt;BP$4,ISBLANK(Tbl_ResidentData[[#This Row],[PRN Med Discontinued]])))</f>
        <v>0</v>
      </c>
      <c r="CO44" s="120">
        <f ca="1">IF(OR(Tbl_ResidentData[[#This Row],[S1]]=TRUE,Tbl_ResidentData[[#This Row],[P1]]=TRUE),1,0)</f>
        <v>0</v>
      </c>
      <c r="CP44" s="121">
        <f ca="1">IF(OR(Tbl_ResidentData[[#This Row],[S2]]=TRUE,Tbl_ResidentData[[#This Row],[P2]]=TRUE),1,0)</f>
        <v>0</v>
      </c>
      <c r="CQ44" s="121">
        <f ca="1">IF(OR(Tbl_ResidentData[[#This Row],[S3]]=TRUE,Tbl_ResidentData[[#This Row],[P3]]=TRUE),1,0)</f>
        <v>0</v>
      </c>
      <c r="CR44" s="130">
        <f ca="1">IF(OR(Tbl_ResidentData[[#This Row],[S4]]=TRUE,Tbl_ResidentData[[#This Row],[P4]]=TRUE),1,0)</f>
        <v>0</v>
      </c>
      <c r="CS44" s="130">
        <f ca="1">IF(OR(Tbl_ResidentData[[#This Row],[S5]]=TRUE,Tbl_ResidentData[[#This Row],[P5]]=TRUE),1,0)</f>
        <v>0</v>
      </c>
      <c r="CT44" s="130">
        <f ca="1">IF(OR(Tbl_ResidentData[[#This Row],[S6]]=TRUE,Tbl_ResidentData[[#This Row],[P6]]=TRUE),1,0)</f>
        <v>0</v>
      </c>
      <c r="CU44" s="130">
        <f ca="1">IF(OR(Tbl_ResidentData[[#This Row],[S7]]=TRUE,Tbl_ResidentData[[#This Row],[P7]]=TRUE),1,0)</f>
        <v>0</v>
      </c>
      <c r="CV44" s="130">
        <f ca="1">IF(OR(Tbl_ResidentData[[#This Row],[S8]]=TRUE,Tbl_ResidentData[[#This Row],[P8]]=TRUE),1,0)</f>
        <v>0</v>
      </c>
      <c r="CW44" s="130">
        <f ca="1">IF(OR(Tbl_ResidentData[[#This Row],[S9]]=TRUE,Tbl_ResidentData[[#This Row],[P9]]=TRUE),1,0)</f>
        <v>0</v>
      </c>
      <c r="CX44" s="130">
        <f ca="1">IF(OR(Tbl_ResidentData[[#This Row],[S10]]=TRUE,Tbl_ResidentData[[#This Row],[P10]]=TRUE),1,0)</f>
        <v>0</v>
      </c>
      <c r="CY44" s="130">
        <f ca="1">IF(OR(Tbl_ResidentData[[#This Row],[S11]]=TRUE,Tbl_ResidentData[[#This Row],[P11]]=TRUE),1,0)</f>
        <v>0</v>
      </c>
      <c r="CZ44" s="130">
        <f ca="1">IF(OR(Tbl_ResidentData[[#This Row],[S12]]=TRUE,Tbl_ResidentData[[#This Row],[P12]]=TRUE),1,0)</f>
        <v>0</v>
      </c>
      <c r="DA44" s="130">
        <f ca="1">IF(OR(Tbl_ResidentData[[#This Row],[S13]]=TRUE,Tbl_ResidentData[[#This Row],[P13]]=TRUE),1,0)</f>
        <v>0</v>
      </c>
      <c r="DB44" s="130">
        <f ca="1">IF(OR(Tbl_ResidentData[[#This Row],[S14]]=TRUE,Tbl_ResidentData[[#This Row],[P14]]=TRUE),1,0)</f>
        <v>0</v>
      </c>
      <c r="DC44" s="130">
        <f ca="1">IF(OR(Tbl_ResidentData[[#This Row],[S15]]=TRUE,Tbl_ResidentData[[#This Row],[P15]]=TRUE),1,0)</f>
        <v>0</v>
      </c>
      <c r="DD44" s="130">
        <f ca="1">IF(OR(Tbl_ResidentData[[#This Row],[S16]]=TRUE,Tbl_ResidentData[[#This Row],[P16]]=TRUE),1,0)</f>
        <v>0</v>
      </c>
      <c r="DE44" s="130">
        <f ca="1">IF(OR(Tbl_ResidentData[[#This Row],[S17]]=TRUE,Tbl_ResidentData[[#This Row],[P17]]=TRUE),1,0)</f>
        <v>0</v>
      </c>
      <c r="DF44" s="130">
        <f ca="1">IF(OR(Tbl_ResidentData[[#This Row],[S18]]=TRUE,Tbl_ResidentData[[#This Row],[P18]]=TRUE),1,0)</f>
        <v>0</v>
      </c>
      <c r="DG44" s="130">
        <f ca="1">IF(OR(Tbl_ResidentData[[#This Row],[S19]]=TRUE,Tbl_ResidentData[[#This Row],[P19]]=TRUE),1,0)</f>
        <v>0</v>
      </c>
      <c r="DH44" s="130">
        <f ca="1">IF(OR(Tbl_ResidentData[[#This Row],[S20]]=TRUE,Tbl_ResidentData[[#This Row],[P20]]=TRUE),1,0)</f>
        <v>0</v>
      </c>
      <c r="DI44" s="130">
        <f ca="1">IF(OR(Tbl_ResidentData[[#This Row],[S21]]=TRUE,Tbl_ResidentData[[#This Row],[P21]]=TRUE),1,0)</f>
        <v>0</v>
      </c>
      <c r="DJ44" s="130">
        <f ca="1">IF(OR(Tbl_ResidentData[[#This Row],[S22]]=TRUE,Tbl_ResidentData[[#This Row],[P22]]=TRUE),1,0)</f>
        <v>0</v>
      </c>
      <c r="DK44" s="130">
        <f ca="1">IF(OR(Tbl_ResidentData[[#This Row],[S23]]=TRUE,Tbl_ResidentData[[#This Row],[P23]]=TRUE),1,0)</f>
        <v>0</v>
      </c>
      <c r="DL44" s="130">
        <f ca="1">IF(OR(Tbl_ResidentData[[#This Row],[S24]]=TRUE,Tbl_ResidentData[[#This Row],[P24]]=TRUE),1,0)</f>
        <v>0</v>
      </c>
      <c r="DM44" s="123" t="str">
        <f ca="1">IFERROR(INDEX($CO$4:$DL$4,MATCH(TRUE,INDEX((Tbl_ResidentData[[#This Row],[Over1]:[Over24]]&lt;&gt;0),0),0)),"")</f>
        <v/>
      </c>
      <c r="DN44" s="133" t="str">
        <f>IFERROR(INDEX(Tbl_PDSAData[Last DRT],MATCH(Tbl_ResidentData[Resident Name '[last, first']],Tbl_PDSAData[Resident Name (last, first)],0)),"")</f>
        <v/>
      </c>
      <c r="DO44" s="222" t="str">
        <f>IFERROR(INDEX(Tbl_PDSAData[Last MR],MATCH(Tbl_ResidentData[Resident Name '[last, first']],Tbl_PDSAData[Resident Name (last, first)],0)),"")</f>
        <v/>
      </c>
    </row>
    <row r="45" spans="1:119" x14ac:dyDescent="0.25">
      <c r="A45" s="179"/>
      <c r="B45" s="180"/>
      <c r="C45" s="180"/>
      <c r="D45" s="218"/>
      <c r="E45" s="179"/>
      <c r="F45" s="181"/>
      <c r="G45" s="181"/>
      <c r="H45" s="182"/>
      <c r="I45" s="185"/>
      <c r="J45" s="387"/>
      <c r="K45" s="178"/>
      <c r="L45" s="388"/>
      <c r="M45" s="185"/>
      <c r="N45" s="386"/>
      <c r="O45" s="178"/>
      <c r="P45" s="388"/>
      <c r="Q45" s="395"/>
      <c r="R45" s="396"/>
      <c r="S45" s="131" t="str">
        <f>IF(ISBLANK(Tbl_ResidentData[[#This Row],[Discharge '[mmm-yyyy']]]),IF(ISBLANK(Tbl_ResidentData[[#This Row],[Enrollment '[mmm-yyyy']]]),"","In Care Home"),"Discharged")</f>
        <v/>
      </c>
      <c r="T45" s="119" t="str">
        <f>IF(ISBLANK(Tbl_ResidentData[[#This Row],[Diagnosis (RAI)]]),IF(ISBLANK(Tbl_ResidentData[[#This Row],[Resident Name '[last, first']]]),"",0),IF(Tbl_ResidentData[[#This Row],[Diagnosis (RAI)]]="Other (see clinical notes)",0,1))</f>
        <v/>
      </c>
      <c r="U45" s="120" t="str">
        <f ca="1">IF(U$4&gt;NOW(),"-",IF(ISBLANK(Tbl_ResidentData[[#This Row],[Enrollment '[mmm-yyyy']]]),"-",AND((Tbl_ResidentData[[#This Row],[Enrollment '[mmm-yyyy']]]&lt;=U$4),IF(ISBLANK(Tbl_ResidentData[[#This Row],[Discharge '[mmm-yyyy']]]),TRUE,(Tbl_ResidentData[[#This Row],[Discharge '[mmm-yyyy']]]&gt;=U$4)))))</f>
        <v>-</v>
      </c>
      <c r="V45" s="121" t="str">
        <f ca="1">IF(V$4&gt;NOW(),"-",IF(ISBLANK(Tbl_ResidentData[[#This Row],[Enrollment '[mmm-yyyy']]]),"-",AND((Tbl_ResidentData[[#This Row],[Enrollment '[mmm-yyyy']]]&lt;=V$4),IF(ISBLANK(Tbl_ResidentData[[#This Row],[Discharge '[mmm-yyyy']]]),TRUE,(Tbl_ResidentData[[#This Row],[Discharge '[mmm-yyyy']]]&gt;=V$4)))))</f>
        <v>-</v>
      </c>
      <c r="W45" s="121" t="str">
        <f ca="1">IF(W$4&gt;NOW(),"-",IF(ISBLANK(Tbl_ResidentData[[#This Row],[Enrollment '[mmm-yyyy']]]),"-",AND((Tbl_ResidentData[[#This Row],[Enrollment '[mmm-yyyy']]]&lt;=W$4),IF(ISBLANK(Tbl_ResidentData[[#This Row],[Discharge '[mmm-yyyy']]]),TRUE,(Tbl_ResidentData[[#This Row],[Discharge '[mmm-yyyy']]]&gt;=W$4)))))</f>
        <v>-</v>
      </c>
      <c r="X45" s="121" t="str">
        <f ca="1">IF(X$4&gt;NOW(),"-",IF(ISBLANK(Tbl_ResidentData[[#This Row],[Enrollment '[mmm-yyyy']]]),"-",AND((Tbl_ResidentData[[#This Row],[Enrollment '[mmm-yyyy']]]&lt;=X$4),IF(ISBLANK(Tbl_ResidentData[[#This Row],[Discharge '[mmm-yyyy']]]),TRUE,(Tbl_ResidentData[[#This Row],[Discharge '[mmm-yyyy']]]&gt;=X$4)))))</f>
        <v>-</v>
      </c>
      <c r="Y45" s="121" t="str">
        <f ca="1">IF(Y$4&gt;NOW(),"-",IF(ISBLANK(Tbl_ResidentData[[#This Row],[Enrollment '[mmm-yyyy']]]),"-",AND((Tbl_ResidentData[[#This Row],[Enrollment '[mmm-yyyy']]]&lt;=Y$4),IF(ISBLANK(Tbl_ResidentData[[#This Row],[Discharge '[mmm-yyyy']]]),TRUE,(Tbl_ResidentData[[#This Row],[Discharge '[mmm-yyyy']]]&gt;=Y$4)))))</f>
        <v>-</v>
      </c>
      <c r="Z45" s="121" t="str">
        <f ca="1">IF(Z$4&gt;NOW(),"-",IF(ISBLANK(Tbl_ResidentData[[#This Row],[Enrollment '[mmm-yyyy']]]),"-",AND((Tbl_ResidentData[[#This Row],[Enrollment '[mmm-yyyy']]]&lt;=Z$4),IF(ISBLANK(Tbl_ResidentData[[#This Row],[Discharge '[mmm-yyyy']]]),TRUE,(Tbl_ResidentData[[#This Row],[Discharge '[mmm-yyyy']]]&gt;=Z$4)))))</f>
        <v>-</v>
      </c>
      <c r="AA45" s="121" t="str">
        <f ca="1">IF(AA$4&gt;NOW(),"-",IF(ISBLANK(Tbl_ResidentData[[#This Row],[Enrollment '[mmm-yyyy']]]),"-",AND((Tbl_ResidentData[[#This Row],[Enrollment '[mmm-yyyy']]]&lt;=AA$4),IF(ISBLANK(Tbl_ResidentData[[#This Row],[Discharge '[mmm-yyyy']]]),TRUE,(Tbl_ResidentData[[#This Row],[Discharge '[mmm-yyyy']]]&gt;=AA$4)))))</f>
        <v>-</v>
      </c>
      <c r="AB45" s="121" t="str">
        <f ca="1">IF(AB$4&gt;NOW(),"-",IF(ISBLANK(Tbl_ResidentData[[#This Row],[Enrollment '[mmm-yyyy']]]),"-",AND((Tbl_ResidentData[[#This Row],[Enrollment '[mmm-yyyy']]]&lt;=AB$4),IF(ISBLANK(Tbl_ResidentData[[#This Row],[Discharge '[mmm-yyyy']]]),TRUE,(Tbl_ResidentData[[#This Row],[Discharge '[mmm-yyyy']]]&gt;=AB$4)))))</f>
        <v>-</v>
      </c>
      <c r="AC45" s="121" t="str">
        <f ca="1">IF(AC$4&gt;NOW(),"-",IF(ISBLANK(Tbl_ResidentData[[#This Row],[Enrollment '[mmm-yyyy']]]),"-",AND((Tbl_ResidentData[[#This Row],[Enrollment '[mmm-yyyy']]]&lt;=AC$4),IF(ISBLANK(Tbl_ResidentData[[#This Row],[Discharge '[mmm-yyyy']]]),TRUE,(Tbl_ResidentData[[#This Row],[Discharge '[mmm-yyyy']]]&gt;=AC$4)))))</f>
        <v>-</v>
      </c>
      <c r="AD45" s="121" t="str">
        <f ca="1">IF(AD$4&gt;NOW(),"-",IF(ISBLANK(Tbl_ResidentData[[#This Row],[Enrollment '[mmm-yyyy']]]),"-",AND((Tbl_ResidentData[[#This Row],[Enrollment '[mmm-yyyy']]]&lt;=AD$4),IF(ISBLANK(Tbl_ResidentData[[#This Row],[Discharge '[mmm-yyyy']]]),TRUE,(Tbl_ResidentData[[#This Row],[Discharge '[mmm-yyyy']]]&gt;=AD$4)))))</f>
        <v>-</v>
      </c>
      <c r="AE45" s="121" t="str">
        <f ca="1">IF(AE$4&gt;NOW(),"-",IF(ISBLANK(Tbl_ResidentData[[#This Row],[Enrollment '[mmm-yyyy']]]),"-",AND((Tbl_ResidentData[[#This Row],[Enrollment '[mmm-yyyy']]]&lt;=AE$4),IF(ISBLANK(Tbl_ResidentData[[#This Row],[Discharge '[mmm-yyyy']]]),TRUE,(Tbl_ResidentData[[#This Row],[Discharge '[mmm-yyyy']]]&gt;=AE$4)))))</f>
        <v>-</v>
      </c>
      <c r="AF45" s="121" t="str">
        <f ca="1">IF(AF$4&gt;NOW(),"-",IF(ISBLANK(Tbl_ResidentData[[#This Row],[Enrollment '[mmm-yyyy']]]),"-",AND((Tbl_ResidentData[[#This Row],[Enrollment '[mmm-yyyy']]]&lt;=AF$4),IF(ISBLANK(Tbl_ResidentData[[#This Row],[Discharge '[mmm-yyyy']]]),TRUE,(Tbl_ResidentData[[#This Row],[Discharge '[mmm-yyyy']]]&gt;=AF$4)))))</f>
        <v>-</v>
      </c>
      <c r="AG45" s="121" t="str">
        <f ca="1">IF(AG$4&gt;NOW(),"-",IF(ISBLANK(Tbl_ResidentData[[#This Row],[Enrollment '[mmm-yyyy']]]),"-",AND((Tbl_ResidentData[[#This Row],[Enrollment '[mmm-yyyy']]]&lt;=AG$4),IF(ISBLANK(Tbl_ResidentData[[#This Row],[Discharge '[mmm-yyyy']]]),TRUE,(Tbl_ResidentData[[#This Row],[Discharge '[mmm-yyyy']]]&gt;=AG$4)))))</f>
        <v>-</v>
      </c>
      <c r="AH45" s="121" t="str">
        <f ca="1">IF(AH$4&gt;NOW(),"-",IF(ISBLANK(Tbl_ResidentData[[#This Row],[Enrollment '[mmm-yyyy']]]),"-",AND((Tbl_ResidentData[[#This Row],[Enrollment '[mmm-yyyy']]]&lt;=AH$4),IF(ISBLANK(Tbl_ResidentData[[#This Row],[Discharge '[mmm-yyyy']]]),TRUE,(Tbl_ResidentData[[#This Row],[Discharge '[mmm-yyyy']]]&gt;=AH$4)))))</f>
        <v>-</v>
      </c>
      <c r="AI45" s="121" t="str">
        <f ca="1">IF(AI$4&gt;NOW(),"-",IF(ISBLANK(Tbl_ResidentData[[#This Row],[Enrollment '[mmm-yyyy']]]),"-",AND((Tbl_ResidentData[[#This Row],[Enrollment '[mmm-yyyy']]]&lt;=AI$4),IF(ISBLANK(Tbl_ResidentData[[#This Row],[Discharge '[mmm-yyyy']]]),TRUE,(Tbl_ResidentData[[#This Row],[Discharge '[mmm-yyyy']]]&gt;=AI$4)))))</f>
        <v>-</v>
      </c>
      <c r="AJ45" s="121" t="str">
        <f ca="1">IF(AJ$4&gt;NOW(),"-",IF(ISBLANK(Tbl_ResidentData[[#This Row],[Enrollment '[mmm-yyyy']]]),"-",AND((Tbl_ResidentData[[#This Row],[Enrollment '[mmm-yyyy']]]&lt;=AJ$4),IF(ISBLANK(Tbl_ResidentData[[#This Row],[Discharge '[mmm-yyyy']]]),TRUE,(Tbl_ResidentData[[#This Row],[Discharge '[mmm-yyyy']]]&gt;=AJ$4)))))</f>
        <v>-</v>
      </c>
      <c r="AK45" s="121" t="str">
        <f ca="1">IF(AK$4&gt;NOW(),"-",IF(ISBLANK(Tbl_ResidentData[[#This Row],[Enrollment '[mmm-yyyy']]]),"-",AND((Tbl_ResidentData[[#This Row],[Enrollment '[mmm-yyyy']]]&lt;=AK$4),IF(ISBLANK(Tbl_ResidentData[[#This Row],[Discharge '[mmm-yyyy']]]),TRUE,(Tbl_ResidentData[[#This Row],[Discharge '[mmm-yyyy']]]&gt;=AK$4)))))</f>
        <v>-</v>
      </c>
      <c r="AL45" s="121" t="str">
        <f ca="1">IF(AL$4&gt;NOW(),"-",IF(ISBLANK(Tbl_ResidentData[[#This Row],[Enrollment '[mmm-yyyy']]]),"-",AND((Tbl_ResidentData[[#This Row],[Enrollment '[mmm-yyyy']]]&lt;=AL$4),IF(ISBLANK(Tbl_ResidentData[[#This Row],[Discharge '[mmm-yyyy']]]),TRUE,(Tbl_ResidentData[[#This Row],[Discharge '[mmm-yyyy']]]&gt;=AL$4)))))</f>
        <v>-</v>
      </c>
      <c r="AM45" s="121" t="str">
        <f ca="1">IF(AM$4&gt;NOW(),"-",IF(ISBLANK(Tbl_ResidentData[[#This Row],[Enrollment '[mmm-yyyy']]]),"-",AND((Tbl_ResidentData[[#This Row],[Enrollment '[mmm-yyyy']]]&lt;=AM$4),IF(ISBLANK(Tbl_ResidentData[[#This Row],[Discharge '[mmm-yyyy']]]),TRUE,(Tbl_ResidentData[[#This Row],[Discharge '[mmm-yyyy']]]&gt;=AM$4)))))</f>
        <v>-</v>
      </c>
      <c r="AN45" s="121" t="str">
        <f ca="1">IF(AN$4&gt;NOW(),"-",IF(ISBLANK(Tbl_ResidentData[[#This Row],[Enrollment '[mmm-yyyy']]]),"-",AND((Tbl_ResidentData[[#This Row],[Enrollment '[mmm-yyyy']]]&lt;=AN$4),IF(ISBLANK(Tbl_ResidentData[[#This Row],[Discharge '[mmm-yyyy']]]),TRUE,(Tbl_ResidentData[[#This Row],[Discharge '[mmm-yyyy']]]&gt;=AN$4)))))</f>
        <v>-</v>
      </c>
      <c r="AO45" s="121" t="str">
        <f ca="1">IF(AO$4&gt;NOW(),"-",IF(ISBLANK(Tbl_ResidentData[[#This Row],[Enrollment '[mmm-yyyy']]]),"-",AND((Tbl_ResidentData[[#This Row],[Enrollment '[mmm-yyyy']]]&lt;=AO$4),IF(ISBLANK(Tbl_ResidentData[[#This Row],[Discharge '[mmm-yyyy']]]),TRUE,(Tbl_ResidentData[[#This Row],[Discharge '[mmm-yyyy']]]&gt;=AO$4)))))</f>
        <v>-</v>
      </c>
      <c r="AP45" s="121" t="str">
        <f ca="1">IF(AP$4&gt;NOW(),"-",IF(ISBLANK(Tbl_ResidentData[[#This Row],[Enrollment '[mmm-yyyy']]]),"-",AND((Tbl_ResidentData[[#This Row],[Enrollment '[mmm-yyyy']]]&lt;=AP$4),IF(ISBLANK(Tbl_ResidentData[[#This Row],[Discharge '[mmm-yyyy']]]),TRUE,(Tbl_ResidentData[[#This Row],[Discharge '[mmm-yyyy']]]&gt;=AP$4)))))</f>
        <v>-</v>
      </c>
      <c r="AQ45" s="121" t="str">
        <f ca="1">IF(AQ$4&gt;NOW(),"-",IF(ISBLANK(Tbl_ResidentData[[#This Row],[Enrollment '[mmm-yyyy']]]),"-",AND((Tbl_ResidentData[[#This Row],[Enrollment '[mmm-yyyy']]]&lt;=AQ$4),IF(ISBLANK(Tbl_ResidentData[[#This Row],[Discharge '[mmm-yyyy']]]),TRUE,(Tbl_ResidentData[[#This Row],[Discharge '[mmm-yyyy']]]&gt;=AQ$4)))))</f>
        <v>-</v>
      </c>
      <c r="AR45" s="122" t="str">
        <f ca="1">IF(AR$4&gt;NOW(),"-",IF(ISBLANK(Tbl_ResidentData[[#This Row],[Enrollment '[mmm-yyyy']]]),"-",AND((Tbl_ResidentData[[#This Row],[Enrollment '[mmm-yyyy']]]&lt;=AR$4),IF(ISBLANK(Tbl_ResidentData[[#This Row],[Discharge '[mmm-yyyy']]]),TRUE,(Tbl_ResidentData[[#This Row],[Discharge '[mmm-yyyy']]]&gt;=AR$4)))))</f>
        <v>-</v>
      </c>
      <c r="AS4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4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4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4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4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4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4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4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4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4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4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4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4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4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4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4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4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4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4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4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4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4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4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4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45" s="120" t="b">
        <f ca="1">AND(Tbl_ResidentData[[#This Row],[PRN Med Started]]&lt;&gt;"",Tbl_ResidentData[[#This Row],[PRN Med Started]]&lt;=NOW(),Tbl_ResidentData[[#This Row],[PRN Med Started]]&lt;=AS$4,OR(Tbl_ResidentData[[#This Row],[PRN Med Discontinued]]&gt;AS$4,ISBLANK(Tbl_ResidentData[[#This Row],[PRN Med Discontinued]])))</f>
        <v>0</v>
      </c>
      <c r="BR45" s="121" t="b">
        <f ca="1">AND(Tbl_ResidentData[[#This Row],[PRN Med Started]]&lt;&gt;"",Tbl_ResidentData[[#This Row],[PRN Med Started]]&lt;=NOW(),Tbl_ResidentData[[#This Row],[PRN Med Started]]&lt;=AT$4,OR(Tbl_ResidentData[[#This Row],[PRN Med Discontinued]]&gt;AT$4,ISBLANK(Tbl_ResidentData[[#This Row],[PRN Med Discontinued]])))</f>
        <v>0</v>
      </c>
      <c r="BS45" s="121" t="b">
        <f ca="1">AND(Tbl_ResidentData[[#This Row],[PRN Med Started]]&lt;&gt;"",Tbl_ResidentData[[#This Row],[PRN Med Started]]&lt;=NOW(),Tbl_ResidentData[[#This Row],[PRN Med Started]]&lt;=AU$4,OR(Tbl_ResidentData[[#This Row],[PRN Med Discontinued]]&gt;AU$4,ISBLANK(Tbl_ResidentData[[#This Row],[PRN Med Discontinued]])))</f>
        <v>0</v>
      </c>
      <c r="BT45" s="121" t="b">
        <f ca="1">AND(Tbl_ResidentData[[#This Row],[PRN Med Started]]&lt;&gt;"",Tbl_ResidentData[[#This Row],[PRN Med Started]]&lt;=NOW(),Tbl_ResidentData[[#This Row],[PRN Med Started]]&lt;=AV$4,OR(Tbl_ResidentData[[#This Row],[PRN Med Discontinued]]&gt;AV$4,ISBLANK(Tbl_ResidentData[[#This Row],[PRN Med Discontinued]])))</f>
        <v>0</v>
      </c>
      <c r="BU45" s="121" t="b">
        <f ca="1">AND(Tbl_ResidentData[[#This Row],[PRN Med Started]]&lt;&gt;"",Tbl_ResidentData[[#This Row],[PRN Med Started]]&lt;=NOW(),Tbl_ResidentData[[#This Row],[PRN Med Started]]&lt;=AW$4,OR(Tbl_ResidentData[[#This Row],[PRN Med Discontinued]]&gt;AW$4,ISBLANK(Tbl_ResidentData[[#This Row],[PRN Med Discontinued]])))</f>
        <v>0</v>
      </c>
      <c r="BV45" s="121" t="b">
        <f ca="1">AND(Tbl_ResidentData[[#This Row],[PRN Med Started]]&lt;&gt;"",Tbl_ResidentData[[#This Row],[PRN Med Started]]&lt;=NOW(),Tbl_ResidentData[[#This Row],[PRN Med Started]]&lt;=AX$4,OR(Tbl_ResidentData[[#This Row],[PRN Med Discontinued]]&gt;AX$4,ISBLANK(Tbl_ResidentData[[#This Row],[PRN Med Discontinued]])))</f>
        <v>0</v>
      </c>
      <c r="BW45" s="121" t="b">
        <f ca="1">AND(Tbl_ResidentData[[#This Row],[PRN Med Started]]&lt;&gt;"",Tbl_ResidentData[[#This Row],[PRN Med Started]]&lt;=NOW(),Tbl_ResidentData[[#This Row],[PRN Med Started]]&lt;=AY$4,OR(Tbl_ResidentData[[#This Row],[PRN Med Discontinued]]&gt;AY$4,ISBLANK(Tbl_ResidentData[[#This Row],[PRN Med Discontinued]])))</f>
        <v>0</v>
      </c>
      <c r="BX45" s="121" t="b">
        <f ca="1">AND(Tbl_ResidentData[[#This Row],[PRN Med Started]]&lt;&gt;"",Tbl_ResidentData[[#This Row],[PRN Med Started]]&lt;=NOW(),Tbl_ResidentData[[#This Row],[PRN Med Started]]&lt;=AZ$4,OR(Tbl_ResidentData[[#This Row],[PRN Med Discontinued]]&gt;AZ$4,ISBLANK(Tbl_ResidentData[[#This Row],[PRN Med Discontinued]])))</f>
        <v>0</v>
      </c>
      <c r="BY45" s="121" t="b">
        <f ca="1">AND(Tbl_ResidentData[[#This Row],[PRN Med Started]]&lt;&gt;"",Tbl_ResidentData[[#This Row],[PRN Med Started]]&lt;=NOW(),Tbl_ResidentData[[#This Row],[PRN Med Started]]&lt;=BA$4,OR(Tbl_ResidentData[[#This Row],[PRN Med Discontinued]]&gt;BA$4,ISBLANK(Tbl_ResidentData[[#This Row],[PRN Med Discontinued]])))</f>
        <v>0</v>
      </c>
      <c r="BZ45" s="121" t="b">
        <f ca="1">AND(Tbl_ResidentData[[#This Row],[PRN Med Started]]&lt;&gt;"",Tbl_ResidentData[[#This Row],[PRN Med Started]]&lt;=NOW(),Tbl_ResidentData[[#This Row],[PRN Med Started]]&lt;=BB$4,OR(Tbl_ResidentData[[#This Row],[PRN Med Discontinued]]&gt;BB$4,ISBLANK(Tbl_ResidentData[[#This Row],[PRN Med Discontinued]])))</f>
        <v>0</v>
      </c>
      <c r="CA45" s="121" t="b">
        <f ca="1">AND(Tbl_ResidentData[[#This Row],[PRN Med Started]]&lt;&gt;"",Tbl_ResidentData[[#This Row],[PRN Med Started]]&lt;=NOW(),Tbl_ResidentData[[#This Row],[PRN Med Started]]&lt;=BC$4,OR(Tbl_ResidentData[[#This Row],[PRN Med Discontinued]]&gt;BC$4,ISBLANK(Tbl_ResidentData[[#This Row],[PRN Med Discontinued]])))</f>
        <v>0</v>
      </c>
      <c r="CB45" s="121" t="b">
        <f ca="1">AND(Tbl_ResidentData[[#This Row],[PRN Med Started]]&lt;&gt;"",Tbl_ResidentData[[#This Row],[PRN Med Started]]&lt;=NOW(),Tbl_ResidentData[[#This Row],[PRN Med Started]]&lt;=BD$4,OR(Tbl_ResidentData[[#This Row],[PRN Med Discontinued]]&gt;BD$4,ISBLANK(Tbl_ResidentData[[#This Row],[PRN Med Discontinued]])))</f>
        <v>0</v>
      </c>
      <c r="CC45" s="121" t="b">
        <f ca="1">AND(Tbl_ResidentData[[#This Row],[PRN Med Started]]&lt;&gt;"",Tbl_ResidentData[[#This Row],[PRN Med Started]]&lt;=NOW(),Tbl_ResidentData[[#This Row],[PRN Med Started]]&lt;=BE$4,OR(Tbl_ResidentData[[#This Row],[PRN Med Discontinued]]&gt;BE$4,ISBLANK(Tbl_ResidentData[[#This Row],[PRN Med Discontinued]])))</f>
        <v>0</v>
      </c>
      <c r="CD45" s="121" t="b">
        <f ca="1">AND(Tbl_ResidentData[[#This Row],[PRN Med Started]]&lt;&gt;"",Tbl_ResidentData[[#This Row],[PRN Med Started]]&lt;=NOW(),Tbl_ResidentData[[#This Row],[PRN Med Started]]&lt;=BF$4,OR(Tbl_ResidentData[[#This Row],[PRN Med Discontinued]]&gt;BF$4,ISBLANK(Tbl_ResidentData[[#This Row],[PRN Med Discontinued]])))</f>
        <v>0</v>
      </c>
      <c r="CE45" s="121" t="b">
        <f ca="1">AND(Tbl_ResidentData[[#This Row],[PRN Med Started]]&lt;&gt;"",Tbl_ResidentData[[#This Row],[PRN Med Started]]&lt;=NOW(),Tbl_ResidentData[[#This Row],[PRN Med Started]]&lt;=BG$4,OR(Tbl_ResidentData[[#This Row],[PRN Med Discontinued]]&gt;BG$4,ISBLANK(Tbl_ResidentData[[#This Row],[PRN Med Discontinued]])))</f>
        <v>0</v>
      </c>
      <c r="CF45" s="121" t="b">
        <f ca="1">AND(Tbl_ResidentData[[#This Row],[PRN Med Started]]&lt;&gt;"",Tbl_ResidentData[[#This Row],[PRN Med Started]]&lt;=NOW(),Tbl_ResidentData[[#This Row],[PRN Med Started]]&lt;=BH$4,OR(Tbl_ResidentData[[#This Row],[PRN Med Discontinued]]&gt;BH$4,ISBLANK(Tbl_ResidentData[[#This Row],[PRN Med Discontinued]])))</f>
        <v>0</v>
      </c>
      <c r="CG45" s="121" t="b">
        <f ca="1">AND(Tbl_ResidentData[[#This Row],[PRN Med Started]]&lt;&gt;"",Tbl_ResidentData[[#This Row],[PRN Med Started]]&lt;=NOW(),Tbl_ResidentData[[#This Row],[PRN Med Started]]&lt;=BI$4,OR(Tbl_ResidentData[[#This Row],[PRN Med Discontinued]]&gt;BI$4,ISBLANK(Tbl_ResidentData[[#This Row],[PRN Med Discontinued]])))</f>
        <v>0</v>
      </c>
      <c r="CH45" s="121" t="b">
        <f ca="1">AND(Tbl_ResidentData[[#This Row],[PRN Med Started]]&lt;&gt;"",Tbl_ResidentData[[#This Row],[PRN Med Started]]&lt;=NOW(),Tbl_ResidentData[[#This Row],[PRN Med Started]]&lt;=BJ$4,OR(Tbl_ResidentData[[#This Row],[PRN Med Discontinued]]&gt;BJ$4,ISBLANK(Tbl_ResidentData[[#This Row],[PRN Med Discontinued]])))</f>
        <v>0</v>
      </c>
      <c r="CI45" s="121" t="b">
        <f ca="1">AND(Tbl_ResidentData[[#This Row],[PRN Med Started]]&lt;&gt;"",Tbl_ResidentData[[#This Row],[PRN Med Started]]&lt;=NOW(),Tbl_ResidentData[[#This Row],[PRN Med Started]]&lt;=BK$4,OR(Tbl_ResidentData[[#This Row],[PRN Med Discontinued]]&gt;BK$4,ISBLANK(Tbl_ResidentData[[#This Row],[PRN Med Discontinued]])))</f>
        <v>0</v>
      </c>
      <c r="CJ45" s="121" t="b">
        <f ca="1">AND(Tbl_ResidentData[[#This Row],[PRN Med Started]]&lt;&gt;"",Tbl_ResidentData[[#This Row],[PRN Med Started]]&lt;=NOW(),Tbl_ResidentData[[#This Row],[PRN Med Started]]&lt;=BL$4,OR(Tbl_ResidentData[[#This Row],[PRN Med Discontinued]]&gt;BL$4,ISBLANK(Tbl_ResidentData[[#This Row],[PRN Med Discontinued]])))</f>
        <v>0</v>
      </c>
      <c r="CK45" s="121" t="b">
        <f ca="1">AND(Tbl_ResidentData[[#This Row],[PRN Med Started]]&lt;&gt;"",Tbl_ResidentData[[#This Row],[PRN Med Started]]&lt;=NOW(),Tbl_ResidentData[[#This Row],[PRN Med Started]]&lt;=BM$4,OR(Tbl_ResidentData[[#This Row],[PRN Med Discontinued]]&gt;BM$4,ISBLANK(Tbl_ResidentData[[#This Row],[PRN Med Discontinued]])))</f>
        <v>0</v>
      </c>
      <c r="CL45" s="121" t="b">
        <f ca="1">AND(Tbl_ResidentData[[#This Row],[PRN Med Started]]&lt;&gt;"",Tbl_ResidentData[[#This Row],[PRN Med Started]]&lt;=NOW(),Tbl_ResidentData[[#This Row],[PRN Med Started]]&lt;=BN$4,OR(Tbl_ResidentData[[#This Row],[PRN Med Discontinued]]&gt;BN$4,ISBLANK(Tbl_ResidentData[[#This Row],[PRN Med Discontinued]])))</f>
        <v>0</v>
      </c>
      <c r="CM45" s="121" t="b">
        <f ca="1">AND(Tbl_ResidentData[[#This Row],[PRN Med Started]]&lt;&gt;"",Tbl_ResidentData[[#This Row],[PRN Med Started]]&lt;=NOW(),Tbl_ResidentData[[#This Row],[PRN Med Started]]&lt;=BO$4,OR(Tbl_ResidentData[[#This Row],[PRN Med Discontinued]]&gt;BO$4,ISBLANK(Tbl_ResidentData[[#This Row],[PRN Med Discontinued]])))</f>
        <v>0</v>
      </c>
      <c r="CN45" s="122" t="b">
        <f ca="1">AND(Tbl_ResidentData[[#This Row],[PRN Med Started]]&lt;&gt;"",Tbl_ResidentData[[#This Row],[PRN Med Started]]&lt;=NOW(),Tbl_ResidentData[[#This Row],[PRN Med Started]]&lt;=BP$4,OR(Tbl_ResidentData[[#This Row],[PRN Med Discontinued]]&gt;BP$4,ISBLANK(Tbl_ResidentData[[#This Row],[PRN Med Discontinued]])))</f>
        <v>0</v>
      </c>
      <c r="CO45" s="120">
        <f ca="1">IF(OR(Tbl_ResidentData[[#This Row],[S1]]=TRUE,Tbl_ResidentData[[#This Row],[P1]]=TRUE),1,0)</f>
        <v>0</v>
      </c>
      <c r="CP45" s="121">
        <f ca="1">IF(OR(Tbl_ResidentData[[#This Row],[S2]]=TRUE,Tbl_ResidentData[[#This Row],[P2]]=TRUE),1,0)</f>
        <v>0</v>
      </c>
      <c r="CQ45" s="121">
        <f ca="1">IF(OR(Tbl_ResidentData[[#This Row],[S3]]=TRUE,Tbl_ResidentData[[#This Row],[P3]]=TRUE),1,0)</f>
        <v>0</v>
      </c>
      <c r="CR45" s="120">
        <f ca="1">IF(OR(Tbl_ResidentData[[#This Row],[S4]]=TRUE,Tbl_ResidentData[[#This Row],[P4]]=TRUE),1,0)</f>
        <v>0</v>
      </c>
      <c r="CS45" s="120">
        <f ca="1">IF(OR(Tbl_ResidentData[[#This Row],[S5]]=TRUE,Tbl_ResidentData[[#This Row],[P5]]=TRUE),1,0)</f>
        <v>0</v>
      </c>
      <c r="CT45" s="120">
        <f ca="1">IF(OR(Tbl_ResidentData[[#This Row],[S6]]=TRUE,Tbl_ResidentData[[#This Row],[P6]]=TRUE),1,0)</f>
        <v>0</v>
      </c>
      <c r="CU45" s="120">
        <f ca="1">IF(OR(Tbl_ResidentData[[#This Row],[S7]]=TRUE,Tbl_ResidentData[[#This Row],[P7]]=TRUE),1,0)</f>
        <v>0</v>
      </c>
      <c r="CV45" s="120">
        <f ca="1">IF(OR(Tbl_ResidentData[[#This Row],[S8]]=TRUE,Tbl_ResidentData[[#This Row],[P8]]=TRUE),1,0)</f>
        <v>0</v>
      </c>
      <c r="CW45" s="120">
        <f ca="1">IF(OR(Tbl_ResidentData[[#This Row],[S9]]=TRUE,Tbl_ResidentData[[#This Row],[P9]]=TRUE),1,0)</f>
        <v>0</v>
      </c>
      <c r="CX45" s="120">
        <f ca="1">IF(OR(Tbl_ResidentData[[#This Row],[S10]]=TRUE,Tbl_ResidentData[[#This Row],[P10]]=TRUE),1,0)</f>
        <v>0</v>
      </c>
      <c r="CY45" s="120">
        <f ca="1">IF(OR(Tbl_ResidentData[[#This Row],[S11]]=TRUE,Tbl_ResidentData[[#This Row],[P11]]=TRUE),1,0)</f>
        <v>0</v>
      </c>
      <c r="CZ45" s="120">
        <f ca="1">IF(OR(Tbl_ResidentData[[#This Row],[S12]]=TRUE,Tbl_ResidentData[[#This Row],[P12]]=TRUE),1,0)</f>
        <v>0</v>
      </c>
      <c r="DA45" s="120">
        <f ca="1">IF(OR(Tbl_ResidentData[[#This Row],[S13]]=TRUE,Tbl_ResidentData[[#This Row],[P13]]=TRUE),1,0)</f>
        <v>0</v>
      </c>
      <c r="DB45" s="120">
        <f ca="1">IF(OR(Tbl_ResidentData[[#This Row],[S14]]=TRUE,Tbl_ResidentData[[#This Row],[P14]]=TRUE),1,0)</f>
        <v>0</v>
      </c>
      <c r="DC45" s="120">
        <f ca="1">IF(OR(Tbl_ResidentData[[#This Row],[S15]]=TRUE,Tbl_ResidentData[[#This Row],[P15]]=TRUE),1,0)</f>
        <v>0</v>
      </c>
      <c r="DD45" s="120">
        <f ca="1">IF(OR(Tbl_ResidentData[[#This Row],[S16]]=TRUE,Tbl_ResidentData[[#This Row],[P16]]=TRUE),1,0)</f>
        <v>0</v>
      </c>
      <c r="DE45" s="120">
        <f ca="1">IF(OR(Tbl_ResidentData[[#This Row],[S17]]=TRUE,Tbl_ResidentData[[#This Row],[P17]]=TRUE),1,0)</f>
        <v>0</v>
      </c>
      <c r="DF45" s="120">
        <f ca="1">IF(OR(Tbl_ResidentData[[#This Row],[S18]]=TRUE,Tbl_ResidentData[[#This Row],[P18]]=TRUE),1,0)</f>
        <v>0</v>
      </c>
      <c r="DG45" s="120">
        <f ca="1">IF(OR(Tbl_ResidentData[[#This Row],[S19]]=TRUE,Tbl_ResidentData[[#This Row],[P19]]=TRUE),1,0)</f>
        <v>0</v>
      </c>
      <c r="DH45" s="120">
        <f ca="1">IF(OR(Tbl_ResidentData[[#This Row],[S20]]=TRUE,Tbl_ResidentData[[#This Row],[P20]]=TRUE),1,0)</f>
        <v>0</v>
      </c>
      <c r="DI45" s="120">
        <f ca="1">IF(OR(Tbl_ResidentData[[#This Row],[S21]]=TRUE,Tbl_ResidentData[[#This Row],[P21]]=TRUE),1,0)</f>
        <v>0</v>
      </c>
      <c r="DJ45" s="120">
        <f ca="1">IF(OR(Tbl_ResidentData[[#This Row],[S22]]=TRUE,Tbl_ResidentData[[#This Row],[P22]]=TRUE),1,0)</f>
        <v>0</v>
      </c>
      <c r="DK45" s="120">
        <f ca="1">IF(OR(Tbl_ResidentData[[#This Row],[S23]]=TRUE,Tbl_ResidentData[[#This Row],[P23]]=TRUE),1,0)</f>
        <v>0</v>
      </c>
      <c r="DL45" s="120">
        <f ca="1">IF(OR(Tbl_ResidentData[[#This Row],[S24]]=TRUE,Tbl_ResidentData[[#This Row],[P24]]=TRUE),1,0)</f>
        <v>0</v>
      </c>
      <c r="DM45" s="123" t="str">
        <f ca="1">IFERROR(INDEX($CO$4:$DL$4,MATCH(TRUE,INDEX((Tbl_ResidentData[[#This Row],[Over1]:[Over24]]&lt;&gt;0),0),0)),"")</f>
        <v/>
      </c>
      <c r="DN45" s="133" t="str">
        <f>IFERROR(INDEX(Tbl_PDSAData[Last DRT],MATCH(Tbl_ResidentData[Resident Name '[last, first']],Tbl_PDSAData[Resident Name (last, first)],0)),"")</f>
        <v/>
      </c>
      <c r="DO45" s="222" t="str">
        <f>IFERROR(INDEX(Tbl_PDSAData[Last MR],MATCH(Tbl_ResidentData[Resident Name '[last, first']],Tbl_PDSAData[Resident Name (last, first)],0)),"")</f>
        <v/>
      </c>
    </row>
    <row r="46" spans="1:119" x14ac:dyDescent="0.25">
      <c r="A46" s="179"/>
      <c r="B46" s="180"/>
      <c r="C46" s="180"/>
      <c r="D46" s="218"/>
      <c r="E46" s="179"/>
      <c r="F46" s="181"/>
      <c r="G46" s="181"/>
      <c r="H46" s="375"/>
      <c r="I46" s="186"/>
      <c r="J46" s="387"/>
      <c r="K46" s="178"/>
      <c r="L46" s="388"/>
      <c r="M46" s="187"/>
      <c r="N46" s="387"/>
      <c r="O46" s="178"/>
      <c r="P46" s="388"/>
      <c r="Q46" s="394"/>
      <c r="R46" s="388"/>
      <c r="S46" s="132" t="str">
        <f>IF(ISBLANK(Tbl_ResidentData[[#This Row],[Discharge '[mmm-yyyy']]]),IF(ISBLANK(Tbl_ResidentData[[#This Row],[Enrollment '[mmm-yyyy']]]),"","In Care Home"),"Discharged")</f>
        <v/>
      </c>
      <c r="T46" s="128" t="str">
        <f>IF(ISBLANK(Tbl_ResidentData[[#This Row],[Diagnosis (RAI)]]),IF(ISBLANK(Tbl_ResidentData[[#This Row],[Resident Name '[last, first']]]),"",0),IF(Tbl_ResidentData[[#This Row],[Diagnosis (RAI)]]="Other (see clinical notes)",0,1))</f>
        <v/>
      </c>
      <c r="U46" s="129" t="str">
        <f ca="1">IF(U$4&gt;NOW(),"-",IF(ISBLANK(Tbl_ResidentData[[#This Row],[Enrollment '[mmm-yyyy']]]),"-",AND((Tbl_ResidentData[[#This Row],[Enrollment '[mmm-yyyy']]]&lt;=U$4),IF(ISBLANK(Tbl_ResidentData[[#This Row],[Discharge '[mmm-yyyy']]]),TRUE,(Tbl_ResidentData[[#This Row],[Discharge '[mmm-yyyy']]]&gt;=U$4)))))</f>
        <v>-</v>
      </c>
      <c r="V46" s="121" t="str">
        <f ca="1">IF(V$4&gt;NOW(),"-",IF(ISBLANK(Tbl_ResidentData[[#This Row],[Enrollment '[mmm-yyyy']]]),"-",AND((Tbl_ResidentData[[#This Row],[Enrollment '[mmm-yyyy']]]&lt;=V$4),IF(ISBLANK(Tbl_ResidentData[[#This Row],[Discharge '[mmm-yyyy']]]),TRUE,(Tbl_ResidentData[[#This Row],[Discharge '[mmm-yyyy']]]&gt;=V$4)))))</f>
        <v>-</v>
      </c>
      <c r="W46" s="121" t="str">
        <f ca="1">IF(W$4&gt;NOW(),"-",IF(ISBLANK(Tbl_ResidentData[[#This Row],[Enrollment '[mmm-yyyy']]]),"-",AND((Tbl_ResidentData[[#This Row],[Enrollment '[mmm-yyyy']]]&lt;=W$4),IF(ISBLANK(Tbl_ResidentData[[#This Row],[Discharge '[mmm-yyyy']]]),TRUE,(Tbl_ResidentData[[#This Row],[Discharge '[mmm-yyyy']]]&gt;=W$4)))))</f>
        <v>-</v>
      </c>
      <c r="X46" s="121" t="str">
        <f ca="1">IF(X$4&gt;NOW(),"-",IF(ISBLANK(Tbl_ResidentData[[#This Row],[Enrollment '[mmm-yyyy']]]),"-",AND((Tbl_ResidentData[[#This Row],[Enrollment '[mmm-yyyy']]]&lt;=X$4),IF(ISBLANK(Tbl_ResidentData[[#This Row],[Discharge '[mmm-yyyy']]]),TRUE,(Tbl_ResidentData[[#This Row],[Discharge '[mmm-yyyy']]]&gt;=X$4)))))</f>
        <v>-</v>
      </c>
      <c r="Y46" s="121" t="str">
        <f ca="1">IF(Y$4&gt;NOW(),"-",IF(ISBLANK(Tbl_ResidentData[[#This Row],[Enrollment '[mmm-yyyy']]]),"-",AND((Tbl_ResidentData[[#This Row],[Enrollment '[mmm-yyyy']]]&lt;=Y$4),IF(ISBLANK(Tbl_ResidentData[[#This Row],[Discharge '[mmm-yyyy']]]),TRUE,(Tbl_ResidentData[[#This Row],[Discharge '[mmm-yyyy']]]&gt;=Y$4)))))</f>
        <v>-</v>
      </c>
      <c r="Z46" s="121" t="str">
        <f ca="1">IF(Z$4&gt;NOW(),"-",IF(ISBLANK(Tbl_ResidentData[[#This Row],[Enrollment '[mmm-yyyy']]]),"-",AND((Tbl_ResidentData[[#This Row],[Enrollment '[mmm-yyyy']]]&lt;=Z$4),IF(ISBLANK(Tbl_ResidentData[[#This Row],[Discharge '[mmm-yyyy']]]),TRUE,(Tbl_ResidentData[[#This Row],[Discharge '[mmm-yyyy']]]&gt;=Z$4)))))</f>
        <v>-</v>
      </c>
      <c r="AA46" s="121" t="str">
        <f ca="1">IF(AA$4&gt;NOW(),"-",IF(ISBLANK(Tbl_ResidentData[[#This Row],[Enrollment '[mmm-yyyy']]]),"-",AND((Tbl_ResidentData[[#This Row],[Enrollment '[mmm-yyyy']]]&lt;=AA$4),IF(ISBLANK(Tbl_ResidentData[[#This Row],[Discharge '[mmm-yyyy']]]),TRUE,(Tbl_ResidentData[[#This Row],[Discharge '[mmm-yyyy']]]&gt;=AA$4)))))</f>
        <v>-</v>
      </c>
      <c r="AB46" s="121" t="str">
        <f ca="1">IF(AB$4&gt;NOW(),"-",IF(ISBLANK(Tbl_ResidentData[[#This Row],[Enrollment '[mmm-yyyy']]]),"-",AND((Tbl_ResidentData[[#This Row],[Enrollment '[mmm-yyyy']]]&lt;=AB$4),IF(ISBLANK(Tbl_ResidentData[[#This Row],[Discharge '[mmm-yyyy']]]),TRUE,(Tbl_ResidentData[[#This Row],[Discharge '[mmm-yyyy']]]&gt;=AB$4)))))</f>
        <v>-</v>
      </c>
      <c r="AC46" s="121" t="str">
        <f ca="1">IF(AC$4&gt;NOW(),"-",IF(ISBLANK(Tbl_ResidentData[[#This Row],[Enrollment '[mmm-yyyy']]]),"-",AND((Tbl_ResidentData[[#This Row],[Enrollment '[mmm-yyyy']]]&lt;=AC$4),IF(ISBLANK(Tbl_ResidentData[[#This Row],[Discharge '[mmm-yyyy']]]),TRUE,(Tbl_ResidentData[[#This Row],[Discharge '[mmm-yyyy']]]&gt;=AC$4)))))</f>
        <v>-</v>
      </c>
      <c r="AD46" s="121" t="str">
        <f ca="1">IF(AD$4&gt;NOW(),"-",IF(ISBLANK(Tbl_ResidentData[[#This Row],[Enrollment '[mmm-yyyy']]]),"-",AND((Tbl_ResidentData[[#This Row],[Enrollment '[mmm-yyyy']]]&lt;=AD$4),IF(ISBLANK(Tbl_ResidentData[[#This Row],[Discharge '[mmm-yyyy']]]),TRUE,(Tbl_ResidentData[[#This Row],[Discharge '[mmm-yyyy']]]&gt;=AD$4)))))</f>
        <v>-</v>
      </c>
      <c r="AE46" s="121" t="str">
        <f ca="1">IF(AE$4&gt;NOW(),"-",IF(ISBLANK(Tbl_ResidentData[[#This Row],[Enrollment '[mmm-yyyy']]]),"-",AND((Tbl_ResidentData[[#This Row],[Enrollment '[mmm-yyyy']]]&lt;=AE$4),IF(ISBLANK(Tbl_ResidentData[[#This Row],[Discharge '[mmm-yyyy']]]),TRUE,(Tbl_ResidentData[[#This Row],[Discharge '[mmm-yyyy']]]&gt;=AE$4)))))</f>
        <v>-</v>
      </c>
      <c r="AF46" s="121" t="str">
        <f ca="1">IF(AF$4&gt;NOW(),"-",IF(ISBLANK(Tbl_ResidentData[[#This Row],[Enrollment '[mmm-yyyy']]]),"-",AND((Tbl_ResidentData[[#This Row],[Enrollment '[mmm-yyyy']]]&lt;=AF$4),IF(ISBLANK(Tbl_ResidentData[[#This Row],[Discharge '[mmm-yyyy']]]),TRUE,(Tbl_ResidentData[[#This Row],[Discharge '[mmm-yyyy']]]&gt;=AF$4)))))</f>
        <v>-</v>
      </c>
      <c r="AG46" s="121" t="str">
        <f ca="1">IF(AG$4&gt;NOW(),"-",IF(ISBLANK(Tbl_ResidentData[[#This Row],[Enrollment '[mmm-yyyy']]]),"-",AND((Tbl_ResidentData[[#This Row],[Enrollment '[mmm-yyyy']]]&lt;=AG$4),IF(ISBLANK(Tbl_ResidentData[[#This Row],[Discharge '[mmm-yyyy']]]),TRUE,(Tbl_ResidentData[[#This Row],[Discharge '[mmm-yyyy']]]&gt;=AG$4)))))</f>
        <v>-</v>
      </c>
      <c r="AH46" s="121" t="str">
        <f ca="1">IF(AH$4&gt;NOW(),"-",IF(ISBLANK(Tbl_ResidentData[[#This Row],[Enrollment '[mmm-yyyy']]]),"-",AND((Tbl_ResidentData[[#This Row],[Enrollment '[mmm-yyyy']]]&lt;=AH$4),IF(ISBLANK(Tbl_ResidentData[[#This Row],[Discharge '[mmm-yyyy']]]),TRUE,(Tbl_ResidentData[[#This Row],[Discharge '[mmm-yyyy']]]&gt;=AH$4)))))</f>
        <v>-</v>
      </c>
      <c r="AI46" s="121" t="str">
        <f ca="1">IF(AI$4&gt;NOW(),"-",IF(ISBLANK(Tbl_ResidentData[[#This Row],[Enrollment '[mmm-yyyy']]]),"-",AND((Tbl_ResidentData[[#This Row],[Enrollment '[mmm-yyyy']]]&lt;=AI$4),IF(ISBLANK(Tbl_ResidentData[[#This Row],[Discharge '[mmm-yyyy']]]),TRUE,(Tbl_ResidentData[[#This Row],[Discharge '[mmm-yyyy']]]&gt;=AI$4)))))</f>
        <v>-</v>
      </c>
      <c r="AJ46" s="121" t="str">
        <f ca="1">IF(AJ$4&gt;NOW(),"-",IF(ISBLANK(Tbl_ResidentData[[#This Row],[Enrollment '[mmm-yyyy']]]),"-",AND((Tbl_ResidentData[[#This Row],[Enrollment '[mmm-yyyy']]]&lt;=AJ$4),IF(ISBLANK(Tbl_ResidentData[[#This Row],[Discharge '[mmm-yyyy']]]),TRUE,(Tbl_ResidentData[[#This Row],[Discharge '[mmm-yyyy']]]&gt;=AJ$4)))))</f>
        <v>-</v>
      </c>
      <c r="AK46" s="121" t="str">
        <f ca="1">IF(AK$4&gt;NOW(),"-",IF(ISBLANK(Tbl_ResidentData[[#This Row],[Enrollment '[mmm-yyyy']]]),"-",AND((Tbl_ResidentData[[#This Row],[Enrollment '[mmm-yyyy']]]&lt;=AK$4),IF(ISBLANK(Tbl_ResidentData[[#This Row],[Discharge '[mmm-yyyy']]]),TRUE,(Tbl_ResidentData[[#This Row],[Discharge '[mmm-yyyy']]]&gt;=AK$4)))))</f>
        <v>-</v>
      </c>
      <c r="AL46" s="121" t="str">
        <f ca="1">IF(AL$4&gt;NOW(),"-",IF(ISBLANK(Tbl_ResidentData[[#This Row],[Enrollment '[mmm-yyyy']]]),"-",AND((Tbl_ResidentData[[#This Row],[Enrollment '[mmm-yyyy']]]&lt;=AL$4),IF(ISBLANK(Tbl_ResidentData[[#This Row],[Discharge '[mmm-yyyy']]]),TRUE,(Tbl_ResidentData[[#This Row],[Discharge '[mmm-yyyy']]]&gt;=AL$4)))))</f>
        <v>-</v>
      </c>
      <c r="AM46" s="121" t="str">
        <f ca="1">IF(AM$4&gt;NOW(),"-",IF(ISBLANK(Tbl_ResidentData[[#This Row],[Enrollment '[mmm-yyyy']]]),"-",AND((Tbl_ResidentData[[#This Row],[Enrollment '[mmm-yyyy']]]&lt;=AM$4),IF(ISBLANK(Tbl_ResidentData[[#This Row],[Discharge '[mmm-yyyy']]]),TRUE,(Tbl_ResidentData[[#This Row],[Discharge '[mmm-yyyy']]]&gt;=AM$4)))))</f>
        <v>-</v>
      </c>
      <c r="AN46" s="121" t="str">
        <f ca="1">IF(AN$4&gt;NOW(),"-",IF(ISBLANK(Tbl_ResidentData[[#This Row],[Enrollment '[mmm-yyyy']]]),"-",AND((Tbl_ResidentData[[#This Row],[Enrollment '[mmm-yyyy']]]&lt;=AN$4),IF(ISBLANK(Tbl_ResidentData[[#This Row],[Discharge '[mmm-yyyy']]]),TRUE,(Tbl_ResidentData[[#This Row],[Discharge '[mmm-yyyy']]]&gt;=AN$4)))))</f>
        <v>-</v>
      </c>
      <c r="AO46" s="121" t="str">
        <f ca="1">IF(AO$4&gt;NOW(),"-",IF(ISBLANK(Tbl_ResidentData[[#This Row],[Enrollment '[mmm-yyyy']]]),"-",AND((Tbl_ResidentData[[#This Row],[Enrollment '[mmm-yyyy']]]&lt;=AO$4),IF(ISBLANK(Tbl_ResidentData[[#This Row],[Discharge '[mmm-yyyy']]]),TRUE,(Tbl_ResidentData[[#This Row],[Discharge '[mmm-yyyy']]]&gt;=AO$4)))))</f>
        <v>-</v>
      </c>
      <c r="AP46" s="121" t="str">
        <f ca="1">IF(AP$4&gt;NOW(),"-",IF(ISBLANK(Tbl_ResidentData[[#This Row],[Enrollment '[mmm-yyyy']]]),"-",AND((Tbl_ResidentData[[#This Row],[Enrollment '[mmm-yyyy']]]&lt;=AP$4),IF(ISBLANK(Tbl_ResidentData[[#This Row],[Discharge '[mmm-yyyy']]]),TRUE,(Tbl_ResidentData[[#This Row],[Discharge '[mmm-yyyy']]]&gt;=AP$4)))))</f>
        <v>-</v>
      </c>
      <c r="AQ46" s="121" t="str">
        <f ca="1">IF(AQ$4&gt;NOW(),"-",IF(ISBLANK(Tbl_ResidentData[[#This Row],[Enrollment '[mmm-yyyy']]]),"-",AND((Tbl_ResidentData[[#This Row],[Enrollment '[mmm-yyyy']]]&lt;=AQ$4),IF(ISBLANK(Tbl_ResidentData[[#This Row],[Discharge '[mmm-yyyy']]]),TRUE,(Tbl_ResidentData[[#This Row],[Discharge '[mmm-yyyy']]]&gt;=AQ$4)))))</f>
        <v>-</v>
      </c>
      <c r="AR46" s="122" t="str">
        <f ca="1">IF(AR$4&gt;NOW(),"-",IF(ISBLANK(Tbl_ResidentData[[#This Row],[Enrollment '[mmm-yyyy']]]),"-",AND((Tbl_ResidentData[[#This Row],[Enrollment '[mmm-yyyy']]]&lt;=AR$4),IF(ISBLANK(Tbl_ResidentData[[#This Row],[Discharge '[mmm-yyyy']]]),TRUE,(Tbl_ResidentData[[#This Row],[Discharge '[mmm-yyyy']]]&gt;=AR$4)))))</f>
        <v>-</v>
      </c>
      <c r="AS4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46"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46"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46"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46"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46"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46"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46"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46"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46"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46"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46"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46"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46"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46"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46"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46"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46"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46"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46"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46"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4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4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4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46" s="120" t="b">
        <f ca="1">AND(Tbl_ResidentData[[#This Row],[PRN Med Started]]&lt;&gt;"",Tbl_ResidentData[[#This Row],[PRN Med Started]]&lt;=NOW(),Tbl_ResidentData[[#This Row],[PRN Med Started]]&lt;=AS$4,OR(Tbl_ResidentData[[#This Row],[PRN Med Discontinued]]&gt;AS$4,ISBLANK(Tbl_ResidentData[[#This Row],[PRN Med Discontinued]])))</f>
        <v>0</v>
      </c>
      <c r="BR46" s="121" t="b">
        <f ca="1">AND(Tbl_ResidentData[[#This Row],[PRN Med Started]]&lt;&gt;"",Tbl_ResidentData[[#This Row],[PRN Med Started]]&lt;=NOW(),Tbl_ResidentData[[#This Row],[PRN Med Started]]&lt;=AT$4,OR(Tbl_ResidentData[[#This Row],[PRN Med Discontinued]]&gt;AT$4,ISBLANK(Tbl_ResidentData[[#This Row],[PRN Med Discontinued]])))</f>
        <v>0</v>
      </c>
      <c r="BS46" s="129" t="b">
        <f ca="1">AND(Tbl_ResidentData[[#This Row],[PRN Med Started]]&lt;&gt;"",Tbl_ResidentData[[#This Row],[PRN Med Started]]&lt;=NOW(),Tbl_ResidentData[[#This Row],[PRN Med Started]]&lt;=AU$4,OR(Tbl_ResidentData[[#This Row],[PRN Med Discontinued]]&gt;AU$4,ISBLANK(Tbl_ResidentData[[#This Row],[PRN Med Discontinued]])))</f>
        <v>0</v>
      </c>
      <c r="BT46" s="129" t="b">
        <f ca="1">AND(Tbl_ResidentData[[#This Row],[PRN Med Started]]&lt;&gt;"",Tbl_ResidentData[[#This Row],[PRN Med Started]]&lt;=NOW(),Tbl_ResidentData[[#This Row],[PRN Med Started]]&lt;=AV$4,OR(Tbl_ResidentData[[#This Row],[PRN Med Discontinued]]&gt;AV$4,ISBLANK(Tbl_ResidentData[[#This Row],[PRN Med Discontinued]])))</f>
        <v>0</v>
      </c>
      <c r="BU46" s="129" t="b">
        <f ca="1">AND(Tbl_ResidentData[[#This Row],[PRN Med Started]]&lt;&gt;"",Tbl_ResidentData[[#This Row],[PRN Med Started]]&lt;=NOW(),Tbl_ResidentData[[#This Row],[PRN Med Started]]&lt;=AW$4,OR(Tbl_ResidentData[[#This Row],[PRN Med Discontinued]]&gt;AW$4,ISBLANK(Tbl_ResidentData[[#This Row],[PRN Med Discontinued]])))</f>
        <v>0</v>
      </c>
      <c r="BV46" s="129" t="b">
        <f ca="1">AND(Tbl_ResidentData[[#This Row],[PRN Med Started]]&lt;&gt;"",Tbl_ResidentData[[#This Row],[PRN Med Started]]&lt;=NOW(),Tbl_ResidentData[[#This Row],[PRN Med Started]]&lt;=AX$4,OR(Tbl_ResidentData[[#This Row],[PRN Med Discontinued]]&gt;AX$4,ISBLANK(Tbl_ResidentData[[#This Row],[PRN Med Discontinued]])))</f>
        <v>0</v>
      </c>
      <c r="BW46" s="129" t="b">
        <f ca="1">AND(Tbl_ResidentData[[#This Row],[PRN Med Started]]&lt;&gt;"",Tbl_ResidentData[[#This Row],[PRN Med Started]]&lt;=NOW(),Tbl_ResidentData[[#This Row],[PRN Med Started]]&lt;=AY$4,OR(Tbl_ResidentData[[#This Row],[PRN Med Discontinued]]&gt;AY$4,ISBLANK(Tbl_ResidentData[[#This Row],[PRN Med Discontinued]])))</f>
        <v>0</v>
      </c>
      <c r="BX46" s="129" t="b">
        <f ca="1">AND(Tbl_ResidentData[[#This Row],[PRN Med Started]]&lt;&gt;"",Tbl_ResidentData[[#This Row],[PRN Med Started]]&lt;=NOW(),Tbl_ResidentData[[#This Row],[PRN Med Started]]&lt;=AZ$4,OR(Tbl_ResidentData[[#This Row],[PRN Med Discontinued]]&gt;AZ$4,ISBLANK(Tbl_ResidentData[[#This Row],[PRN Med Discontinued]])))</f>
        <v>0</v>
      </c>
      <c r="BY46" s="129" t="b">
        <f ca="1">AND(Tbl_ResidentData[[#This Row],[PRN Med Started]]&lt;&gt;"",Tbl_ResidentData[[#This Row],[PRN Med Started]]&lt;=NOW(),Tbl_ResidentData[[#This Row],[PRN Med Started]]&lt;=BA$4,OR(Tbl_ResidentData[[#This Row],[PRN Med Discontinued]]&gt;BA$4,ISBLANK(Tbl_ResidentData[[#This Row],[PRN Med Discontinued]])))</f>
        <v>0</v>
      </c>
      <c r="BZ46" s="129" t="b">
        <f ca="1">AND(Tbl_ResidentData[[#This Row],[PRN Med Started]]&lt;&gt;"",Tbl_ResidentData[[#This Row],[PRN Med Started]]&lt;=NOW(),Tbl_ResidentData[[#This Row],[PRN Med Started]]&lt;=BB$4,OR(Tbl_ResidentData[[#This Row],[PRN Med Discontinued]]&gt;BB$4,ISBLANK(Tbl_ResidentData[[#This Row],[PRN Med Discontinued]])))</f>
        <v>0</v>
      </c>
      <c r="CA46" s="129" t="b">
        <f ca="1">AND(Tbl_ResidentData[[#This Row],[PRN Med Started]]&lt;&gt;"",Tbl_ResidentData[[#This Row],[PRN Med Started]]&lt;=NOW(),Tbl_ResidentData[[#This Row],[PRN Med Started]]&lt;=BC$4,OR(Tbl_ResidentData[[#This Row],[PRN Med Discontinued]]&gt;BC$4,ISBLANK(Tbl_ResidentData[[#This Row],[PRN Med Discontinued]])))</f>
        <v>0</v>
      </c>
      <c r="CB46" s="129" t="b">
        <f ca="1">AND(Tbl_ResidentData[[#This Row],[PRN Med Started]]&lt;&gt;"",Tbl_ResidentData[[#This Row],[PRN Med Started]]&lt;=NOW(),Tbl_ResidentData[[#This Row],[PRN Med Started]]&lt;=BD$4,OR(Tbl_ResidentData[[#This Row],[PRN Med Discontinued]]&gt;BD$4,ISBLANK(Tbl_ResidentData[[#This Row],[PRN Med Discontinued]])))</f>
        <v>0</v>
      </c>
      <c r="CC46" s="129" t="b">
        <f ca="1">AND(Tbl_ResidentData[[#This Row],[PRN Med Started]]&lt;&gt;"",Tbl_ResidentData[[#This Row],[PRN Med Started]]&lt;=NOW(),Tbl_ResidentData[[#This Row],[PRN Med Started]]&lt;=BE$4,OR(Tbl_ResidentData[[#This Row],[PRN Med Discontinued]]&gt;BE$4,ISBLANK(Tbl_ResidentData[[#This Row],[PRN Med Discontinued]])))</f>
        <v>0</v>
      </c>
      <c r="CD46" s="129" t="b">
        <f ca="1">AND(Tbl_ResidentData[[#This Row],[PRN Med Started]]&lt;&gt;"",Tbl_ResidentData[[#This Row],[PRN Med Started]]&lt;=NOW(),Tbl_ResidentData[[#This Row],[PRN Med Started]]&lt;=BF$4,OR(Tbl_ResidentData[[#This Row],[PRN Med Discontinued]]&gt;BF$4,ISBLANK(Tbl_ResidentData[[#This Row],[PRN Med Discontinued]])))</f>
        <v>0</v>
      </c>
      <c r="CE46" s="129" t="b">
        <f ca="1">AND(Tbl_ResidentData[[#This Row],[PRN Med Started]]&lt;&gt;"",Tbl_ResidentData[[#This Row],[PRN Med Started]]&lt;=NOW(),Tbl_ResidentData[[#This Row],[PRN Med Started]]&lt;=BG$4,OR(Tbl_ResidentData[[#This Row],[PRN Med Discontinued]]&gt;BG$4,ISBLANK(Tbl_ResidentData[[#This Row],[PRN Med Discontinued]])))</f>
        <v>0</v>
      </c>
      <c r="CF46" s="129" t="b">
        <f ca="1">AND(Tbl_ResidentData[[#This Row],[PRN Med Started]]&lt;&gt;"",Tbl_ResidentData[[#This Row],[PRN Med Started]]&lt;=NOW(),Tbl_ResidentData[[#This Row],[PRN Med Started]]&lt;=BH$4,OR(Tbl_ResidentData[[#This Row],[PRN Med Discontinued]]&gt;BH$4,ISBLANK(Tbl_ResidentData[[#This Row],[PRN Med Discontinued]])))</f>
        <v>0</v>
      </c>
      <c r="CG46" s="129" t="b">
        <f ca="1">AND(Tbl_ResidentData[[#This Row],[PRN Med Started]]&lt;&gt;"",Tbl_ResidentData[[#This Row],[PRN Med Started]]&lt;=NOW(),Tbl_ResidentData[[#This Row],[PRN Med Started]]&lt;=BI$4,OR(Tbl_ResidentData[[#This Row],[PRN Med Discontinued]]&gt;BI$4,ISBLANK(Tbl_ResidentData[[#This Row],[PRN Med Discontinued]])))</f>
        <v>0</v>
      </c>
      <c r="CH46" s="129" t="b">
        <f ca="1">AND(Tbl_ResidentData[[#This Row],[PRN Med Started]]&lt;&gt;"",Tbl_ResidentData[[#This Row],[PRN Med Started]]&lt;=NOW(),Tbl_ResidentData[[#This Row],[PRN Med Started]]&lt;=BJ$4,OR(Tbl_ResidentData[[#This Row],[PRN Med Discontinued]]&gt;BJ$4,ISBLANK(Tbl_ResidentData[[#This Row],[PRN Med Discontinued]])))</f>
        <v>0</v>
      </c>
      <c r="CI46" s="129" t="b">
        <f ca="1">AND(Tbl_ResidentData[[#This Row],[PRN Med Started]]&lt;&gt;"",Tbl_ResidentData[[#This Row],[PRN Med Started]]&lt;=NOW(),Tbl_ResidentData[[#This Row],[PRN Med Started]]&lt;=BK$4,OR(Tbl_ResidentData[[#This Row],[PRN Med Discontinued]]&gt;BK$4,ISBLANK(Tbl_ResidentData[[#This Row],[PRN Med Discontinued]])))</f>
        <v>0</v>
      </c>
      <c r="CJ46" s="129" t="b">
        <f ca="1">AND(Tbl_ResidentData[[#This Row],[PRN Med Started]]&lt;&gt;"",Tbl_ResidentData[[#This Row],[PRN Med Started]]&lt;=NOW(),Tbl_ResidentData[[#This Row],[PRN Med Started]]&lt;=BL$4,OR(Tbl_ResidentData[[#This Row],[PRN Med Discontinued]]&gt;BL$4,ISBLANK(Tbl_ResidentData[[#This Row],[PRN Med Discontinued]])))</f>
        <v>0</v>
      </c>
      <c r="CK46" s="129" t="b">
        <f ca="1">AND(Tbl_ResidentData[[#This Row],[PRN Med Started]]&lt;&gt;"",Tbl_ResidentData[[#This Row],[PRN Med Started]]&lt;=NOW(),Tbl_ResidentData[[#This Row],[PRN Med Started]]&lt;=BM$4,OR(Tbl_ResidentData[[#This Row],[PRN Med Discontinued]]&gt;BM$4,ISBLANK(Tbl_ResidentData[[#This Row],[PRN Med Discontinued]])))</f>
        <v>0</v>
      </c>
      <c r="CL46" s="129" t="b">
        <f ca="1">AND(Tbl_ResidentData[[#This Row],[PRN Med Started]]&lt;&gt;"",Tbl_ResidentData[[#This Row],[PRN Med Started]]&lt;=NOW(),Tbl_ResidentData[[#This Row],[PRN Med Started]]&lt;=BN$4,OR(Tbl_ResidentData[[#This Row],[PRN Med Discontinued]]&gt;BN$4,ISBLANK(Tbl_ResidentData[[#This Row],[PRN Med Discontinued]])))</f>
        <v>0</v>
      </c>
      <c r="CM46" s="121" t="b">
        <f ca="1">AND(Tbl_ResidentData[[#This Row],[PRN Med Started]]&lt;&gt;"",Tbl_ResidentData[[#This Row],[PRN Med Started]]&lt;=NOW(),Tbl_ResidentData[[#This Row],[PRN Med Started]]&lt;=BO$4,OR(Tbl_ResidentData[[#This Row],[PRN Med Discontinued]]&gt;BO$4,ISBLANK(Tbl_ResidentData[[#This Row],[PRN Med Discontinued]])))</f>
        <v>0</v>
      </c>
      <c r="CN46" s="122" t="b">
        <f ca="1">AND(Tbl_ResidentData[[#This Row],[PRN Med Started]]&lt;&gt;"",Tbl_ResidentData[[#This Row],[PRN Med Started]]&lt;=NOW(),Tbl_ResidentData[[#This Row],[PRN Med Started]]&lt;=BP$4,OR(Tbl_ResidentData[[#This Row],[PRN Med Discontinued]]&gt;BP$4,ISBLANK(Tbl_ResidentData[[#This Row],[PRN Med Discontinued]])))</f>
        <v>0</v>
      </c>
      <c r="CO46" s="120">
        <f ca="1">IF(OR(Tbl_ResidentData[[#This Row],[S1]]=TRUE,Tbl_ResidentData[[#This Row],[P1]]=TRUE),1,0)</f>
        <v>0</v>
      </c>
      <c r="CP46" s="121">
        <f ca="1">IF(OR(Tbl_ResidentData[[#This Row],[S2]]=TRUE,Tbl_ResidentData[[#This Row],[P2]]=TRUE),1,0)</f>
        <v>0</v>
      </c>
      <c r="CQ46" s="121">
        <f ca="1">IF(OR(Tbl_ResidentData[[#This Row],[S3]]=TRUE,Tbl_ResidentData[[#This Row],[P3]]=TRUE),1,0)</f>
        <v>0</v>
      </c>
      <c r="CR46" s="130">
        <f ca="1">IF(OR(Tbl_ResidentData[[#This Row],[S4]]=TRUE,Tbl_ResidentData[[#This Row],[P4]]=TRUE),1,0)</f>
        <v>0</v>
      </c>
      <c r="CS46" s="130">
        <f ca="1">IF(OR(Tbl_ResidentData[[#This Row],[S5]]=TRUE,Tbl_ResidentData[[#This Row],[P5]]=TRUE),1,0)</f>
        <v>0</v>
      </c>
      <c r="CT46" s="130">
        <f ca="1">IF(OR(Tbl_ResidentData[[#This Row],[S6]]=TRUE,Tbl_ResidentData[[#This Row],[P6]]=TRUE),1,0)</f>
        <v>0</v>
      </c>
      <c r="CU46" s="130">
        <f ca="1">IF(OR(Tbl_ResidentData[[#This Row],[S7]]=TRUE,Tbl_ResidentData[[#This Row],[P7]]=TRUE),1,0)</f>
        <v>0</v>
      </c>
      <c r="CV46" s="130">
        <f ca="1">IF(OR(Tbl_ResidentData[[#This Row],[S8]]=TRUE,Tbl_ResidentData[[#This Row],[P8]]=TRUE),1,0)</f>
        <v>0</v>
      </c>
      <c r="CW46" s="130">
        <f ca="1">IF(OR(Tbl_ResidentData[[#This Row],[S9]]=TRUE,Tbl_ResidentData[[#This Row],[P9]]=TRUE),1,0)</f>
        <v>0</v>
      </c>
      <c r="CX46" s="130">
        <f ca="1">IF(OR(Tbl_ResidentData[[#This Row],[S10]]=TRUE,Tbl_ResidentData[[#This Row],[P10]]=TRUE),1,0)</f>
        <v>0</v>
      </c>
      <c r="CY46" s="130">
        <f ca="1">IF(OR(Tbl_ResidentData[[#This Row],[S11]]=TRUE,Tbl_ResidentData[[#This Row],[P11]]=TRUE),1,0)</f>
        <v>0</v>
      </c>
      <c r="CZ46" s="130">
        <f ca="1">IF(OR(Tbl_ResidentData[[#This Row],[S12]]=TRUE,Tbl_ResidentData[[#This Row],[P12]]=TRUE),1,0)</f>
        <v>0</v>
      </c>
      <c r="DA46" s="130">
        <f ca="1">IF(OR(Tbl_ResidentData[[#This Row],[S13]]=TRUE,Tbl_ResidentData[[#This Row],[P13]]=TRUE),1,0)</f>
        <v>0</v>
      </c>
      <c r="DB46" s="130">
        <f ca="1">IF(OR(Tbl_ResidentData[[#This Row],[S14]]=TRUE,Tbl_ResidentData[[#This Row],[P14]]=TRUE),1,0)</f>
        <v>0</v>
      </c>
      <c r="DC46" s="130">
        <f ca="1">IF(OR(Tbl_ResidentData[[#This Row],[S15]]=TRUE,Tbl_ResidentData[[#This Row],[P15]]=TRUE),1,0)</f>
        <v>0</v>
      </c>
      <c r="DD46" s="130">
        <f ca="1">IF(OR(Tbl_ResidentData[[#This Row],[S16]]=TRUE,Tbl_ResidentData[[#This Row],[P16]]=TRUE),1,0)</f>
        <v>0</v>
      </c>
      <c r="DE46" s="130">
        <f ca="1">IF(OR(Tbl_ResidentData[[#This Row],[S17]]=TRUE,Tbl_ResidentData[[#This Row],[P17]]=TRUE),1,0)</f>
        <v>0</v>
      </c>
      <c r="DF46" s="130">
        <f ca="1">IF(OR(Tbl_ResidentData[[#This Row],[S18]]=TRUE,Tbl_ResidentData[[#This Row],[P18]]=TRUE),1,0)</f>
        <v>0</v>
      </c>
      <c r="DG46" s="130">
        <f ca="1">IF(OR(Tbl_ResidentData[[#This Row],[S19]]=TRUE,Tbl_ResidentData[[#This Row],[P19]]=TRUE),1,0)</f>
        <v>0</v>
      </c>
      <c r="DH46" s="130">
        <f ca="1">IF(OR(Tbl_ResidentData[[#This Row],[S20]]=TRUE,Tbl_ResidentData[[#This Row],[P20]]=TRUE),1,0)</f>
        <v>0</v>
      </c>
      <c r="DI46" s="130">
        <f ca="1">IF(OR(Tbl_ResidentData[[#This Row],[S21]]=TRUE,Tbl_ResidentData[[#This Row],[P21]]=TRUE),1,0)</f>
        <v>0</v>
      </c>
      <c r="DJ46" s="130">
        <f ca="1">IF(OR(Tbl_ResidentData[[#This Row],[S22]]=TRUE,Tbl_ResidentData[[#This Row],[P22]]=TRUE),1,0)</f>
        <v>0</v>
      </c>
      <c r="DK46" s="130">
        <f ca="1">IF(OR(Tbl_ResidentData[[#This Row],[S23]]=TRUE,Tbl_ResidentData[[#This Row],[P23]]=TRUE),1,0)</f>
        <v>0</v>
      </c>
      <c r="DL46" s="130">
        <f ca="1">IF(OR(Tbl_ResidentData[[#This Row],[S24]]=TRUE,Tbl_ResidentData[[#This Row],[P24]]=TRUE),1,0)</f>
        <v>0</v>
      </c>
      <c r="DM46" s="123" t="str">
        <f ca="1">IFERROR(INDEX($CO$4:$DL$4,MATCH(TRUE,INDEX((Tbl_ResidentData[[#This Row],[Over1]:[Over24]]&lt;&gt;0),0),0)),"")</f>
        <v/>
      </c>
      <c r="DN46" s="133" t="str">
        <f>IFERROR(INDEX(Tbl_PDSAData[Last DRT],MATCH(Tbl_ResidentData[Resident Name '[last, first']],Tbl_PDSAData[Resident Name (last, first)],0)),"")</f>
        <v/>
      </c>
      <c r="DO46" s="222" t="str">
        <f>IFERROR(INDEX(Tbl_PDSAData[Last MR],MATCH(Tbl_ResidentData[Resident Name '[last, first']],Tbl_PDSAData[Resident Name (last, first)],0)),"")</f>
        <v/>
      </c>
    </row>
    <row r="47" spans="1:119" x14ac:dyDescent="0.25">
      <c r="A47" s="179"/>
      <c r="B47" s="180"/>
      <c r="C47" s="180"/>
      <c r="D47" s="218"/>
      <c r="E47" s="179"/>
      <c r="F47" s="179"/>
      <c r="G47" s="181"/>
      <c r="H47" s="375"/>
      <c r="I47" s="186"/>
      <c r="J47" s="387"/>
      <c r="K47" s="178"/>
      <c r="L47" s="388"/>
      <c r="M47" s="187"/>
      <c r="N47" s="387"/>
      <c r="O47" s="178"/>
      <c r="P47" s="388"/>
      <c r="Q47" s="395"/>
      <c r="R47" s="396"/>
      <c r="S47" s="132" t="str">
        <f>IF(ISBLANK(Tbl_ResidentData[[#This Row],[Discharge '[mmm-yyyy']]]),IF(ISBLANK(Tbl_ResidentData[[#This Row],[Enrollment '[mmm-yyyy']]]),"","In Care Home"),"Discharged")</f>
        <v/>
      </c>
      <c r="T47" s="128" t="str">
        <f>IF(ISBLANK(Tbl_ResidentData[[#This Row],[Diagnosis (RAI)]]),IF(ISBLANK(Tbl_ResidentData[[#This Row],[Resident Name '[last, first']]]),"",0),IF(Tbl_ResidentData[[#This Row],[Diagnosis (RAI)]]="Other (see clinical notes)",0,1))</f>
        <v/>
      </c>
      <c r="U47" s="129" t="str">
        <f ca="1">IF(U$4&gt;NOW(),"-",IF(ISBLANK(Tbl_ResidentData[[#This Row],[Enrollment '[mmm-yyyy']]]),"-",AND((Tbl_ResidentData[[#This Row],[Enrollment '[mmm-yyyy']]]&lt;=U$4),IF(ISBLANK(Tbl_ResidentData[[#This Row],[Discharge '[mmm-yyyy']]]),TRUE,(Tbl_ResidentData[[#This Row],[Discharge '[mmm-yyyy']]]&gt;=U$4)))))</f>
        <v>-</v>
      </c>
      <c r="V47" s="121" t="str">
        <f ca="1">IF(V$4&gt;NOW(),"-",IF(ISBLANK(Tbl_ResidentData[[#This Row],[Enrollment '[mmm-yyyy']]]),"-",AND((Tbl_ResidentData[[#This Row],[Enrollment '[mmm-yyyy']]]&lt;=V$4),IF(ISBLANK(Tbl_ResidentData[[#This Row],[Discharge '[mmm-yyyy']]]),TRUE,(Tbl_ResidentData[[#This Row],[Discharge '[mmm-yyyy']]]&gt;=V$4)))))</f>
        <v>-</v>
      </c>
      <c r="W47" s="121" t="str">
        <f ca="1">IF(W$4&gt;NOW(),"-",IF(ISBLANK(Tbl_ResidentData[[#This Row],[Enrollment '[mmm-yyyy']]]),"-",AND((Tbl_ResidentData[[#This Row],[Enrollment '[mmm-yyyy']]]&lt;=W$4),IF(ISBLANK(Tbl_ResidentData[[#This Row],[Discharge '[mmm-yyyy']]]),TRUE,(Tbl_ResidentData[[#This Row],[Discharge '[mmm-yyyy']]]&gt;=W$4)))))</f>
        <v>-</v>
      </c>
      <c r="X47" s="121" t="str">
        <f ca="1">IF(X$4&gt;NOW(),"-",IF(ISBLANK(Tbl_ResidentData[[#This Row],[Enrollment '[mmm-yyyy']]]),"-",AND((Tbl_ResidentData[[#This Row],[Enrollment '[mmm-yyyy']]]&lt;=X$4),IF(ISBLANK(Tbl_ResidentData[[#This Row],[Discharge '[mmm-yyyy']]]),TRUE,(Tbl_ResidentData[[#This Row],[Discharge '[mmm-yyyy']]]&gt;=X$4)))))</f>
        <v>-</v>
      </c>
      <c r="Y47" s="121" t="str">
        <f ca="1">IF(Y$4&gt;NOW(),"-",IF(ISBLANK(Tbl_ResidentData[[#This Row],[Enrollment '[mmm-yyyy']]]),"-",AND((Tbl_ResidentData[[#This Row],[Enrollment '[mmm-yyyy']]]&lt;=Y$4),IF(ISBLANK(Tbl_ResidentData[[#This Row],[Discharge '[mmm-yyyy']]]),TRUE,(Tbl_ResidentData[[#This Row],[Discharge '[mmm-yyyy']]]&gt;=Y$4)))))</f>
        <v>-</v>
      </c>
      <c r="Z47" s="121" t="str">
        <f ca="1">IF(Z$4&gt;NOW(),"-",IF(ISBLANK(Tbl_ResidentData[[#This Row],[Enrollment '[mmm-yyyy']]]),"-",AND((Tbl_ResidentData[[#This Row],[Enrollment '[mmm-yyyy']]]&lt;=Z$4),IF(ISBLANK(Tbl_ResidentData[[#This Row],[Discharge '[mmm-yyyy']]]),TRUE,(Tbl_ResidentData[[#This Row],[Discharge '[mmm-yyyy']]]&gt;=Z$4)))))</f>
        <v>-</v>
      </c>
      <c r="AA47" s="121" t="str">
        <f ca="1">IF(AA$4&gt;NOW(),"-",IF(ISBLANK(Tbl_ResidentData[[#This Row],[Enrollment '[mmm-yyyy']]]),"-",AND((Tbl_ResidentData[[#This Row],[Enrollment '[mmm-yyyy']]]&lt;=AA$4),IF(ISBLANK(Tbl_ResidentData[[#This Row],[Discharge '[mmm-yyyy']]]),TRUE,(Tbl_ResidentData[[#This Row],[Discharge '[mmm-yyyy']]]&gt;=AA$4)))))</f>
        <v>-</v>
      </c>
      <c r="AB47" s="121" t="str">
        <f ca="1">IF(AB$4&gt;NOW(),"-",IF(ISBLANK(Tbl_ResidentData[[#This Row],[Enrollment '[mmm-yyyy']]]),"-",AND((Tbl_ResidentData[[#This Row],[Enrollment '[mmm-yyyy']]]&lt;=AB$4),IF(ISBLANK(Tbl_ResidentData[[#This Row],[Discharge '[mmm-yyyy']]]),TRUE,(Tbl_ResidentData[[#This Row],[Discharge '[mmm-yyyy']]]&gt;=AB$4)))))</f>
        <v>-</v>
      </c>
      <c r="AC47" s="121" t="str">
        <f ca="1">IF(AC$4&gt;NOW(),"-",IF(ISBLANK(Tbl_ResidentData[[#This Row],[Enrollment '[mmm-yyyy']]]),"-",AND((Tbl_ResidentData[[#This Row],[Enrollment '[mmm-yyyy']]]&lt;=AC$4),IF(ISBLANK(Tbl_ResidentData[[#This Row],[Discharge '[mmm-yyyy']]]),TRUE,(Tbl_ResidentData[[#This Row],[Discharge '[mmm-yyyy']]]&gt;=AC$4)))))</f>
        <v>-</v>
      </c>
      <c r="AD47" s="121" t="str">
        <f ca="1">IF(AD$4&gt;NOW(),"-",IF(ISBLANK(Tbl_ResidentData[[#This Row],[Enrollment '[mmm-yyyy']]]),"-",AND((Tbl_ResidentData[[#This Row],[Enrollment '[mmm-yyyy']]]&lt;=AD$4),IF(ISBLANK(Tbl_ResidentData[[#This Row],[Discharge '[mmm-yyyy']]]),TRUE,(Tbl_ResidentData[[#This Row],[Discharge '[mmm-yyyy']]]&gt;=AD$4)))))</f>
        <v>-</v>
      </c>
      <c r="AE47" s="121" t="str">
        <f ca="1">IF(AE$4&gt;NOW(),"-",IF(ISBLANK(Tbl_ResidentData[[#This Row],[Enrollment '[mmm-yyyy']]]),"-",AND((Tbl_ResidentData[[#This Row],[Enrollment '[mmm-yyyy']]]&lt;=AE$4),IF(ISBLANK(Tbl_ResidentData[[#This Row],[Discharge '[mmm-yyyy']]]),TRUE,(Tbl_ResidentData[[#This Row],[Discharge '[mmm-yyyy']]]&gt;=AE$4)))))</f>
        <v>-</v>
      </c>
      <c r="AF47" s="121" t="str">
        <f ca="1">IF(AF$4&gt;NOW(),"-",IF(ISBLANK(Tbl_ResidentData[[#This Row],[Enrollment '[mmm-yyyy']]]),"-",AND((Tbl_ResidentData[[#This Row],[Enrollment '[mmm-yyyy']]]&lt;=AF$4),IF(ISBLANK(Tbl_ResidentData[[#This Row],[Discharge '[mmm-yyyy']]]),TRUE,(Tbl_ResidentData[[#This Row],[Discharge '[mmm-yyyy']]]&gt;=AF$4)))))</f>
        <v>-</v>
      </c>
      <c r="AG47" s="121" t="str">
        <f ca="1">IF(AG$4&gt;NOW(),"-",IF(ISBLANK(Tbl_ResidentData[[#This Row],[Enrollment '[mmm-yyyy']]]),"-",AND((Tbl_ResidentData[[#This Row],[Enrollment '[mmm-yyyy']]]&lt;=AG$4),IF(ISBLANK(Tbl_ResidentData[[#This Row],[Discharge '[mmm-yyyy']]]),TRUE,(Tbl_ResidentData[[#This Row],[Discharge '[mmm-yyyy']]]&gt;=AG$4)))))</f>
        <v>-</v>
      </c>
      <c r="AH47" s="121" t="str">
        <f ca="1">IF(AH$4&gt;NOW(),"-",IF(ISBLANK(Tbl_ResidentData[[#This Row],[Enrollment '[mmm-yyyy']]]),"-",AND((Tbl_ResidentData[[#This Row],[Enrollment '[mmm-yyyy']]]&lt;=AH$4),IF(ISBLANK(Tbl_ResidentData[[#This Row],[Discharge '[mmm-yyyy']]]),TRUE,(Tbl_ResidentData[[#This Row],[Discharge '[mmm-yyyy']]]&gt;=AH$4)))))</f>
        <v>-</v>
      </c>
      <c r="AI47" s="121" t="str">
        <f ca="1">IF(AI$4&gt;NOW(),"-",IF(ISBLANK(Tbl_ResidentData[[#This Row],[Enrollment '[mmm-yyyy']]]),"-",AND((Tbl_ResidentData[[#This Row],[Enrollment '[mmm-yyyy']]]&lt;=AI$4),IF(ISBLANK(Tbl_ResidentData[[#This Row],[Discharge '[mmm-yyyy']]]),TRUE,(Tbl_ResidentData[[#This Row],[Discharge '[mmm-yyyy']]]&gt;=AI$4)))))</f>
        <v>-</v>
      </c>
      <c r="AJ47" s="121" t="str">
        <f ca="1">IF(AJ$4&gt;NOW(),"-",IF(ISBLANK(Tbl_ResidentData[[#This Row],[Enrollment '[mmm-yyyy']]]),"-",AND((Tbl_ResidentData[[#This Row],[Enrollment '[mmm-yyyy']]]&lt;=AJ$4),IF(ISBLANK(Tbl_ResidentData[[#This Row],[Discharge '[mmm-yyyy']]]),TRUE,(Tbl_ResidentData[[#This Row],[Discharge '[mmm-yyyy']]]&gt;=AJ$4)))))</f>
        <v>-</v>
      </c>
      <c r="AK47" s="121" t="str">
        <f ca="1">IF(AK$4&gt;NOW(),"-",IF(ISBLANK(Tbl_ResidentData[[#This Row],[Enrollment '[mmm-yyyy']]]),"-",AND((Tbl_ResidentData[[#This Row],[Enrollment '[mmm-yyyy']]]&lt;=AK$4),IF(ISBLANK(Tbl_ResidentData[[#This Row],[Discharge '[mmm-yyyy']]]),TRUE,(Tbl_ResidentData[[#This Row],[Discharge '[mmm-yyyy']]]&gt;=AK$4)))))</f>
        <v>-</v>
      </c>
      <c r="AL47" s="121" t="str">
        <f ca="1">IF(AL$4&gt;NOW(),"-",IF(ISBLANK(Tbl_ResidentData[[#This Row],[Enrollment '[mmm-yyyy']]]),"-",AND((Tbl_ResidentData[[#This Row],[Enrollment '[mmm-yyyy']]]&lt;=AL$4),IF(ISBLANK(Tbl_ResidentData[[#This Row],[Discharge '[mmm-yyyy']]]),TRUE,(Tbl_ResidentData[[#This Row],[Discharge '[mmm-yyyy']]]&gt;=AL$4)))))</f>
        <v>-</v>
      </c>
      <c r="AM47" s="121" t="str">
        <f ca="1">IF(AM$4&gt;NOW(),"-",IF(ISBLANK(Tbl_ResidentData[[#This Row],[Enrollment '[mmm-yyyy']]]),"-",AND((Tbl_ResidentData[[#This Row],[Enrollment '[mmm-yyyy']]]&lt;=AM$4),IF(ISBLANK(Tbl_ResidentData[[#This Row],[Discharge '[mmm-yyyy']]]),TRUE,(Tbl_ResidentData[[#This Row],[Discharge '[mmm-yyyy']]]&gt;=AM$4)))))</f>
        <v>-</v>
      </c>
      <c r="AN47" s="121" t="str">
        <f ca="1">IF(AN$4&gt;NOW(),"-",IF(ISBLANK(Tbl_ResidentData[[#This Row],[Enrollment '[mmm-yyyy']]]),"-",AND((Tbl_ResidentData[[#This Row],[Enrollment '[mmm-yyyy']]]&lt;=AN$4),IF(ISBLANK(Tbl_ResidentData[[#This Row],[Discharge '[mmm-yyyy']]]),TRUE,(Tbl_ResidentData[[#This Row],[Discharge '[mmm-yyyy']]]&gt;=AN$4)))))</f>
        <v>-</v>
      </c>
      <c r="AO47" s="121" t="str">
        <f ca="1">IF(AO$4&gt;NOW(),"-",IF(ISBLANK(Tbl_ResidentData[[#This Row],[Enrollment '[mmm-yyyy']]]),"-",AND((Tbl_ResidentData[[#This Row],[Enrollment '[mmm-yyyy']]]&lt;=AO$4),IF(ISBLANK(Tbl_ResidentData[[#This Row],[Discharge '[mmm-yyyy']]]),TRUE,(Tbl_ResidentData[[#This Row],[Discharge '[mmm-yyyy']]]&gt;=AO$4)))))</f>
        <v>-</v>
      </c>
      <c r="AP47" s="121" t="str">
        <f ca="1">IF(AP$4&gt;NOW(),"-",IF(ISBLANK(Tbl_ResidentData[[#This Row],[Enrollment '[mmm-yyyy']]]),"-",AND((Tbl_ResidentData[[#This Row],[Enrollment '[mmm-yyyy']]]&lt;=AP$4),IF(ISBLANK(Tbl_ResidentData[[#This Row],[Discharge '[mmm-yyyy']]]),TRUE,(Tbl_ResidentData[[#This Row],[Discharge '[mmm-yyyy']]]&gt;=AP$4)))))</f>
        <v>-</v>
      </c>
      <c r="AQ47" s="121" t="str">
        <f ca="1">IF(AQ$4&gt;NOW(),"-",IF(ISBLANK(Tbl_ResidentData[[#This Row],[Enrollment '[mmm-yyyy']]]),"-",AND((Tbl_ResidentData[[#This Row],[Enrollment '[mmm-yyyy']]]&lt;=AQ$4),IF(ISBLANK(Tbl_ResidentData[[#This Row],[Discharge '[mmm-yyyy']]]),TRUE,(Tbl_ResidentData[[#This Row],[Discharge '[mmm-yyyy']]]&gt;=AQ$4)))))</f>
        <v>-</v>
      </c>
      <c r="AR47" s="122" t="str">
        <f ca="1">IF(AR$4&gt;NOW(),"-",IF(ISBLANK(Tbl_ResidentData[[#This Row],[Enrollment '[mmm-yyyy']]]),"-",AND((Tbl_ResidentData[[#This Row],[Enrollment '[mmm-yyyy']]]&lt;=AR$4),IF(ISBLANK(Tbl_ResidentData[[#This Row],[Discharge '[mmm-yyyy']]]),TRUE,(Tbl_ResidentData[[#This Row],[Discharge '[mmm-yyyy']]]&gt;=AR$4)))))</f>
        <v>-</v>
      </c>
      <c r="AS4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47"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47"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47"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47"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47"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47"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47"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47"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47"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47"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47"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47"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47"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47"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47"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47"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47"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47"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47"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47"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4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4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4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47" s="120" t="b">
        <f ca="1">AND(Tbl_ResidentData[[#This Row],[PRN Med Started]]&lt;&gt;"",Tbl_ResidentData[[#This Row],[PRN Med Started]]&lt;=NOW(),Tbl_ResidentData[[#This Row],[PRN Med Started]]&lt;=AS$4,OR(Tbl_ResidentData[[#This Row],[PRN Med Discontinued]]&gt;AS$4,ISBLANK(Tbl_ResidentData[[#This Row],[PRN Med Discontinued]])))</f>
        <v>0</v>
      </c>
      <c r="BR47" s="121" t="b">
        <f ca="1">AND(Tbl_ResidentData[[#This Row],[PRN Med Started]]&lt;&gt;"",Tbl_ResidentData[[#This Row],[PRN Med Started]]&lt;=NOW(),Tbl_ResidentData[[#This Row],[PRN Med Started]]&lt;=AT$4,OR(Tbl_ResidentData[[#This Row],[PRN Med Discontinued]]&gt;AT$4,ISBLANK(Tbl_ResidentData[[#This Row],[PRN Med Discontinued]])))</f>
        <v>0</v>
      </c>
      <c r="BS47" s="129" t="b">
        <f ca="1">AND(Tbl_ResidentData[[#This Row],[PRN Med Started]]&lt;&gt;"",Tbl_ResidentData[[#This Row],[PRN Med Started]]&lt;=NOW(),Tbl_ResidentData[[#This Row],[PRN Med Started]]&lt;=AU$4,OR(Tbl_ResidentData[[#This Row],[PRN Med Discontinued]]&gt;AU$4,ISBLANK(Tbl_ResidentData[[#This Row],[PRN Med Discontinued]])))</f>
        <v>0</v>
      </c>
      <c r="BT47" s="129" t="b">
        <f ca="1">AND(Tbl_ResidentData[[#This Row],[PRN Med Started]]&lt;&gt;"",Tbl_ResidentData[[#This Row],[PRN Med Started]]&lt;=NOW(),Tbl_ResidentData[[#This Row],[PRN Med Started]]&lt;=AV$4,OR(Tbl_ResidentData[[#This Row],[PRN Med Discontinued]]&gt;AV$4,ISBLANK(Tbl_ResidentData[[#This Row],[PRN Med Discontinued]])))</f>
        <v>0</v>
      </c>
      <c r="BU47" s="129" t="b">
        <f ca="1">AND(Tbl_ResidentData[[#This Row],[PRN Med Started]]&lt;&gt;"",Tbl_ResidentData[[#This Row],[PRN Med Started]]&lt;=NOW(),Tbl_ResidentData[[#This Row],[PRN Med Started]]&lt;=AW$4,OR(Tbl_ResidentData[[#This Row],[PRN Med Discontinued]]&gt;AW$4,ISBLANK(Tbl_ResidentData[[#This Row],[PRN Med Discontinued]])))</f>
        <v>0</v>
      </c>
      <c r="BV47" s="129" t="b">
        <f ca="1">AND(Tbl_ResidentData[[#This Row],[PRN Med Started]]&lt;&gt;"",Tbl_ResidentData[[#This Row],[PRN Med Started]]&lt;=NOW(),Tbl_ResidentData[[#This Row],[PRN Med Started]]&lt;=AX$4,OR(Tbl_ResidentData[[#This Row],[PRN Med Discontinued]]&gt;AX$4,ISBLANK(Tbl_ResidentData[[#This Row],[PRN Med Discontinued]])))</f>
        <v>0</v>
      </c>
      <c r="BW47" s="129" t="b">
        <f ca="1">AND(Tbl_ResidentData[[#This Row],[PRN Med Started]]&lt;&gt;"",Tbl_ResidentData[[#This Row],[PRN Med Started]]&lt;=NOW(),Tbl_ResidentData[[#This Row],[PRN Med Started]]&lt;=AY$4,OR(Tbl_ResidentData[[#This Row],[PRN Med Discontinued]]&gt;AY$4,ISBLANK(Tbl_ResidentData[[#This Row],[PRN Med Discontinued]])))</f>
        <v>0</v>
      </c>
      <c r="BX47" s="129" t="b">
        <f ca="1">AND(Tbl_ResidentData[[#This Row],[PRN Med Started]]&lt;&gt;"",Tbl_ResidentData[[#This Row],[PRN Med Started]]&lt;=NOW(),Tbl_ResidentData[[#This Row],[PRN Med Started]]&lt;=AZ$4,OR(Tbl_ResidentData[[#This Row],[PRN Med Discontinued]]&gt;AZ$4,ISBLANK(Tbl_ResidentData[[#This Row],[PRN Med Discontinued]])))</f>
        <v>0</v>
      </c>
      <c r="BY47" s="129" t="b">
        <f ca="1">AND(Tbl_ResidentData[[#This Row],[PRN Med Started]]&lt;&gt;"",Tbl_ResidentData[[#This Row],[PRN Med Started]]&lt;=NOW(),Tbl_ResidentData[[#This Row],[PRN Med Started]]&lt;=BA$4,OR(Tbl_ResidentData[[#This Row],[PRN Med Discontinued]]&gt;BA$4,ISBLANK(Tbl_ResidentData[[#This Row],[PRN Med Discontinued]])))</f>
        <v>0</v>
      </c>
      <c r="BZ47" s="129" t="b">
        <f ca="1">AND(Tbl_ResidentData[[#This Row],[PRN Med Started]]&lt;&gt;"",Tbl_ResidentData[[#This Row],[PRN Med Started]]&lt;=NOW(),Tbl_ResidentData[[#This Row],[PRN Med Started]]&lt;=BB$4,OR(Tbl_ResidentData[[#This Row],[PRN Med Discontinued]]&gt;BB$4,ISBLANK(Tbl_ResidentData[[#This Row],[PRN Med Discontinued]])))</f>
        <v>0</v>
      </c>
      <c r="CA47" s="129" t="b">
        <f ca="1">AND(Tbl_ResidentData[[#This Row],[PRN Med Started]]&lt;&gt;"",Tbl_ResidentData[[#This Row],[PRN Med Started]]&lt;=NOW(),Tbl_ResidentData[[#This Row],[PRN Med Started]]&lt;=BC$4,OR(Tbl_ResidentData[[#This Row],[PRN Med Discontinued]]&gt;BC$4,ISBLANK(Tbl_ResidentData[[#This Row],[PRN Med Discontinued]])))</f>
        <v>0</v>
      </c>
      <c r="CB47" s="129" t="b">
        <f ca="1">AND(Tbl_ResidentData[[#This Row],[PRN Med Started]]&lt;&gt;"",Tbl_ResidentData[[#This Row],[PRN Med Started]]&lt;=NOW(),Tbl_ResidentData[[#This Row],[PRN Med Started]]&lt;=BD$4,OR(Tbl_ResidentData[[#This Row],[PRN Med Discontinued]]&gt;BD$4,ISBLANK(Tbl_ResidentData[[#This Row],[PRN Med Discontinued]])))</f>
        <v>0</v>
      </c>
      <c r="CC47" s="129" t="b">
        <f ca="1">AND(Tbl_ResidentData[[#This Row],[PRN Med Started]]&lt;&gt;"",Tbl_ResidentData[[#This Row],[PRN Med Started]]&lt;=NOW(),Tbl_ResidentData[[#This Row],[PRN Med Started]]&lt;=BE$4,OR(Tbl_ResidentData[[#This Row],[PRN Med Discontinued]]&gt;BE$4,ISBLANK(Tbl_ResidentData[[#This Row],[PRN Med Discontinued]])))</f>
        <v>0</v>
      </c>
      <c r="CD47" s="129" t="b">
        <f ca="1">AND(Tbl_ResidentData[[#This Row],[PRN Med Started]]&lt;&gt;"",Tbl_ResidentData[[#This Row],[PRN Med Started]]&lt;=NOW(),Tbl_ResidentData[[#This Row],[PRN Med Started]]&lt;=BF$4,OR(Tbl_ResidentData[[#This Row],[PRN Med Discontinued]]&gt;BF$4,ISBLANK(Tbl_ResidentData[[#This Row],[PRN Med Discontinued]])))</f>
        <v>0</v>
      </c>
      <c r="CE47" s="129" t="b">
        <f ca="1">AND(Tbl_ResidentData[[#This Row],[PRN Med Started]]&lt;&gt;"",Tbl_ResidentData[[#This Row],[PRN Med Started]]&lt;=NOW(),Tbl_ResidentData[[#This Row],[PRN Med Started]]&lt;=BG$4,OR(Tbl_ResidentData[[#This Row],[PRN Med Discontinued]]&gt;BG$4,ISBLANK(Tbl_ResidentData[[#This Row],[PRN Med Discontinued]])))</f>
        <v>0</v>
      </c>
      <c r="CF47" s="129" t="b">
        <f ca="1">AND(Tbl_ResidentData[[#This Row],[PRN Med Started]]&lt;&gt;"",Tbl_ResidentData[[#This Row],[PRN Med Started]]&lt;=NOW(),Tbl_ResidentData[[#This Row],[PRN Med Started]]&lt;=BH$4,OR(Tbl_ResidentData[[#This Row],[PRN Med Discontinued]]&gt;BH$4,ISBLANK(Tbl_ResidentData[[#This Row],[PRN Med Discontinued]])))</f>
        <v>0</v>
      </c>
      <c r="CG47" s="129" t="b">
        <f ca="1">AND(Tbl_ResidentData[[#This Row],[PRN Med Started]]&lt;&gt;"",Tbl_ResidentData[[#This Row],[PRN Med Started]]&lt;=NOW(),Tbl_ResidentData[[#This Row],[PRN Med Started]]&lt;=BI$4,OR(Tbl_ResidentData[[#This Row],[PRN Med Discontinued]]&gt;BI$4,ISBLANK(Tbl_ResidentData[[#This Row],[PRN Med Discontinued]])))</f>
        <v>0</v>
      </c>
      <c r="CH47" s="129" t="b">
        <f ca="1">AND(Tbl_ResidentData[[#This Row],[PRN Med Started]]&lt;&gt;"",Tbl_ResidentData[[#This Row],[PRN Med Started]]&lt;=NOW(),Tbl_ResidentData[[#This Row],[PRN Med Started]]&lt;=BJ$4,OR(Tbl_ResidentData[[#This Row],[PRN Med Discontinued]]&gt;BJ$4,ISBLANK(Tbl_ResidentData[[#This Row],[PRN Med Discontinued]])))</f>
        <v>0</v>
      </c>
      <c r="CI47" s="129" t="b">
        <f ca="1">AND(Tbl_ResidentData[[#This Row],[PRN Med Started]]&lt;&gt;"",Tbl_ResidentData[[#This Row],[PRN Med Started]]&lt;=NOW(),Tbl_ResidentData[[#This Row],[PRN Med Started]]&lt;=BK$4,OR(Tbl_ResidentData[[#This Row],[PRN Med Discontinued]]&gt;BK$4,ISBLANK(Tbl_ResidentData[[#This Row],[PRN Med Discontinued]])))</f>
        <v>0</v>
      </c>
      <c r="CJ47" s="129" t="b">
        <f ca="1">AND(Tbl_ResidentData[[#This Row],[PRN Med Started]]&lt;&gt;"",Tbl_ResidentData[[#This Row],[PRN Med Started]]&lt;=NOW(),Tbl_ResidentData[[#This Row],[PRN Med Started]]&lt;=BL$4,OR(Tbl_ResidentData[[#This Row],[PRN Med Discontinued]]&gt;BL$4,ISBLANK(Tbl_ResidentData[[#This Row],[PRN Med Discontinued]])))</f>
        <v>0</v>
      </c>
      <c r="CK47" s="129" t="b">
        <f ca="1">AND(Tbl_ResidentData[[#This Row],[PRN Med Started]]&lt;&gt;"",Tbl_ResidentData[[#This Row],[PRN Med Started]]&lt;=NOW(),Tbl_ResidentData[[#This Row],[PRN Med Started]]&lt;=BM$4,OR(Tbl_ResidentData[[#This Row],[PRN Med Discontinued]]&gt;BM$4,ISBLANK(Tbl_ResidentData[[#This Row],[PRN Med Discontinued]])))</f>
        <v>0</v>
      </c>
      <c r="CL47" s="129" t="b">
        <f ca="1">AND(Tbl_ResidentData[[#This Row],[PRN Med Started]]&lt;&gt;"",Tbl_ResidentData[[#This Row],[PRN Med Started]]&lt;=NOW(),Tbl_ResidentData[[#This Row],[PRN Med Started]]&lt;=BN$4,OR(Tbl_ResidentData[[#This Row],[PRN Med Discontinued]]&gt;BN$4,ISBLANK(Tbl_ResidentData[[#This Row],[PRN Med Discontinued]])))</f>
        <v>0</v>
      </c>
      <c r="CM47" s="121" t="b">
        <f ca="1">AND(Tbl_ResidentData[[#This Row],[PRN Med Started]]&lt;&gt;"",Tbl_ResidentData[[#This Row],[PRN Med Started]]&lt;=NOW(),Tbl_ResidentData[[#This Row],[PRN Med Started]]&lt;=BO$4,OR(Tbl_ResidentData[[#This Row],[PRN Med Discontinued]]&gt;BO$4,ISBLANK(Tbl_ResidentData[[#This Row],[PRN Med Discontinued]])))</f>
        <v>0</v>
      </c>
      <c r="CN47" s="122" t="b">
        <f ca="1">AND(Tbl_ResidentData[[#This Row],[PRN Med Started]]&lt;&gt;"",Tbl_ResidentData[[#This Row],[PRN Med Started]]&lt;=NOW(),Tbl_ResidentData[[#This Row],[PRN Med Started]]&lt;=BP$4,OR(Tbl_ResidentData[[#This Row],[PRN Med Discontinued]]&gt;BP$4,ISBLANK(Tbl_ResidentData[[#This Row],[PRN Med Discontinued]])))</f>
        <v>0</v>
      </c>
      <c r="CO47" s="120">
        <f ca="1">IF(OR(Tbl_ResidentData[[#This Row],[S1]]=TRUE,Tbl_ResidentData[[#This Row],[P1]]=TRUE),1,0)</f>
        <v>0</v>
      </c>
      <c r="CP47" s="121">
        <f ca="1">IF(OR(Tbl_ResidentData[[#This Row],[S2]]=TRUE,Tbl_ResidentData[[#This Row],[P2]]=TRUE),1,0)</f>
        <v>0</v>
      </c>
      <c r="CQ47" s="121">
        <f ca="1">IF(OR(Tbl_ResidentData[[#This Row],[S3]]=TRUE,Tbl_ResidentData[[#This Row],[P3]]=TRUE),1,0)</f>
        <v>0</v>
      </c>
      <c r="CR47" s="130">
        <f ca="1">IF(OR(Tbl_ResidentData[[#This Row],[S4]]=TRUE,Tbl_ResidentData[[#This Row],[P4]]=TRUE),1,0)</f>
        <v>0</v>
      </c>
      <c r="CS47" s="130">
        <f ca="1">IF(OR(Tbl_ResidentData[[#This Row],[S5]]=TRUE,Tbl_ResidentData[[#This Row],[P5]]=TRUE),1,0)</f>
        <v>0</v>
      </c>
      <c r="CT47" s="130">
        <f ca="1">IF(OR(Tbl_ResidentData[[#This Row],[S6]]=TRUE,Tbl_ResidentData[[#This Row],[P6]]=TRUE),1,0)</f>
        <v>0</v>
      </c>
      <c r="CU47" s="130">
        <f ca="1">IF(OR(Tbl_ResidentData[[#This Row],[S7]]=TRUE,Tbl_ResidentData[[#This Row],[P7]]=TRUE),1,0)</f>
        <v>0</v>
      </c>
      <c r="CV47" s="130">
        <f ca="1">IF(OR(Tbl_ResidentData[[#This Row],[S8]]=TRUE,Tbl_ResidentData[[#This Row],[P8]]=TRUE),1,0)</f>
        <v>0</v>
      </c>
      <c r="CW47" s="130">
        <f ca="1">IF(OR(Tbl_ResidentData[[#This Row],[S9]]=TRUE,Tbl_ResidentData[[#This Row],[P9]]=TRUE),1,0)</f>
        <v>0</v>
      </c>
      <c r="CX47" s="130">
        <f ca="1">IF(OR(Tbl_ResidentData[[#This Row],[S10]]=TRUE,Tbl_ResidentData[[#This Row],[P10]]=TRUE),1,0)</f>
        <v>0</v>
      </c>
      <c r="CY47" s="130">
        <f ca="1">IF(OR(Tbl_ResidentData[[#This Row],[S11]]=TRUE,Tbl_ResidentData[[#This Row],[P11]]=TRUE),1,0)</f>
        <v>0</v>
      </c>
      <c r="CZ47" s="130">
        <f ca="1">IF(OR(Tbl_ResidentData[[#This Row],[S12]]=TRUE,Tbl_ResidentData[[#This Row],[P12]]=TRUE),1,0)</f>
        <v>0</v>
      </c>
      <c r="DA47" s="130">
        <f ca="1">IF(OR(Tbl_ResidentData[[#This Row],[S13]]=TRUE,Tbl_ResidentData[[#This Row],[P13]]=TRUE),1,0)</f>
        <v>0</v>
      </c>
      <c r="DB47" s="130">
        <f ca="1">IF(OR(Tbl_ResidentData[[#This Row],[S14]]=TRUE,Tbl_ResidentData[[#This Row],[P14]]=TRUE),1,0)</f>
        <v>0</v>
      </c>
      <c r="DC47" s="130">
        <f ca="1">IF(OR(Tbl_ResidentData[[#This Row],[S15]]=TRUE,Tbl_ResidentData[[#This Row],[P15]]=TRUE),1,0)</f>
        <v>0</v>
      </c>
      <c r="DD47" s="130">
        <f ca="1">IF(OR(Tbl_ResidentData[[#This Row],[S16]]=TRUE,Tbl_ResidentData[[#This Row],[P16]]=TRUE),1,0)</f>
        <v>0</v>
      </c>
      <c r="DE47" s="130">
        <f ca="1">IF(OR(Tbl_ResidentData[[#This Row],[S17]]=TRUE,Tbl_ResidentData[[#This Row],[P17]]=TRUE),1,0)</f>
        <v>0</v>
      </c>
      <c r="DF47" s="130">
        <f ca="1">IF(OR(Tbl_ResidentData[[#This Row],[S18]]=TRUE,Tbl_ResidentData[[#This Row],[P18]]=TRUE),1,0)</f>
        <v>0</v>
      </c>
      <c r="DG47" s="130">
        <f ca="1">IF(OR(Tbl_ResidentData[[#This Row],[S19]]=TRUE,Tbl_ResidentData[[#This Row],[P19]]=TRUE),1,0)</f>
        <v>0</v>
      </c>
      <c r="DH47" s="130">
        <f ca="1">IF(OR(Tbl_ResidentData[[#This Row],[S20]]=TRUE,Tbl_ResidentData[[#This Row],[P20]]=TRUE),1,0)</f>
        <v>0</v>
      </c>
      <c r="DI47" s="130">
        <f ca="1">IF(OR(Tbl_ResidentData[[#This Row],[S21]]=TRUE,Tbl_ResidentData[[#This Row],[P21]]=TRUE),1,0)</f>
        <v>0</v>
      </c>
      <c r="DJ47" s="130">
        <f ca="1">IF(OR(Tbl_ResidentData[[#This Row],[S22]]=TRUE,Tbl_ResidentData[[#This Row],[P22]]=TRUE),1,0)</f>
        <v>0</v>
      </c>
      <c r="DK47" s="130">
        <f ca="1">IF(OR(Tbl_ResidentData[[#This Row],[S23]]=TRUE,Tbl_ResidentData[[#This Row],[P23]]=TRUE),1,0)</f>
        <v>0</v>
      </c>
      <c r="DL47" s="130">
        <f ca="1">IF(OR(Tbl_ResidentData[[#This Row],[S24]]=TRUE,Tbl_ResidentData[[#This Row],[P24]]=TRUE),1,0)</f>
        <v>0</v>
      </c>
      <c r="DM47" s="123" t="str">
        <f ca="1">IFERROR(INDEX($CO$4:$DL$4,MATCH(TRUE,INDEX((Tbl_ResidentData[[#This Row],[Over1]:[Over24]]&lt;&gt;0),0),0)),"")</f>
        <v/>
      </c>
      <c r="DN47" s="133" t="str">
        <f>IFERROR(INDEX(Tbl_PDSAData[Last DRT],MATCH(Tbl_ResidentData[Resident Name '[last, first']],Tbl_PDSAData[Resident Name (last, first)],0)),"")</f>
        <v/>
      </c>
      <c r="DO47" s="222" t="str">
        <f>IFERROR(INDEX(Tbl_PDSAData[Last MR],MATCH(Tbl_ResidentData[Resident Name '[last, first']],Tbl_PDSAData[Resident Name (last, first)],0)),"")</f>
        <v/>
      </c>
    </row>
    <row r="48" spans="1:119" x14ac:dyDescent="0.25">
      <c r="A48" s="179"/>
      <c r="B48" s="180"/>
      <c r="C48" s="180"/>
      <c r="D48" s="218"/>
      <c r="E48" s="179"/>
      <c r="F48" s="179"/>
      <c r="G48" s="181"/>
      <c r="H48" s="182"/>
      <c r="I48" s="186"/>
      <c r="J48" s="387"/>
      <c r="K48" s="178"/>
      <c r="L48" s="388"/>
      <c r="M48" s="187"/>
      <c r="N48" s="387"/>
      <c r="O48" s="178"/>
      <c r="P48" s="388"/>
      <c r="Q48" s="394"/>
      <c r="R48" s="388"/>
      <c r="S48" s="132" t="str">
        <f>IF(ISBLANK(Tbl_ResidentData[[#This Row],[Discharge '[mmm-yyyy']]]),IF(ISBLANK(Tbl_ResidentData[[#This Row],[Enrollment '[mmm-yyyy']]]),"","In Care Home"),"Discharged")</f>
        <v/>
      </c>
      <c r="T48" s="128" t="str">
        <f>IF(ISBLANK(Tbl_ResidentData[[#This Row],[Diagnosis (RAI)]]),IF(ISBLANK(Tbl_ResidentData[[#This Row],[Resident Name '[last, first']]]),"",0),IF(Tbl_ResidentData[[#This Row],[Diagnosis (RAI)]]="Other (see clinical notes)",0,1))</f>
        <v/>
      </c>
      <c r="U48" s="129" t="str">
        <f ca="1">IF(U$4&gt;NOW(),"-",IF(ISBLANK(Tbl_ResidentData[[#This Row],[Enrollment '[mmm-yyyy']]]),"-",AND((Tbl_ResidentData[[#This Row],[Enrollment '[mmm-yyyy']]]&lt;=U$4),IF(ISBLANK(Tbl_ResidentData[[#This Row],[Discharge '[mmm-yyyy']]]),TRUE,(Tbl_ResidentData[[#This Row],[Discharge '[mmm-yyyy']]]&gt;=U$4)))))</f>
        <v>-</v>
      </c>
      <c r="V48" s="121" t="str">
        <f ca="1">IF(V$4&gt;NOW(),"-",IF(ISBLANK(Tbl_ResidentData[[#This Row],[Enrollment '[mmm-yyyy']]]),"-",AND((Tbl_ResidentData[[#This Row],[Enrollment '[mmm-yyyy']]]&lt;=V$4),IF(ISBLANK(Tbl_ResidentData[[#This Row],[Discharge '[mmm-yyyy']]]),TRUE,(Tbl_ResidentData[[#This Row],[Discharge '[mmm-yyyy']]]&gt;=V$4)))))</f>
        <v>-</v>
      </c>
      <c r="W48" s="121" t="str">
        <f ca="1">IF(W$4&gt;NOW(),"-",IF(ISBLANK(Tbl_ResidentData[[#This Row],[Enrollment '[mmm-yyyy']]]),"-",AND((Tbl_ResidentData[[#This Row],[Enrollment '[mmm-yyyy']]]&lt;=W$4),IF(ISBLANK(Tbl_ResidentData[[#This Row],[Discharge '[mmm-yyyy']]]),TRUE,(Tbl_ResidentData[[#This Row],[Discharge '[mmm-yyyy']]]&gt;=W$4)))))</f>
        <v>-</v>
      </c>
      <c r="X48" s="121" t="str">
        <f ca="1">IF(X$4&gt;NOW(),"-",IF(ISBLANK(Tbl_ResidentData[[#This Row],[Enrollment '[mmm-yyyy']]]),"-",AND((Tbl_ResidentData[[#This Row],[Enrollment '[mmm-yyyy']]]&lt;=X$4),IF(ISBLANK(Tbl_ResidentData[[#This Row],[Discharge '[mmm-yyyy']]]),TRUE,(Tbl_ResidentData[[#This Row],[Discharge '[mmm-yyyy']]]&gt;=X$4)))))</f>
        <v>-</v>
      </c>
      <c r="Y48" s="121" t="str">
        <f ca="1">IF(Y$4&gt;NOW(),"-",IF(ISBLANK(Tbl_ResidentData[[#This Row],[Enrollment '[mmm-yyyy']]]),"-",AND((Tbl_ResidentData[[#This Row],[Enrollment '[mmm-yyyy']]]&lt;=Y$4),IF(ISBLANK(Tbl_ResidentData[[#This Row],[Discharge '[mmm-yyyy']]]),TRUE,(Tbl_ResidentData[[#This Row],[Discharge '[mmm-yyyy']]]&gt;=Y$4)))))</f>
        <v>-</v>
      </c>
      <c r="Z48" s="121" t="str">
        <f ca="1">IF(Z$4&gt;NOW(),"-",IF(ISBLANK(Tbl_ResidentData[[#This Row],[Enrollment '[mmm-yyyy']]]),"-",AND((Tbl_ResidentData[[#This Row],[Enrollment '[mmm-yyyy']]]&lt;=Z$4),IF(ISBLANK(Tbl_ResidentData[[#This Row],[Discharge '[mmm-yyyy']]]),TRUE,(Tbl_ResidentData[[#This Row],[Discharge '[mmm-yyyy']]]&gt;=Z$4)))))</f>
        <v>-</v>
      </c>
      <c r="AA48" s="121" t="str">
        <f ca="1">IF(AA$4&gt;NOW(),"-",IF(ISBLANK(Tbl_ResidentData[[#This Row],[Enrollment '[mmm-yyyy']]]),"-",AND((Tbl_ResidentData[[#This Row],[Enrollment '[mmm-yyyy']]]&lt;=AA$4),IF(ISBLANK(Tbl_ResidentData[[#This Row],[Discharge '[mmm-yyyy']]]),TRUE,(Tbl_ResidentData[[#This Row],[Discharge '[mmm-yyyy']]]&gt;=AA$4)))))</f>
        <v>-</v>
      </c>
      <c r="AB48" s="121" t="str">
        <f ca="1">IF(AB$4&gt;NOW(),"-",IF(ISBLANK(Tbl_ResidentData[[#This Row],[Enrollment '[mmm-yyyy']]]),"-",AND((Tbl_ResidentData[[#This Row],[Enrollment '[mmm-yyyy']]]&lt;=AB$4),IF(ISBLANK(Tbl_ResidentData[[#This Row],[Discharge '[mmm-yyyy']]]),TRUE,(Tbl_ResidentData[[#This Row],[Discharge '[mmm-yyyy']]]&gt;=AB$4)))))</f>
        <v>-</v>
      </c>
      <c r="AC48" s="121" t="str">
        <f ca="1">IF(AC$4&gt;NOW(),"-",IF(ISBLANK(Tbl_ResidentData[[#This Row],[Enrollment '[mmm-yyyy']]]),"-",AND((Tbl_ResidentData[[#This Row],[Enrollment '[mmm-yyyy']]]&lt;=AC$4),IF(ISBLANK(Tbl_ResidentData[[#This Row],[Discharge '[mmm-yyyy']]]),TRUE,(Tbl_ResidentData[[#This Row],[Discharge '[mmm-yyyy']]]&gt;=AC$4)))))</f>
        <v>-</v>
      </c>
      <c r="AD48" s="121" t="str">
        <f ca="1">IF(AD$4&gt;NOW(),"-",IF(ISBLANK(Tbl_ResidentData[[#This Row],[Enrollment '[mmm-yyyy']]]),"-",AND((Tbl_ResidentData[[#This Row],[Enrollment '[mmm-yyyy']]]&lt;=AD$4),IF(ISBLANK(Tbl_ResidentData[[#This Row],[Discharge '[mmm-yyyy']]]),TRUE,(Tbl_ResidentData[[#This Row],[Discharge '[mmm-yyyy']]]&gt;=AD$4)))))</f>
        <v>-</v>
      </c>
      <c r="AE48" s="121" t="str">
        <f ca="1">IF(AE$4&gt;NOW(),"-",IF(ISBLANK(Tbl_ResidentData[[#This Row],[Enrollment '[mmm-yyyy']]]),"-",AND((Tbl_ResidentData[[#This Row],[Enrollment '[mmm-yyyy']]]&lt;=AE$4),IF(ISBLANK(Tbl_ResidentData[[#This Row],[Discharge '[mmm-yyyy']]]),TRUE,(Tbl_ResidentData[[#This Row],[Discharge '[mmm-yyyy']]]&gt;=AE$4)))))</f>
        <v>-</v>
      </c>
      <c r="AF48" s="121" t="str">
        <f ca="1">IF(AF$4&gt;NOW(),"-",IF(ISBLANK(Tbl_ResidentData[[#This Row],[Enrollment '[mmm-yyyy']]]),"-",AND((Tbl_ResidentData[[#This Row],[Enrollment '[mmm-yyyy']]]&lt;=AF$4),IF(ISBLANK(Tbl_ResidentData[[#This Row],[Discharge '[mmm-yyyy']]]),TRUE,(Tbl_ResidentData[[#This Row],[Discharge '[mmm-yyyy']]]&gt;=AF$4)))))</f>
        <v>-</v>
      </c>
      <c r="AG48" s="121" t="str">
        <f ca="1">IF(AG$4&gt;NOW(),"-",IF(ISBLANK(Tbl_ResidentData[[#This Row],[Enrollment '[mmm-yyyy']]]),"-",AND((Tbl_ResidentData[[#This Row],[Enrollment '[mmm-yyyy']]]&lt;=AG$4),IF(ISBLANK(Tbl_ResidentData[[#This Row],[Discharge '[mmm-yyyy']]]),TRUE,(Tbl_ResidentData[[#This Row],[Discharge '[mmm-yyyy']]]&gt;=AG$4)))))</f>
        <v>-</v>
      </c>
      <c r="AH48" s="121" t="str">
        <f ca="1">IF(AH$4&gt;NOW(),"-",IF(ISBLANK(Tbl_ResidentData[[#This Row],[Enrollment '[mmm-yyyy']]]),"-",AND((Tbl_ResidentData[[#This Row],[Enrollment '[mmm-yyyy']]]&lt;=AH$4),IF(ISBLANK(Tbl_ResidentData[[#This Row],[Discharge '[mmm-yyyy']]]),TRUE,(Tbl_ResidentData[[#This Row],[Discharge '[mmm-yyyy']]]&gt;=AH$4)))))</f>
        <v>-</v>
      </c>
      <c r="AI48" s="121" t="str">
        <f ca="1">IF(AI$4&gt;NOW(),"-",IF(ISBLANK(Tbl_ResidentData[[#This Row],[Enrollment '[mmm-yyyy']]]),"-",AND((Tbl_ResidentData[[#This Row],[Enrollment '[mmm-yyyy']]]&lt;=AI$4),IF(ISBLANK(Tbl_ResidentData[[#This Row],[Discharge '[mmm-yyyy']]]),TRUE,(Tbl_ResidentData[[#This Row],[Discharge '[mmm-yyyy']]]&gt;=AI$4)))))</f>
        <v>-</v>
      </c>
      <c r="AJ48" s="121" t="str">
        <f ca="1">IF(AJ$4&gt;NOW(),"-",IF(ISBLANK(Tbl_ResidentData[[#This Row],[Enrollment '[mmm-yyyy']]]),"-",AND((Tbl_ResidentData[[#This Row],[Enrollment '[mmm-yyyy']]]&lt;=AJ$4),IF(ISBLANK(Tbl_ResidentData[[#This Row],[Discharge '[mmm-yyyy']]]),TRUE,(Tbl_ResidentData[[#This Row],[Discharge '[mmm-yyyy']]]&gt;=AJ$4)))))</f>
        <v>-</v>
      </c>
      <c r="AK48" s="121" t="str">
        <f ca="1">IF(AK$4&gt;NOW(),"-",IF(ISBLANK(Tbl_ResidentData[[#This Row],[Enrollment '[mmm-yyyy']]]),"-",AND((Tbl_ResidentData[[#This Row],[Enrollment '[mmm-yyyy']]]&lt;=AK$4),IF(ISBLANK(Tbl_ResidentData[[#This Row],[Discharge '[mmm-yyyy']]]),TRUE,(Tbl_ResidentData[[#This Row],[Discharge '[mmm-yyyy']]]&gt;=AK$4)))))</f>
        <v>-</v>
      </c>
      <c r="AL48" s="121" t="str">
        <f ca="1">IF(AL$4&gt;NOW(),"-",IF(ISBLANK(Tbl_ResidentData[[#This Row],[Enrollment '[mmm-yyyy']]]),"-",AND((Tbl_ResidentData[[#This Row],[Enrollment '[mmm-yyyy']]]&lt;=AL$4),IF(ISBLANK(Tbl_ResidentData[[#This Row],[Discharge '[mmm-yyyy']]]),TRUE,(Tbl_ResidentData[[#This Row],[Discharge '[mmm-yyyy']]]&gt;=AL$4)))))</f>
        <v>-</v>
      </c>
      <c r="AM48" s="121" t="str">
        <f ca="1">IF(AM$4&gt;NOW(),"-",IF(ISBLANK(Tbl_ResidentData[[#This Row],[Enrollment '[mmm-yyyy']]]),"-",AND((Tbl_ResidentData[[#This Row],[Enrollment '[mmm-yyyy']]]&lt;=AM$4),IF(ISBLANK(Tbl_ResidentData[[#This Row],[Discharge '[mmm-yyyy']]]),TRUE,(Tbl_ResidentData[[#This Row],[Discharge '[mmm-yyyy']]]&gt;=AM$4)))))</f>
        <v>-</v>
      </c>
      <c r="AN48" s="121" t="str">
        <f ca="1">IF(AN$4&gt;NOW(),"-",IF(ISBLANK(Tbl_ResidentData[[#This Row],[Enrollment '[mmm-yyyy']]]),"-",AND((Tbl_ResidentData[[#This Row],[Enrollment '[mmm-yyyy']]]&lt;=AN$4),IF(ISBLANK(Tbl_ResidentData[[#This Row],[Discharge '[mmm-yyyy']]]),TRUE,(Tbl_ResidentData[[#This Row],[Discharge '[mmm-yyyy']]]&gt;=AN$4)))))</f>
        <v>-</v>
      </c>
      <c r="AO48" s="121" t="str">
        <f ca="1">IF(AO$4&gt;NOW(),"-",IF(ISBLANK(Tbl_ResidentData[[#This Row],[Enrollment '[mmm-yyyy']]]),"-",AND((Tbl_ResidentData[[#This Row],[Enrollment '[mmm-yyyy']]]&lt;=AO$4),IF(ISBLANK(Tbl_ResidentData[[#This Row],[Discharge '[mmm-yyyy']]]),TRUE,(Tbl_ResidentData[[#This Row],[Discharge '[mmm-yyyy']]]&gt;=AO$4)))))</f>
        <v>-</v>
      </c>
      <c r="AP48" s="121" t="str">
        <f ca="1">IF(AP$4&gt;NOW(),"-",IF(ISBLANK(Tbl_ResidentData[[#This Row],[Enrollment '[mmm-yyyy']]]),"-",AND((Tbl_ResidentData[[#This Row],[Enrollment '[mmm-yyyy']]]&lt;=AP$4),IF(ISBLANK(Tbl_ResidentData[[#This Row],[Discharge '[mmm-yyyy']]]),TRUE,(Tbl_ResidentData[[#This Row],[Discharge '[mmm-yyyy']]]&gt;=AP$4)))))</f>
        <v>-</v>
      </c>
      <c r="AQ48" s="121" t="str">
        <f ca="1">IF(AQ$4&gt;NOW(),"-",IF(ISBLANK(Tbl_ResidentData[[#This Row],[Enrollment '[mmm-yyyy']]]),"-",AND((Tbl_ResidentData[[#This Row],[Enrollment '[mmm-yyyy']]]&lt;=AQ$4),IF(ISBLANK(Tbl_ResidentData[[#This Row],[Discharge '[mmm-yyyy']]]),TRUE,(Tbl_ResidentData[[#This Row],[Discharge '[mmm-yyyy']]]&gt;=AQ$4)))))</f>
        <v>-</v>
      </c>
      <c r="AR48" s="122" t="str">
        <f ca="1">IF(AR$4&gt;NOW(),"-",IF(ISBLANK(Tbl_ResidentData[[#This Row],[Enrollment '[mmm-yyyy']]]),"-",AND((Tbl_ResidentData[[#This Row],[Enrollment '[mmm-yyyy']]]&lt;=AR$4),IF(ISBLANK(Tbl_ResidentData[[#This Row],[Discharge '[mmm-yyyy']]]),TRUE,(Tbl_ResidentData[[#This Row],[Discharge '[mmm-yyyy']]]&gt;=AR$4)))))</f>
        <v>-</v>
      </c>
      <c r="AS4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48"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48"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48"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48"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48"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48"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48"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48"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48"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48"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48"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48"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48"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48"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48"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48"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48"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48"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48"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48"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4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4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4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48" s="120" t="b">
        <f ca="1">AND(Tbl_ResidentData[[#This Row],[PRN Med Started]]&lt;&gt;"",Tbl_ResidentData[[#This Row],[PRN Med Started]]&lt;=NOW(),Tbl_ResidentData[[#This Row],[PRN Med Started]]&lt;=AS$4,OR(Tbl_ResidentData[[#This Row],[PRN Med Discontinued]]&gt;AS$4,ISBLANK(Tbl_ResidentData[[#This Row],[PRN Med Discontinued]])))</f>
        <v>0</v>
      </c>
      <c r="BR48" s="121" t="b">
        <f ca="1">AND(Tbl_ResidentData[[#This Row],[PRN Med Started]]&lt;&gt;"",Tbl_ResidentData[[#This Row],[PRN Med Started]]&lt;=NOW(),Tbl_ResidentData[[#This Row],[PRN Med Started]]&lt;=AT$4,OR(Tbl_ResidentData[[#This Row],[PRN Med Discontinued]]&gt;AT$4,ISBLANK(Tbl_ResidentData[[#This Row],[PRN Med Discontinued]])))</f>
        <v>0</v>
      </c>
      <c r="BS48" s="129" t="b">
        <f ca="1">AND(Tbl_ResidentData[[#This Row],[PRN Med Started]]&lt;&gt;"",Tbl_ResidentData[[#This Row],[PRN Med Started]]&lt;=NOW(),Tbl_ResidentData[[#This Row],[PRN Med Started]]&lt;=AU$4,OR(Tbl_ResidentData[[#This Row],[PRN Med Discontinued]]&gt;AU$4,ISBLANK(Tbl_ResidentData[[#This Row],[PRN Med Discontinued]])))</f>
        <v>0</v>
      </c>
      <c r="BT48" s="129" t="b">
        <f ca="1">AND(Tbl_ResidentData[[#This Row],[PRN Med Started]]&lt;&gt;"",Tbl_ResidentData[[#This Row],[PRN Med Started]]&lt;=NOW(),Tbl_ResidentData[[#This Row],[PRN Med Started]]&lt;=AV$4,OR(Tbl_ResidentData[[#This Row],[PRN Med Discontinued]]&gt;AV$4,ISBLANK(Tbl_ResidentData[[#This Row],[PRN Med Discontinued]])))</f>
        <v>0</v>
      </c>
      <c r="BU48" s="129" t="b">
        <f ca="1">AND(Tbl_ResidentData[[#This Row],[PRN Med Started]]&lt;&gt;"",Tbl_ResidentData[[#This Row],[PRN Med Started]]&lt;=NOW(),Tbl_ResidentData[[#This Row],[PRN Med Started]]&lt;=AW$4,OR(Tbl_ResidentData[[#This Row],[PRN Med Discontinued]]&gt;AW$4,ISBLANK(Tbl_ResidentData[[#This Row],[PRN Med Discontinued]])))</f>
        <v>0</v>
      </c>
      <c r="BV48" s="129" t="b">
        <f ca="1">AND(Tbl_ResidentData[[#This Row],[PRN Med Started]]&lt;&gt;"",Tbl_ResidentData[[#This Row],[PRN Med Started]]&lt;=NOW(),Tbl_ResidentData[[#This Row],[PRN Med Started]]&lt;=AX$4,OR(Tbl_ResidentData[[#This Row],[PRN Med Discontinued]]&gt;AX$4,ISBLANK(Tbl_ResidentData[[#This Row],[PRN Med Discontinued]])))</f>
        <v>0</v>
      </c>
      <c r="BW48" s="129" t="b">
        <f ca="1">AND(Tbl_ResidentData[[#This Row],[PRN Med Started]]&lt;&gt;"",Tbl_ResidentData[[#This Row],[PRN Med Started]]&lt;=NOW(),Tbl_ResidentData[[#This Row],[PRN Med Started]]&lt;=AY$4,OR(Tbl_ResidentData[[#This Row],[PRN Med Discontinued]]&gt;AY$4,ISBLANK(Tbl_ResidentData[[#This Row],[PRN Med Discontinued]])))</f>
        <v>0</v>
      </c>
      <c r="BX48" s="129" t="b">
        <f ca="1">AND(Tbl_ResidentData[[#This Row],[PRN Med Started]]&lt;&gt;"",Tbl_ResidentData[[#This Row],[PRN Med Started]]&lt;=NOW(),Tbl_ResidentData[[#This Row],[PRN Med Started]]&lt;=AZ$4,OR(Tbl_ResidentData[[#This Row],[PRN Med Discontinued]]&gt;AZ$4,ISBLANK(Tbl_ResidentData[[#This Row],[PRN Med Discontinued]])))</f>
        <v>0</v>
      </c>
      <c r="BY48" s="129" t="b">
        <f ca="1">AND(Tbl_ResidentData[[#This Row],[PRN Med Started]]&lt;&gt;"",Tbl_ResidentData[[#This Row],[PRN Med Started]]&lt;=NOW(),Tbl_ResidentData[[#This Row],[PRN Med Started]]&lt;=BA$4,OR(Tbl_ResidentData[[#This Row],[PRN Med Discontinued]]&gt;BA$4,ISBLANK(Tbl_ResidentData[[#This Row],[PRN Med Discontinued]])))</f>
        <v>0</v>
      </c>
      <c r="BZ48" s="129" t="b">
        <f ca="1">AND(Tbl_ResidentData[[#This Row],[PRN Med Started]]&lt;&gt;"",Tbl_ResidentData[[#This Row],[PRN Med Started]]&lt;=NOW(),Tbl_ResidentData[[#This Row],[PRN Med Started]]&lt;=BB$4,OR(Tbl_ResidentData[[#This Row],[PRN Med Discontinued]]&gt;BB$4,ISBLANK(Tbl_ResidentData[[#This Row],[PRN Med Discontinued]])))</f>
        <v>0</v>
      </c>
      <c r="CA48" s="129" t="b">
        <f ca="1">AND(Tbl_ResidentData[[#This Row],[PRN Med Started]]&lt;&gt;"",Tbl_ResidentData[[#This Row],[PRN Med Started]]&lt;=NOW(),Tbl_ResidentData[[#This Row],[PRN Med Started]]&lt;=BC$4,OR(Tbl_ResidentData[[#This Row],[PRN Med Discontinued]]&gt;BC$4,ISBLANK(Tbl_ResidentData[[#This Row],[PRN Med Discontinued]])))</f>
        <v>0</v>
      </c>
      <c r="CB48" s="129" t="b">
        <f ca="1">AND(Tbl_ResidentData[[#This Row],[PRN Med Started]]&lt;&gt;"",Tbl_ResidentData[[#This Row],[PRN Med Started]]&lt;=NOW(),Tbl_ResidentData[[#This Row],[PRN Med Started]]&lt;=BD$4,OR(Tbl_ResidentData[[#This Row],[PRN Med Discontinued]]&gt;BD$4,ISBLANK(Tbl_ResidentData[[#This Row],[PRN Med Discontinued]])))</f>
        <v>0</v>
      </c>
      <c r="CC48" s="129" t="b">
        <f ca="1">AND(Tbl_ResidentData[[#This Row],[PRN Med Started]]&lt;&gt;"",Tbl_ResidentData[[#This Row],[PRN Med Started]]&lt;=NOW(),Tbl_ResidentData[[#This Row],[PRN Med Started]]&lt;=BE$4,OR(Tbl_ResidentData[[#This Row],[PRN Med Discontinued]]&gt;BE$4,ISBLANK(Tbl_ResidentData[[#This Row],[PRN Med Discontinued]])))</f>
        <v>0</v>
      </c>
      <c r="CD48" s="129" t="b">
        <f ca="1">AND(Tbl_ResidentData[[#This Row],[PRN Med Started]]&lt;&gt;"",Tbl_ResidentData[[#This Row],[PRN Med Started]]&lt;=NOW(),Tbl_ResidentData[[#This Row],[PRN Med Started]]&lt;=BF$4,OR(Tbl_ResidentData[[#This Row],[PRN Med Discontinued]]&gt;BF$4,ISBLANK(Tbl_ResidentData[[#This Row],[PRN Med Discontinued]])))</f>
        <v>0</v>
      </c>
      <c r="CE48" s="129" t="b">
        <f ca="1">AND(Tbl_ResidentData[[#This Row],[PRN Med Started]]&lt;&gt;"",Tbl_ResidentData[[#This Row],[PRN Med Started]]&lt;=NOW(),Tbl_ResidentData[[#This Row],[PRN Med Started]]&lt;=BG$4,OR(Tbl_ResidentData[[#This Row],[PRN Med Discontinued]]&gt;BG$4,ISBLANK(Tbl_ResidentData[[#This Row],[PRN Med Discontinued]])))</f>
        <v>0</v>
      </c>
      <c r="CF48" s="129" t="b">
        <f ca="1">AND(Tbl_ResidentData[[#This Row],[PRN Med Started]]&lt;&gt;"",Tbl_ResidentData[[#This Row],[PRN Med Started]]&lt;=NOW(),Tbl_ResidentData[[#This Row],[PRN Med Started]]&lt;=BH$4,OR(Tbl_ResidentData[[#This Row],[PRN Med Discontinued]]&gt;BH$4,ISBLANK(Tbl_ResidentData[[#This Row],[PRN Med Discontinued]])))</f>
        <v>0</v>
      </c>
      <c r="CG48" s="129" t="b">
        <f ca="1">AND(Tbl_ResidentData[[#This Row],[PRN Med Started]]&lt;&gt;"",Tbl_ResidentData[[#This Row],[PRN Med Started]]&lt;=NOW(),Tbl_ResidentData[[#This Row],[PRN Med Started]]&lt;=BI$4,OR(Tbl_ResidentData[[#This Row],[PRN Med Discontinued]]&gt;BI$4,ISBLANK(Tbl_ResidentData[[#This Row],[PRN Med Discontinued]])))</f>
        <v>0</v>
      </c>
      <c r="CH48" s="129" t="b">
        <f ca="1">AND(Tbl_ResidentData[[#This Row],[PRN Med Started]]&lt;&gt;"",Tbl_ResidentData[[#This Row],[PRN Med Started]]&lt;=NOW(),Tbl_ResidentData[[#This Row],[PRN Med Started]]&lt;=BJ$4,OR(Tbl_ResidentData[[#This Row],[PRN Med Discontinued]]&gt;BJ$4,ISBLANK(Tbl_ResidentData[[#This Row],[PRN Med Discontinued]])))</f>
        <v>0</v>
      </c>
      <c r="CI48" s="129" t="b">
        <f ca="1">AND(Tbl_ResidentData[[#This Row],[PRN Med Started]]&lt;&gt;"",Tbl_ResidentData[[#This Row],[PRN Med Started]]&lt;=NOW(),Tbl_ResidentData[[#This Row],[PRN Med Started]]&lt;=BK$4,OR(Tbl_ResidentData[[#This Row],[PRN Med Discontinued]]&gt;BK$4,ISBLANK(Tbl_ResidentData[[#This Row],[PRN Med Discontinued]])))</f>
        <v>0</v>
      </c>
      <c r="CJ48" s="129" t="b">
        <f ca="1">AND(Tbl_ResidentData[[#This Row],[PRN Med Started]]&lt;&gt;"",Tbl_ResidentData[[#This Row],[PRN Med Started]]&lt;=NOW(),Tbl_ResidentData[[#This Row],[PRN Med Started]]&lt;=BL$4,OR(Tbl_ResidentData[[#This Row],[PRN Med Discontinued]]&gt;BL$4,ISBLANK(Tbl_ResidentData[[#This Row],[PRN Med Discontinued]])))</f>
        <v>0</v>
      </c>
      <c r="CK48" s="129" t="b">
        <f ca="1">AND(Tbl_ResidentData[[#This Row],[PRN Med Started]]&lt;&gt;"",Tbl_ResidentData[[#This Row],[PRN Med Started]]&lt;=NOW(),Tbl_ResidentData[[#This Row],[PRN Med Started]]&lt;=BM$4,OR(Tbl_ResidentData[[#This Row],[PRN Med Discontinued]]&gt;BM$4,ISBLANK(Tbl_ResidentData[[#This Row],[PRN Med Discontinued]])))</f>
        <v>0</v>
      </c>
      <c r="CL48" s="129" t="b">
        <f ca="1">AND(Tbl_ResidentData[[#This Row],[PRN Med Started]]&lt;&gt;"",Tbl_ResidentData[[#This Row],[PRN Med Started]]&lt;=NOW(),Tbl_ResidentData[[#This Row],[PRN Med Started]]&lt;=BN$4,OR(Tbl_ResidentData[[#This Row],[PRN Med Discontinued]]&gt;BN$4,ISBLANK(Tbl_ResidentData[[#This Row],[PRN Med Discontinued]])))</f>
        <v>0</v>
      </c>
      <c r="CM48" s="121" t="b">
        <f ca="1">AND(Tbl_ResidentData[[#This Row],[PRN Med Started]]&lt;&gt;"",Tbl_ResidentData[[#This Row],[PRN Med Started]]&lt;=NOW(),Tbl_ResidentData[[#This Row],[PRN Med Started]]&lt;=BO$4,OR(Tbl_ResidentData[[#This Row],[PRN Med Discontinued]]&gt;BO$4,ISBLANK(Tbl_ResidentData[[#This Row],[PRN Med Discontinued]])))</f>
        <v>0</v>
      </c>
      <c r="CN48" s="122" t="b">
        <f ca="1">AND(Tbl_ResidentData[[#This Row],[PRN Med Started]]&lt;&gt;"",Tbl_ResidentData[[#This Row],[PRN Med Started]]&lt;=NOW(),Tbl_ResidentData[[#This Row],[PRN Med Started]]&lt;=BP$4,OR(Tbl_ResidentData[[#This Row],[PRN Med Discontinued]]&gt;BP$4,ISBLANK(Tbl_ResidentData[[#This Row],[PRN Med Discontinued]])))</f>
        <v>0</v>
      </c>
      <c r="CO48" s="120">
        <f ca="1">IF(OR(Tbl_ResidentData[[#This Row],[S1]]=TRUE,Tbl_ResidentData[[#This Row],[P1]]=TRUE),1,0)</f>
        <v>0</v>
      </c>
      <c r="CP48" s="121">
        <f ca="1">IF(OR(Tbl_ResidentData[[#This Row],[S2]]=TRUE,Tbl_ResidentData[[#This Row],[P2]]=TRUE),1,0)</f>
        <v>0</v>
      </c>
      <c r="CQ48" s="121">
        <f ca="1">IF(OR(Tbl_ResidentData[[#This Row],[S3]]=TRUE,Tbl_ResidentData[[#This Row],[P3]]=TRUE),1,0)</f>
        <v>0</v>
      </c>
      <c r="CR48" s="130">
        <f ca="1">IF(OR(Tbl_ResidentData[[#This Row],[S4]]=TRUE,Tbl_ResidentData[[#This Row],[P4]]=TRUE),1,0)</f>
        <v>0</v>
      </c>
      <c r="CS48" s="130">
        <f ca="1">IF(OR(Tbl_ResidentData[[#This Row],[S5]]=TRUE,Tbl_ResidentData[[#This Row],[P5]]=TRUE),1,0)</f>
        <v>0</v>
      </c>
      <c r="CT48" s="130">
        <f ca="1">IF(OR(Tbl_ResidentData[[#This Row],[S6]]=TRUE,Tbl_ResidentData[[#This Row],[P6]]=TRUE),1,0)</f>
        <v>0</v>
      </c>
      <c r="CU48" s="130">
        <f ca="1">IF(OR(Tbl_ResidentData[[#This Row],[S7]]=TRUE,Tbl_ResidentData[[#This Row],[P7]]=TRUE),1,0)</f>
        <v>0</v>
      </c>
      <c r="CV48" s="130">
        <f ca="1">IF(OR(Tbl_ResidentData[[#This Row],[S8]]=TRUE,Tbl_ResidentData[[#This Row],[P8]]=TRUE),1,0)</f>
        <v>0</v>
      </c>
      <c r="CW48" s="130">
        <f ca="1">IF(OR(Tbl_ResidentData[[#This Row],[S9]]=TRUE,Tbl_ResidentData[[#This Row],[P9]]=TRUE),1,0)</f>
        <v>0</v>
      </c>
      <c r="CX48" s="130">
        <f ca="1">IF(OR(Tbl_ResidentData[[#This Row],[S10]]=TRUE,Tbl_ResidentData[[#This Row],[P10]]=TRUE),1,0)</f>
        <v>0</v>
      </c>
      <c r="CY48" s="130">
        <f ca="1">IF(OR(Tbl_ResidentData[[#This Row],[S11]]=TRUE,Tbl_ResidentData[[#This Row],[P11]]=TRUE),1,0)</f>
        <v>0</v>
      </c>
      <c r="CZ48" s="130">
        <f ca="1">IF(OR(Tbl_ResidentData[[#This Row],[S12]]=TRUE,Tbl_ResidentData[[#This Row],[P12]]=TRUE),1,0)</f>
        <v>0</v>
      </c>
      <c r="DA48" s="130">
        <f ca="1">IF(OR(Tbl_ResidentData[[#This Row],[S13]]=TRUE,Tbl_ResidentData[[#This Row],[P13]]=TRUE),1,0)</f>
        <v>0</v>
      </c>
      <c r="DB48" s="130">
        <f ca="1">IF(OR(Tbl_ResidentData[[#This Row],[S14]]=TRUE,Tbl_ResidentData[[#This Row],[P14]]=TRUE),1,0)</f>
        <v>0</v>
      </c>
      <c r="DC48" s="130">
        <f ca="1">IF(OR(Tbl_ResidentData[[#This Row],[S15]]=TRUE,Tbl_ResidentData[[#This Row],[P15]]=TRUE),1,0)</f>
        <v>0</v>
      </c>
      <c r="DD48" s="130">
        <f ca="1">IF(OR(Tbl_ResidentData[[#This Row],[S16]]=TRUE,Tbl_ResidentData[[#This Row],[P16]]=TRUE),1,0)</f>
        <v>0</v>
      </c>
      <c r="DE48" s="130">
        <f ca="1">IF(OR(Tbl_ResidentData[[#This Row],[S17]]=TRUE,Tbl_ResidentData[[#This Row],[P17]]=TRUE),1,0)</f>
        <v>0</v>
      </c>
      <c r="DF48" s="130">
        <f ca="1">IF(OR(Tbl_ResidentData[[#This Row],[S18]]=TRUE,Tbl_ResidentData[[#This Row],[P18]]=TRUE),1,0)</f>
        <v>0</v>
      </c>
      <c r="DG48" s="130">
        <f ca="1">IF(OR(Tbl_ResidentData[[#This Row],[S19]]=TRUE,Tbl_ResidentData[[#This Row],[P19]]=TRUE),1,0)</f>
        <v>0</v>
      </c>
      <c r="DH48" s="130">
        <f ca="1">IF(OR(Tbl_ResidentData[[#This Row],[S20]]=TRUE,Tbl_ResidentData[[#This Row],[P20]]=TRUE),1,0)</f>
        <v>0</v>
      </c>
      <c r="DI48" s="130">
        <f ca="1">IF(OR(Tbl_ResidentData[[#This Row],[S21]]=TRUE,Tbl_ResidentData[[#This Row],[P21]]=TRUE),1,0)</f>
        <v>0</v>
      </c>
      <c r="DJ48" s="130">
        <f ca="1">IF(OR(Tbl_ResidentData[[#This Row],[S22]]=TRUE,Tbl_ResidentData[[#This Row],[P22]]=TRUE),1,0)</f>
        <v>0</v>
      </c>
      <c r="DK48" s="130">
        <f ca="1">IF(OR(Tbl_ResidentData[[#This Row],[S23]]=TRUE,Tbl_ResidentData[[#This Row],[P23]]=TRUE),1,0)</f>
        <v>0</v>
      </c>
      <c r="DL48" s="130">
        <f ca="1">IF(OR(Tbl_ResidentData[[#This Row],[S24]]=TRUE,Tbl_ResidentData[[#This Row],[P24]]=TRUE),1,0)</f>
        <v>0</v>
      </c>
      <c r="DM48" s="123" t="str">
        <f ca="1">IFERROR(INDEX($CO$4:$DL$4,MATCH(TRUE,INDEX((Tbl_ResidentData[[#This Row],[Over1]:[Over24]]&lt;&gt;0),0),0)),"")</f>
        <v/>
      </c>
      <c r="DN48" s="133" t="str">
        <f>IFERROR(INDEX(Tbl_PDSAData[Last DRT],MATCH(Tbl_ResidentData[Resident Name '[last, first']],Tbl_PDSAData[Resident Name (last, first)],0)),"")</f>
        <v/>
      </c>
      <c r="DO48" s="222" t="str">
        <f>IFERROR(INDEX(Tbl_PDSAData[Last MR],MATCH(Tbl_ResidentData[Resident Name '[last, first']],Tbl_PDSAData[Resident Name (last, first)],0)),"")</f>
        <v/>
      </c>
    </row>
    <row r="49" spans="1:119" x14ac:dyDescent="0.25">
      <c r="A49" s="179"/>
      <c r="B49" s="180"/>
      <c r="C49" s="180"/>
      <c r="D49" s="218"/>
      <c r="E49" s="179"/>
      <c r="F49" s="179"/>
      <c r="G49" s="181"/>
      <c r="H49" s="375"/>
      <c r="I49" s="186"/>
      <c r="J49" s="387"/>
      <c r="K49" s="178"/>
      <c r="L49" s="388"/>
      <c r="M49" s="187"/>
      <c r="N49" s="387"/>
      <c r="O49" s="178"/>
      <c r="P49" s="388"/>
      <c r="Q49" s="395"/>
      <c r="R49" s="396"/>
      <c r="S49" s="132" t="str">
        <f>IF(ISBLANK(Tbl_ResidentData[[#This Row],[Discharge '[mmm-yyyy']]]),IF(ISBLANK(Tbl_ResidentData[[#This Row],[Enrollment '[mmm-yyyy']]]),"","In Care Home"),"Discharged")</f>
        <v/>
      </c>
      <c r="T49" s="128" t="str">
        <f>IF(ISBLANK(Tbl_ResidentData[[#This Row],[Diagnosis (RAI)]]),IF(ISBLANK(Tbl_ResidentData[[#This Row],[Resident Name '[last, first']]]),"",0),IF(Tbl_ResidentData[[#This Row],[Diagnosis (RAI)]]="Other (see clinical notes)",0,1))</f>
        <v/>
      </c>
      <c r="U49" s="129" t="str">
        <f ca="1">IF(U$4&gt;NOW(),"-",IF(ISBLANK(Tbl_ResidentData[[#This Row],[Enrollment '[mmm-yyyy']]]),"-",AND((Tbl_ResidentData[[#This Row],[Enrollment '[mmm-yyyy']]]&lt;=U$4),IF(ISBLANK(Tbl_ResidentData[[#This Row],[Discharge '[mmm-yyyy']]]),TRUE,(Tbl_ResidentData[[#This Row],[Discharge '[mmm-yyyy']]]&gt;=U$4)))))</f>
        <v>-</v>
      </c>
      <c r="V49" s="121" t="str">
        <f ca="1">IF(V$4&gt;NOW(),"-",IF(ISBLANK(Tbl_ResidentData[[#This Row],[Enrollment '[mmm-yyyy']]]),"-",AND((Tbl_ResidentData[[#This Row],[Enrollment '[mmm-yyyy']]]&lt;=V$4),IF(ISBLANK(Tbl_ResidentData[[#This Row],[Discharge '[mmm-yyyy']]]),TRUE,(Tbl_ResidentData[[#This Row],[Discharge '[mmm-yyyy']]]&gt;=V$4)))))</f>
        <v>-</v>
      </c>
      <c r="W49" s="121" t="str">
        <f ca="1">IF(W$4&gt;NOW(),"-",IF(ISBLANK(Tbl_ResidentData[[#This Row],[Enrollment '[mmm-yyyy']]]),"-",AND((Tbl_ResidentData[[#This Row],[Enrollment '[mmm-yyyy']]]&lt;=W$4),IF(ISBLANK(Tbl_ResidentData[[#This Row],[Discharge '[mmm-yyyy']]]),TRUE,(Tbl_ResidentData[[#This Row],[Discharge '[mmm-yyyy']]]&gt;=W$4)))))</f>
        <v>-</v>
      </c>
      <c r="X49" s="121" t="str">
        <f ca="1">IF(X$4&gt;NOW(),"-",IF(ISBLANK(Tbl_ResidentData[[#This Row],[Enrollment '[mmm-yyyy']]]),"-",AND((Tbl_ResidentData[[#This Row],[Enrollment '[mmm-yyyy']]]&lt;=X$4),IF(ISBLANK(Tbl_ResidentData[[#This Row],[Discharge '[mmm-yyyy']]]),TRUE,(Tbl_ResidentData[[#This Row],[Discharge '[mmm-yyyy']]]&gt;=X$4)))))</f>
        <v>-</v>
      </c>
      <c r="Y49" s="121" t="str">
        <f ca="1">IF(Y$4&gt;NOW(),"-",IF(ISBLANK(Tbl_ResidentData[[#This Row],[Enrollment '[mmm-yyyy']]]),"-",AND((Tbl_ResidentData[[#This Row],[Enrollment '[mmm-yyyy']]]&lt;=Y$4),IF(ISBLANK(Tbl_ResidentData[[#This Row],[Discharge '[mmm-yyyy']]]),TRUE,(Tbl_ResidentData[[#This Row],[Discharge '[mmm-yyyy']]]&gt;=Y$4)))))</f>
        <v>-</v>
      </c>
      <c r="Z49" s="121" t="str">
        <f ca="1">IF(Z$4&gt;NOW(),"-",IF(ISBLANK(Tbl_ResidentData[[#This Row],[Enrollment '[mmm-yyyy']]]),"-",AND((Tbl_ResidentData[[#This Row],[Enrollment '[mmm-yyyy']]]&lt;=Z$4),IF(ISBLANK(Tbl_ResidentData[[#This Row],[Discharge '[mmm-yyyy']]]),TRUE,(Tbl_ResidentData[[#This Row],[Discharge '[mmm-yyyy']]]&gt;=Z$4)))))</f>
        <v>-</v>
      </c>
      <c r="AA49" s="121" t="str">
        <f ca="1">IF(AA$4&gt;NOW(),"-",IF(ISBLANK(Tbl_ResidentData[[#This Row],[Enrollment '[mmm-yyyy']]]),"-",AND((Tbl_ResidentData[[#This Row],[Enrollment '[mmm-yyyy']]]&lt;=AA$4),IF(ISBLANK(Tbl_ResidentData[[#This Row],[Discharge '[mmm-yyyy']]]),TRUE,(Tbl_ResidentData[[#This Row],[Discharge '[mmm-yyyy']]]&gt;=AA$4)))))</f>
        <v>-</v>
      </c>
      <c r="AB49" s="121" t="str">
        <f ca="1">IF(AB$4&gt;NOW(),"-",IF(ISBLANK(Tbl_ResidentData[[#This Row],[Enrollment '[mmm-yyyy']]]),"-",AND((Tbl_ResidentData[[#This Row],[Enrollment '[mmm-yyyy']]]&lt;=AB$4),IF(ISBLANK(Tbl_ResidentData[[#This Row],[Discharge '[mmm-yyyy']]]),TRUE,(Tbl_ResidentData[[#This Row],[Discharge '[mmm-yyyy']]]&gt;=AB$4)))))</f>
        <v>-</v>
      </c>
      <c r="AC49" s="121" t="str">
        <f ca="1">IF(AC$4&gt;NOW(),"-",IF(ISBLANK(Tbl_ResidentData[[#This Row],[Enrollment '[mmm-yyyy']]]),"-",AND((Tbl_ResidentData[[#This Row],[Enrollment '[mmm-yyyy']]]&lt;=AC$4),IF(ISBLANK(Tbl_ResidentData[[#This Row],[Discharge '[mmm-yyyy']]]),TRUE,(Tbl_ResidentData[[#This Row],[Discharge '[mmm-yyyy']]]&gt;=AC$4)))))</f>
        <v>-</v>
      </c>
      <c r="AD49" s="121" t="str">
        <f ca="1">IF(AD$4&gt;NOW(),"-",IF(ISBLANK(Tbl_ResidentData[[#This Row],[Enrollment '[mmm-yyyy']]]),"-",AND((Tbl_ResidentData[[#This Row],[Enrollment '[mmm-yyyy']]]&lt;=AD$4),IF(ISBLANK(Tbl_ResidentData[[#This Row],[Discharge '[mmm-yyyy']]]),TRUE,(Tbl_ResidentData[[#This Row],[Discharge '[mmm-yyyy']]]&gt;=AD$4)))))</f>
        <v>-</v>
      </c>
      <c r="AE49" s="121" t="str">
        <f ca="1">IF(AE$4&gt;NOW(),"-",IF(ISBLANK(Tbl_ResidentData[[#This Row],[Enrollment '[mmm-yyyy']]]),"-",AND((Tbl_ResidentData[[#This Row],[Enrollment '[mmm-yyyy']]]&lt;=AE$4),IF(ISBLANK(Tbl_ResidentData[[#This Row],[Discharge '[mmm-yyyy']]]),TRUE,(Tbl_ResidentData[[#This Row],[Discharge '[mmm-yyyy']]]&gt;=AE$4)))))</f>
        <v>-</v>
      </c>
      <c r="AF49" s="121" t="str">
        <f ca="1">IF(AF$4&gt;NOW(),"-",IF(ISBLANK(Tbl_ResidentData[[#This Row],[Enrollment '[mmm-yyyy']]]),"-",AND((Tbl_ResidentData[[#This Row],[Enrollment '[mmm-yyyy']]]&lt;=AF$4),IF(ISBLANK(Tbl_ResidentData[[#This Row],[Discharge '[mmm-yyyy']]]),TRUE,(Tbl_ResidentData[[#This Row],[Discharge '[mmm-yyyy']]]&gt;=AF$4)))))</f>
        <v>-</v>
      </c>
      <c r="AG49" s="121" t="str">
        <f ca="1">IF(AG$4&gt;NOW(),"-",IF(ISBLANK(Tbl_ResidentData[[#This Row],[Enrollment '[mmm-yyyy']]]),"-",AND((Tbl_ResidentData[[#This Row],[Enrollment '[mmm-yyyy']]]&lt;=AG$4),IF(ISBLANK(Tbl_ResidentData[[#This Row],[Discharge '[mmm-yyyy']]]),TRUE,(Tbl_ResidentData[[#This Row],[Discharge '[mmm-yyyy']]]&gt;=AG$4)))))</f>
        <v>-</v>
      </c>
      <c r="AH49" s="121" t="str">
        <f ca="1">IF(AH$4&gt;NOW(),"-",IF(ISBLANK(Tbl_ResidentData[[#This Row],[Enrollment '[mmm-yyyy']]]),"-",AND((Tbl_ResidentData[[#This Row],[Enrollment '[mmm-yyyy']]]&lt;=AH$4),IF(ISBLANK(Tbl_ResidentData[[#This Row],[Discharge '[mmm-yyyy']]]),TRUE,(Tbl_ResidentData[[#This Row],[Discharge '[mmm-yyyy']]]&gt;=AH$4)))))</f>
        <v>-</v>
      </c>
      <c r="AI49" s="121" t="str">
        <f ca="1">IF(AI$4&gt;NOW(),"-",IF(ISBLANK(Tbl_ResidentData[[#This Row],[Enrollment '[mmm-yyyy']]]),"-",AND((Tbl_ResidentData[[#This Row],[Enrollment '[mmm-yyyy']]]&lt;=AI$4),IF(ISBLANK(Tbl_ResidentData[[#This Row],[Discharge '[mmm-yyyy']]]),TRUE,(Tbl_ResidentData[[#This Row],[Discharge '[mmm-yyyy']]]&gt;=AI$4)))))</f>
        <v>-</v>
      </c>
      <c r="AJ49" s="121" t="str">
        <f ca="1">IF(AJ$4&gt;NOW(),"-",IF(ISBLANK(Tbl_ResidentData[[#This Row],[Enrollment '[mmm-yyyy']]]),"-",AND((Tbl_ResidentData[[#This Row],[Enrollment '[mmm-yyyy']]]&lt;=AJ$4),IF(ISBLANK(Tbl_ResidentData[[#This Row],[Discharge '[mmm-yyyy']]]),TRUE,(Tbl_ResidentData[[#This Row],[Discharge '[mmm-yyyy']]]&gt;=AJ$4)))))</f>
        <v>-</v>
      </c>
      <c r="AK49" s="121" t="str">
        <f ca="1">IF(AK$4&gt;NOW(),"-",IF(ISBLANK(Tbl_ResidentData[[#This Row],[Enrollment '[mmm-yyyy']]]),"-",AND((Tbl_ResidentData[[#This Row],[Enrollment '[mmm-yyyy']]]&lt;=AK$4),IF(ISBLANK(Tbl_ResidentData[[#This Row],[Discharge '[mmm-yyyy']]]),TRUE,(Tbl_ResidentData[[#This Row],[Discharge '[mmm-yyyy']]]&gt;=AK$4)))))</f>
        <v>-</v>
      </c>
      <c r="AL49" s="121" t="str">
        <f ca="1">IF(AL$4&gt;NOW(),"-",IF(ISBLANK(Tbl_ResidentData[[#This Row],[Enrollment '[mmm-yyyy']]]),"-",AND((Tbl_ResidentData[[#This Row],[Enrollment '[mmm-yyyy']]]&lt;=AL$4),IF(ISBLANK(Tbl_ResidentData[[#This Row],[Discharge '[mmm-yyyy']]]),TRUE,(Tbl_ResidentData[[#This Row],[Discharge '[mmm-yyyy']]]&gt;=AL$4)))))</f>
        <v>-</v>
      </c>
      <c r="AM49" s="121" t="str">
        <f ca="1">IF(AM$4&gt;NOW(),"-",IF(ISBLANK(Tbl_ResidentData[[#This Row],[Enrollment '[mmm-yyyy']]]),"-",AND((Tbl_ResidentData[[#This Row],[Enrollment '[mmm-yyyy']]]&lt;=AM$4),IF(ISBLANK(Tbl_ResidentData[[#This Row],[Discharge '[mmm-yyyy']]]),TRUE,(Tbl_ResidentData[[#This Row],[Discharge '[mmm-yyyy']]]&gt;=AM$4)))))</f>
        <v>-</v>
      </c>
      <c r="AN49" s="121" t="str">
        <f ca="1">IF(AN$4&gt;NOW(),"-",IF(ISBLANK(Tbl_ResidentData[[#This Row],[Enrollment '[mmm-yyyy']]]),"-",AND((Tbl_ResidentData[[#This Row],[Enrollment '[mmm-yyyy']]]&lt;=AN$4),IF(ISBLANK(Tbl_ResidentData[[#This Row],[Discharge '[mmm-yyyy']]]),TRUE,(Tbl_ResidentData[[#This Row],[Discharge '[mmm-yyyy']]]&gt;=AN$4)))))</f>
        <v>-</v>
      </c>
      <c r="AO49" s="121" t="str">
        <f ca="1">IF(AO$4&gt;NOW(),"-",IF(ISBLANK(Tbl_ResidentData[[#This Row],[Enrollment '[mmm-yyyy']]]),"-",AND((Tbl_ResidentData[[#This Row],[Enrollment '[mmm-yyyy']]]&lt;=AO$4),IF(ISBLANK(Tbl_ResidentData[[#This Row],[Discharge '[mmm-yyyy']]]),TRUE,(Tbl_ResidentData[[#This Row],[Discharge '[mmm-yyyy']]]&gt;=AO$4)))))</f>
        <v>-</v>
      </c>
      <c r="AP49" s="121" t="str">
        <f ca="1">IF(AP$4&gt;NOW(),"-",IF(ISBLANK(Tbl_ResidentData[[#This Row],[Enrollment '[mmm-yyyy']]]),"-",AND((Tbl_ResidentData[[#This Row],[Enrollment '[mmm-yyyy']]]&lt;=AP$4),IF(ISBLANK(Tbl_ResidentData[[#This Row],[Discharge '[mmm-yyyy']]]),TRUE,(Tbl_ResidentData[[#This Row],[Discharge '[mmm-yyyy']]]&gt;=AP$4)))))</f>
        <v>-</v>
      </c>
      <c r="AQ49" s="121" t="str">
        <f ca="1">IF(AQ$4&gt;NOW(),"-",IF(ISBLANK(Tbl_ResidentData[[#This Row],[Enrollment '[mmm-yyyy']]]),"-",AND((Tbl_ResidentData[[#This Row],[Enrollment '[mmm-yyyy']]]&lt;=AQ$4),IF(ISBLANK(Tbl_ResidentData[[#This Row],[Discharge '[mmm-yyyy']]]),TRUE,(Tbl_ResidentData[[#This Row],[Discharge '[mmm-yyyy']]]&gt;=AQ$4)))))</f>
        <v>-</v>
      </c>
      <c r="AR49" s="122" t="str">
        <f ca="1">IF(AR$4&gt;NOW(),"-",IF(ISBLANK(Tbl_ResidentData[[#This Row],[Enrollment '[mmm-yyyy']]]),"-",AND((Tbl_ResidentData[[#This Row],[Enrollment '[mmm-yyyy']]]&lt;=AR$4),IF(ISBLANK(Tbl_ResidentData[[#This Row],[Discharge '[mmm-yyyy']]]),TRUE,(Tbl_ResidentData[[#This Row],[Discharge '[mmm-yyyy']]]&gt;=AR$4)))))</f>
        <v>-</v>
      </c>
      <c r="AS4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49"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49"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49"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49"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49"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49"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49"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49"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49"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49"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49"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49"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49"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49"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49"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49"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49"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49"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49"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49"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4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4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4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49" s="120" t="b">
        <f ca="1">AND(Tbl_ResidentData[[#This Row],[PRN Med Started]]&lt;&gt;"",Tbl_ResidentData[[#This Row],[PRN Med Started]]&lt;=NOW(),Tbl_ResidentData[[#This Row],[PRN Med Started]]&lt;=AS$4,OR(Tbl_ResidentData[[#This Row],[PRN Med Discontinued]]&gt;AS$4,ISBLANK(Tbl_ResidentData[[#This Row],[PRN Med Discontinued]])))</f>
        <v>0</v>
      </c>
      <c r="BR49" s="121" t="b">
        <f ca="1">AND(Tbl_ResidentData[[#This Row],[PRN Med Started]]&lt;&gt;"",Tbl_ResidentData[[#This Row],[PRN Med Started]]&lt;=NOW(),Tbl_ResidentData[[#This Row],[PRN Med Started]]&lt;=AT$4,OR(Tbl_ResidentData[[#This Row],[PRN Med Discontinued]]&gt;AT$4,ISBLANK(Tbl_ResidentData[[#This Row],[PRN Med Discontinued]])))</f>
        <v>0</v>
      </c>
      <c r="BS49" s="129" t="b">
        <f ca="1">AND(Tbl_ResidentData[[#This Row],[PRN Med Started]]&lt;&gt;"",Tbl_ResidentData[[#This Row],[PRN Med Started]]&lt;=NOW(),Tbl_ResidentData[[#This Row],[PRN Med Started]]&lt;=AU$4,OR(Tbl_ResidentData[[#This Row],[PRN Med Discontinued]]&gt;AU$4,ISBLANK(Tbl_ResidentData[[#This Row],[PRN Med Discontinued]])))</f>
        <v>0</v>
      </c>
      <c r="BT49" s="129" t="b">
        <f ca="1">AND(Tbl_ResidentData[[#This Row],[PRN Med Started]]&lt;&gt;"",Tbl_ResidentData[[#This Row],[PRN Med Started]]&lt;=NOW(),Tbl_ResidentData[[#This Row],[PRN Med Started]]&lt;=AV$4,OR(Tbl_ResidentData[[#This Row],[PRN Med Discontinued]]&gt;AV$4,ISBLANK(Tbl_ResidentData[[#This Row],[PRN Med Discontinued]])))</f>
        <v>0</v>
      </c>
      <c r="BU49" s="129" t="b">
        <f ca="1">AND(Tbl_ResidentData[[#This Row],[PRN Med Started]]&lt;&gt;"",Tbl_ResidentData[[#This Row],[PRN Med Started]]&lt;=NOW(),Tbl_ResidentData[[#This Row],[PRN Med Started]]&lt;=AW$4,OR(Tbl_ResidentData[[#This Row],[PRN Med Discontinued]]&gt;AW$4,ISBLANK(Tbl_ResidentData[[#This Row],[PRN Med Discontinued]])))</f>
        <v>0</v>
      </c>
      <c r="BV49" s="129" t="b">
        <f ca="1">AND(Tbl_ResidentData[[#This Row],[PRN Med Started]]&lt;&gt;"",Tbl_ResidentData[[#This Row],[PRN Med Started]]&lt;=NOW(),Tbl_ResidentData[[#This Row],[PRN Med Started]]&lt;=AX$4,OR(Tbl_ResidentData[[#This Row],[PRN Med Discontinued]]&gt;AX$4,ISBLANK(Tbl_ResidentData[[#This Row],[PRN Med Discontinued]])))</f>
        <v>0</v>
      </c>
      <c r="BW49" s="129" t="b">
        <f ca="1">AND(Tbl_ResidentData[[#This Row],[PRN Med Started]]&lt;&gt;"",Tbl_ResidentData[[#This Row],[PRN Med Started]]&lt;=NOW(),Tbl_ResidentData[[#This Row],[PRN Med Started]]&lt;=AY$4,OR(Tbl_ResidentData[[#This Row],[PRN Med Discontinued]]&gt;AY$4,ISBLANK(Tbl_ResidentData[[#This Row],[PRN Med Discontinued]])))</f>
        <v>0</v>
      </c>
      <c r="BX49" s="129" t="b">
        <f ca="1">AND(Tbl_ResidentData[[#This Row],[PRN Med Started]]&lt;&gt;"",Tbl_ResidentData[[#This Row],[PRN Med Started]]&lt;=NOW(),Tbl_ResidentData[[#This Row],[PRN Med Started]]&lt;=AZ$4,OR(Tbl_ResidentData[[#This Row],[PRN Med Discontinued]]&gt;AZ$4,ISBLANK(Tbl_ResidentData[[#This Row],[PRN Med Discontinued]])))</f>
        <v>0</v>
      </c>
      <c r="BY49" s="129" t="b">
        <f ca="1">AND(Tbl_ResidentData[[#This Row],[PRN Med Started]]&lt;&gt;"",Tbl_ResidentData[[#This Row],[PRN Med Started]]&lt;=NOW(),Tbl_ResidentData[[#This Row],[PRN Med Started]]&lt;=BA$4,OR(Tbl_ResidentData[[#This Row],[PRN Med Discontinued]]&gt;BA$4,ISBLANK(Tbl_ResidentData[[#This Row],[PRN Med Discontinued]])))</f>
        <v>0</v>
      </c>
      <c r="BZ49" s="129" t="b">
        <f ca="1">AND(Tbl_ResidentData[[#This Row],[PRN Med Started]]&lt;&gt;"",Tbl_ResidentData[[#This Row],[PRN Med Started]]&lt;=NOW(),Tbl_ResidentData[[#This Row],[PRN Med Started]]&lt;=BB$4,OR(Tbl_ResidentData[[#This Row],[PRN Med Discontinued]]&gt;BB$4,ISBLANK(Tbl_ResidentData[[#This Row],[PRN Med Discontinued]])))</f>
        <v>0</v>
      </c>
      <c r="CA49" s="129" t="b">
        <f ca="1">AND(Tbl_ResidentData[[#This Row],[PRN Med Started]]&lt;&gt;"",Tbl_ResidentData[[#This Row],[PRN Med Started]]&lt;=NOW(),Tbl_ResidentData[[#This Row],[PRN Med Started]]&lt;=BC$4,OR(Tbl_ResidentData[[#This Row],[PRN Med Discontinued]]&gt;BC$4,ISBLANK(Tbl_ResidentData[[#This Row],[PRN Med Discontinued]])))</f>
        <v>0</v>
      </c>
      <c r="CB49" s="129" t="b">
        <f ca="1">AND(Tbl_ResidentData[[#This Row],[PRN Med Started]]&lt;&gt;"",Tbl_ResidentData[[#This Row],[PRN Med Started]]&lt;=NOW(),Tbl_ResidentData[[#This Row],[PRN Med Started]]&lt;=BD$4,OR(Tbl_ResidentData[[#This Row],[PRN Med Discontinued]]&gt;BD$4,ISBLANK(Tbl_ResidentData[[#This Row],[PRN Med Discontinued]])))</f>
        <v>0</v>
      </c>
      <c r="CC49" s="129" t="b">
        <f ca="1">AND(Tbl_ResidentData[[#This Row],[PRN Med Started]]&lt;&gt;"",Tbl_ResidentData[[#This Row],[PRN Med Started]]&lt;=NOW(),Tbl_ResidentData[[#This Row],[PRN Med Started]]&lt;=BE$4,OR(Tbl_ResidentData[[#This Row],[PRN Med Discontinued]]&gt;BE$4,ISBLANK(Tbl_ResidentData[[#This Row],[PRN Med Discontinued]])))</f>
        <v>0</v>
      </c>
      <c r="CD49" s="129" t="b">
        <f ca="1">AND(Tbl_ResidentData[[#This Row],[PRN Med Started]]&lt;&gt;"",Tbl_ResidentData[[#This Row],[PRN Med Started]]&lt;=NOW(),Tbl_ResidentData[[#This Row],[PRN Med Started]]&lt;=BF$4,OR(Tbl_ResidentData[[#This Row],[PRN Med Discontinued]]&gt;BF$4,ISBLANK(Tbl_ResidentData[[#This Row],[PRN Med Discontinued]])))</f>
        <v>0</v>
      </c>
      <c r="CE49" s="129" t="b">
        <f ca="1">AND(Tbl_ResidentData[[#This Row],[PRN Med Started]]&lt;&gt;"",Tbl_ResidentData[[#This Row],[PRN Med Started]]&lt;=NOW(),Tbl_ResidentData[[#This Row],[PRN Med Started]]&lt;=BG$4,OR(Tbl_ResidentData[[#This Row],[PRN Med Discontinued]]&gt;BG$4,ISBLANK(Tbl_ResidentData[[#This Row],[PRN Med Discontinued]])))</f>
        <v>0</v>
      </c>
      <c r="CF49" s="129" t="b">
        <f ca="1">AND(Tbl_ResidentData[[#This Row],[PRN Med Started]]&lt;&gt;"",Tbl_ResidentData[[#This Row],[PRN Med Started]]&lt;=NOW(),Tbl_ResidentData[[#This Row],[PRN Med Started]]&lt;=BH$4,OR(Tbl_ResidentData[[#This Row],[PRN Med Discontinued]]&gt;BH$4,ISBLANK(Tbl_ResidentData[[#This Row],[PRN Med Discontinued]])))</f>
        <v>0</v>
      </c>
      <c r="CG49" s="129" t="b">
        <f ca="1">AND(Tbl_ResidentData[[#This Row],[PRN Med Started]]&lt;&gt;"",Tbl_ResidentData[[#This Row],[PRN Med Started]]&lt;=NOW(),Tbl_ResidentData[[#This Row],[PRN Med Started]]&lt;=BI$4,OR(Tbl_ResidentData[[#This Row],[PRN Med Discontinued]]&gt;BI$4,ISBLANK(Tbl_ResidentData[[#This Row],[PRN Med Discontinued]])))</f>
        <v>0</v>
      </c>
      <c r="CH49" s="129" t="b">
        <f ca="1">AND(Tbl_ResidentData[[#This Row],[PRN Med Started]]&lt;&gt;"",Tbl_ResidentData[[#This Row],[PRN Med Started]]&lt;=NOW(),Tbl_ResidentData[[#This Row],[PRN Med Started]]&lt;=BJ$4,OR(Tbl_ResidentData[[#This Row],[PRN Med Discontinued]]&gt;BJ$4,ISBLANK(Tbl_ResidentData[[#This Row],[PRN Med Discontinued]])))</f>
        <v>0</v>
      </c>
      <c r="CI49" s="129" t="b">
        <f ca="1">AND(Tbl_ResidentData[[#This Row],[PRN Med Started]]&lt;&gt;"",Tbl_ResidentData[[#This Row],[PRN Med Started]]&lt;=NOW(),Tbl_ResidentData[[#This Row],[PRN Med Started]]&lt;=BK$4,OR(Tbl_ResidentData[[#This Row],[PRN Med Discontinued]]&gt;BK$4,ISBLANK(Tbl_ResidentData[[#This Row],[PRN Med Discontinued]])))</f>
        <v>0</v>
      </c>
      <c r="CJ49" s="129" t="b">
        <f ca="1">AND(Tbl_ResidentData[[#This Row],[PRN Med Started]]&lt;&gt;"",Tbl_ResidentData[[#This Row],[PRN Med Started]]&lt;=NOW(),Tbl_ResidentData[[#This Row],[PRN Med Started]]&lt;=BL$4,OR(Tbl_ResidentData[[#This Row],[PRN Med Discontinued]]&gt;BL$4,ISBLANK(Tbl_ResidentData[[#This Row],[PRN Med Discontinued]])))</f>
        <v>0</v>
      </c>
      <c r="CK49" s="129" t="b">
        <f ca="1">AND(Tbl_ResidentData[[#This Row],[PRN Med Started]]&lt;&gt;"",Tbl_ResidentData[[#This Row],[PRN Med Started]]&lt;=NOW(),Tbl_ResidentData[[#This Row],[PRN Med Started]]&lt;=BM$4,OR(Tbl_ResidentData[[#This Row],[PRN Med Discontinued]]&gt;BM$4,ISBLANK(Tbl_ResidentData[[#This Row],[PRN Med Discontinued]])))</f>
        <v>0</v>
      </c>
      <c r="CL49" s="129" t="b">
        <f ca="1">AND(Tbl_ResidentData[[#This Row],[PRN Med Started]]&lt;&gt;"",Tbl_ResidentData[[#This Row],[PRN Med Started]]&lt;=NOW(),Tbl_ResidentData[[#This Row],[PRN Med Started]]&lt;=BN$4,OR(Tbl_ResidentData[[#This Row],[PRN Med Discontinued]]&gt;BN$4,ISBLANK(Tbl_ResidentData[[#This Row],[PRN Med Discontinued]])))</f>
        <v>0</v>
      </c>
      <c r="CM49" s="121" t="b">
        <f ca="1">AND(Tbl_ResidentData[[#This Row],[PRN Med Started]]&lt;&gt;"",Tbl_ResidentData[[#This Row],[PRN Med Started]]&lt;=NOW(),Tbl_ResidentData[[#This Row],[PRN Med Started]]&lt;=BO$4,OR(Tbl_ResidentData[[#This Row],[PRN Med Discontinued]]&gt;BO$4,ISBLANK(Tbl_ResidentData[[#This Row],[PRN Med Discontinued]])))</f>
        <v>0</v>
      </c>
      <c r="CN49" s="122" t="b">
        <f ca="1">AND(Tbl_ResidentData[[#This Row],[PRN Med Started]]&lt;&gt;"",Tbl_ResidentData[[#This Row],[PRN Med Started]]&lt;=NOW(),Tbl_ResidentData[[#This Row],[PRN Med Started]]&lt;=BP$4,OR(Tbl_ResidentData[[#This Row],[PRN Med Discontinued]]&gt;BP$4,ISBLANK(Tbl_ResidentData[[#This Row],[PRN Med Discontinued]])))</f>
        <v>0</v>
      </c>
      <c r="CO49" s="120">
        <f ca="1">IF(OR(Tbl_ResidentData[[#This Row],[S1]]=TRUE,Tbl_ResidentData[[#This Row],[P1]]=TRUE),1,0)</f>
        <v>0</v>
      </c>
      <c r="CP49" s="121">
        <f ca="1">IF(OR(Tbl_ResidentData[[#This Row],[S2]]=TRUE,Tbl_ResidentData[[#This Row],[P2]]=TRUE),1,0)</f>
        <v>0</v>
      </c>
      <c r="CQ49" s="121">
        <f ca="1">IF(OR(Tbl_ResidentData[[#This Row],[S3]]=TRUE,Tbl_ResidentData[[#This Row],[P3]]=TRUE),1,0)</f>
        <v>0</v>
      </c>
      <c r="CR49" s="130">
        <f ca="1">IF(OR(Tbl_ResidentData[[#This Row],[S4]]=TRUE,Tbl_ResidentData[[#This Row],[P4]]=TRUE),1,0)</f>
        <v>0</v>
      </c>
      <c r="CS49" s="130">
        <f ca="1">IF(OR(Tbl_ResidentData[[#This Row],[S5]]=TRUE,Tbl_ResidentData[[#This Row],[P5]]=TRUE),1,0)</f>
        <v>0</v>
      </c>
      <c r="CT49" s="130">
        <f ca="1">IF(OR(Tbl_ResidentData[[#This Row],[S6]]=TRUE,Tbl_ResidentData[[#This Row],[P6]]=TRUE),1,0)</f>
        <v>0</v>
      </c>
      <c r="CU49" s="130">
        <f ca="1">IF(OR(Tbl_ResidentData[[#This Row],[S7]]=TRUE,Tbl_ResidentData[[#This Row],[P7]]=TRUE),1,0)</f>
        <v>0</v>
      </c>
      <c r="CV49" s="130">
        <f ca="1">IF(OR(Tbl_ResidentData[[#This Row],[S8]]=TRUE,Tbl_ResidentData[[#This Row],[P8]]=TRUE),1,0)</f>
        <v>0</v>
      </c>
      <c r="CW49" s="130">
        <f ca="1">IF(OR(Tbl_ResidentData[[#This Row],[S9]]=TRUE,Tbl_ResidentData[[#This Row],[P9]]=TRUE),1,0)</f>
        <v>0</v>
      </c>
      <c r="CX49" s="130">
        <f ca="1">IF(OR(Tbl_ResidentData[[#This Row],[S10]]=TRUE,Tbl_ResidentData[[#This Row],[P10]]=TRUE),1,0)</f>
        <v>0</v>
      </c>
      <c r="CY49" s="130">
        <f ca="1">IF(OR(Tbl_ResidentData[[#This Row],[S11]]=TRUE,Tbl_ResidentData[[#This Row],[P11]]=TRUE),1,0)</f>
        <v>0</v>
      </c>
      <c r="CZ49" s="130">
        <f ca="1">IF(OR(Tbl_ResidentData[[#This Row],[S12]]=TRUE,Tbl_ResidentData[[#This Row],[P12]]=TRUE),1,0)</f>
        <v>0</v>
      </c>
      <c r="DA49" s="130">
        <f ca="1">IF(OR(Tbl_ResidentData[[#This Row],[S13]]=TRUE,Tbl_ResidentData[[#This Row],[P13]]=TRUE),1,0)</f>
        <v>0</v>
      </c>
      <c r="DB49" s="130">
        <f ca="1">IF(OR(Tbl_ResidentData[[#This Row],[S14]]=TRUE,Tbl_ResidentData[[#This Row],[P14]]=TRUE),1,0)</f>
        <v>0</v>
      </c>
      <c r="DC49" s="130">
        <f ca="1">IF(OR(Tbl_ResidentData[[#This Row],[S15]]=TRUE,Tbl_ResidentData[[#This Row],[P15]]=TRUE),1,0)</f>
        <v>0</v>
      </c>
      <c r="DD49" s="130">
        <f ca="1">IF(OR(Tbl_ResidentData[[#This Row],[S16]]=TRUE,Tbl_ResidentData[[#This Row],[P16]]=TRUE),1,0)</f>
        <v>0</v>
      </c>
      <c r="DE49" s="130">
        <f ca="1">IF(OR(Tbl_ResidentData[[#This Row],[S17]]=TRUE,Tbl_ResidentData[[#This Row],[P17]]=TRUE),1,0)</f>
        <v>0</v>
      </c>
      <c r="DF49" s="130">
        <f ca="1">IF(OR(Tbl_ResidentData[[#This Row],[S18]]=TRUE,Tbl_ResidentData[[#This Row],[P18]]=TRUE),1,0)</f>
        <v>0</v>
      </c>
      <c r="DG49" s="130">
        <f ca="1">IF(OR(Tbl_ResidentData[[#This Row],[S19]]=TRUE,Tbl_ResidentData[[#This Row],[P19]]=TRUE),1,0)</f>
        <v>0</v>
      </c>
      <c r="DH49" s="130">
        <f ca="1">IF(OR(Tbl_ResidentData[[#This Row],[S20]]=TRUE,Tbl_ResidentData[[#This Row],[P20]]=TRUE),1,0)</f>
        <v>0</v>
      </c>
      <c r="DI49" s="130">
        <f ca="1">IF(OR(Tbl_ResidentData[[#This Row],[S21]]=TRUE,Tbl_ResidentData[[#This Row],[P21]]=TRUE),1,0)</f>
        <v>0</v>
      </c>
      <c r="DJ49" s="130">
        <f ca="1">IF(OR(Tbl_ResidentData[[#This Row],[S22]]=TRUE,Tbl_ResidentData[[#This Row],[P22]]=TRUE),1,0)</f>
        <v>0</v>
      </c>
      <c r="DK49" s="130">
        <f ca="1">IF(OR(Tbl_ResidentData[[#This Row],[S23]]=TRUE,Tbl_ResidentData[[#This Row],[P23]]=TRUE),1,0)</f>
        <v>0</v>
      </c>
      <c r="DL49" s="130">
        <f ca="1">IF(OR(Tbl_ResidentData[[#This Row],[S24]]=TRUE,Tbl_ResidentData[[#This Row],[P24]]=TRUE),1,0)</f>
        <v>0</v>
      </c>
      <c r="DM49" s="123" t="str">
        <f ca="1">IFERROR(INDEX($CO$4:$DL$4,MATCH(TRUE,INDEX((Tbl_ResidentData[[#This Row],[Over1]:[Over24]]&lt;&gt;0),0),0)),"")</f>
        <v/>
      </c>
      <c r="DN49" s="133" t="str">
        <f>IFERROR(INDEX(Tbl_PDSAData[Last DRT],MATCH(Tbl_ResidentData[Resident Name '[last, first']],Tbl_PDSAData[Resident Name (last, first)],0)),"")</f>
        <v/>
      </c>
      <c r="DO49" s="222" t="str">
        <f>IFERROR(INDEX(Tbl_PDSAData[Last MR],MATCH(Tbl_ResidentData[Resident Name '[last, first']],Tbl_PDSAData[Resident Name (last, first)],0)),"")</f>
        <v/>
      </c>
    </row>
    <row r="50" spans="1:119" x14ac:dyDescent="0.25">
      <c r="A50" s="179"/>
      <c r="B50" s="180"/>
      <c r="C50" s="180"/>
      <c r="D50" s="217"/>
      <c r="E50" s="179"/>
      <c r="F50" s="181"/>
      <c r="G50" s="181"/>
      <c r="H50" s="375"/>
      <c r="I50" s="185"/>
      <c r="J50" s="387"/>
      <c r="K50" s="178"/>
      <c r="L50" s="388"/>
      <c r="M50" s="185"/>
      <c r="N50" s="386"/>
      <c r="O50" s="178"/>
      <c r="P50" s="388"/>
      <c r="Q50" s="394"/>
      <c r="R50" s="388"/>
      <c r="S50" s="131" t="str">
        <f>IF(ISBLANK(Tbl_ResidentData[[#This Row],[Discharge '[mmm-yyyy']]]),IF(ISBLANK(Tbl_ResidentData[[#This Row],[Enrollment '[mmm-yyyy']]]),"","In Care Home"),"Discharged")</f>
        <v/>
      </c>
      <c r="T50" s="119" t="str">
        <f>IF(ISBLANK(Tbl_ResidentData[[#This Row],[Diagnosis (RAI)]]),IF(ISBLANK(Tbl_ResidentData[[#This Row],[Resident Name '[last, first']]]),"",0),IF(Tbl_ResidentData[[#This Row],[Diagnosis (RAI)]]="Other (see clinical notes)",0,1))</f>
        <v/>
      </c>
      <c r="U50" s="120" t="str">
        <f ca="1">IF(U$4&gt;NOW(),"-",IF(ISBLANK(Tbl_ResidentData[[#This Row],[Enrollment '[mmm-yyyy']]]),"-",AND((Tbl_ResidentData[[#This Row],[Enrollment '[mmm-yyyy']]]&lt;=U$4),IF(ISBLANK(Tbl_ResidentData[[#This Row],[Discharge '[mmm-yyyy']]]),TRUE,(Tbl_ResidentData[[#This Row],[Discharge '[mmm-yyyy']]]&gt;=U$4)))))</f>
        <v>-</v>
      </c>
      <c r="V50" s="121" t="str">
        <f ca="1">IF(V$4&gt;NOW(),"-",IF(ISBLANK(Tbl_ResidentData[[#This Row],[Enrollment '[mmm-yyyy']]]),"-",AND((Tbl_ResidentData[[#This Row],[Enrollment '[mmm-yyyy']]]&lt;=V$4),IF(ISBLANK(Tbl_ResidentData[[#This Row],[Discharge '[mmm-yyyy']]]),TRUE,(Tbl_ResidentData[[#This Row],[Discharge '[mmm-yyyy']]]&gt;=V$4)))))</f>
        <v>-</v>
      </c>
      <c r="W50" s="121" t="str">
        <f ca="1">IF(W$4&gt;NOW(),"-",IF(ISBLANK(Tbl_ResidentData[[#This Row],[Enrollment '[mmm-yyyy']]]),"-",AND((Tbl_ResidentData[[#This Row],[Enrollment '[mmm-yyyy']]]&lt;=W$4),IF(ISBLANK(Tbl_ResidentData[[#This Row],[Discharge '[mmm-yyyy']]]),TRUE,(Tbl_ResidentData[[#This Row],[Discharge '[mmm-yyyy']]]&gt;=W$4)))))</f>
        <v>-</v>
      </c>
      <c r="X50" s="121" t="str">
        <f ca="1">IF(X$4&gt;NOW(),"-",IF(ISBLANK(Tbl_ResidentData[[#This Row],[Enrollment '[mmm-yyyy']]]),"-",AND((Tbl_ResidentData[[#This Row],[Enrollment '[mmm-yyyy']]]&lt;=X$4),IF(ISBLANK(Tbl_ResidentData[[#This Row],[Discharge '[mmm-yyyy']]]),TRUE,(Tbl_ResidentData[[#This Row],[Discharge '[mmm-yyyy']]]&gt;=X$4)))))</f>
        <v>-</v>
      </c>
      <c r="Y50" s="121" t="str">
        <f ca="1">IF(Y$4&gt;NOW(),"-",IF(ISBLANK(Tbl_ResidentData[[#This Row],[Enrollment '[mmm-yyyy']]]),"-",AND((Tbl_ResidentData[[#This Row],[Enrollment '[mmm-yyyy']]]&lt;=Y$4),IF(ISBLANK(Tbl_ResidentData[[#This Row],[Discharge '[mmm-yyyy']]]),TRUE,(Tbl_ResidentData[[#This Row],[Discharge '[mmm-yyyy']]]&gt;=Y$4)))))</f>
        <v>-</v>
      </c>
      <c r="Z50" s="121" t="str">
        <f ca="1">IF(Z$4&gt;NOW(),"-",IF(ISBLANK(Tbl_ResidentData[[#This Row],[Enrollment '[mmm-yyyy']]]),"-",AND((Tbl_ResidentData[[#This Row],[Enrollment '[mmm-yyyy']]]&lt;=Z$4),IF(ISBLANK(Tbl_ResidentData[[#This Row],[Discharge '[mmm-yyyy']]]),TRUE,(Tbl_ResidentData[[#This Row],[Discharge '[mmm-yyyy']]]&gt;=Z$4)))))</f>
        <v>-</v>
      </c>
      <c r="AA50" s="121" t="str">
        <f ca="1">IF(AA$4&gt;NOW(),"-",IF(ISBLANK(Tbl_ResidentData[[#This Row],[Enrollment '[mmm-yyyy']]]),"-",AND((Tbl_ResidentData[[#This Row],[Enrollment '[mmm-yyyy']]]&lt;=AA$4),IF(ISBLANK(Tbl_ResidentData[[#This Row],[Discharge '[mmm-yyyy']]]),TRUE,(Tbl_ResidentData[[#This Row],[Discharge '[mmm-yyyy']]]&gt;=AA$4)))))</f>
        <v>-</v>
      </c>
      <c r="AB50" s="121" t="str">
        <f ca="1">IF(AB$4&gt;NOW(),"-",IF(ISBLANK(Tbl_ResidentData[[#This Row],[Enrollment '[mmm-yyyy']]]),"-",AND((Tbl_ResidentData[[#This Row],[Enrollment '[mmm-yyyy']]]&lt;=AB$4),IF(ISBLANK(Tbl_ResidentData[[#This Row],[Discharge '[mmm-yyyy']]]),TRUE,(Tbl_ResidentData[[#This Row],[Discharge '[mmm-yyyy']]]&gt;=AB$4)))))</f>
        <v>-</v>
      </c>
      <c r="AC50" s="121" t="str">
        <f ca="1">IF(AC$4&gt;NOW(),"-",IF(ISBLANK(Tbl_ResidentData[[#This Row],[Enrollment '[mmm-yyyy']]]),"-",AND((Tbl_ResidentData[[#This Row],[Enrollment '[mmm-yyyy']]]&lt;=AC$4),IF(ISBLANK(Tbl_ResidentData[[#This Row],[Discharge '[mmm-yyyy']]]),TRUE,(Tbl_ResidentData[[#This Row],[Discharge '[mmm-yyyy']]]&gt;=AC$4)))))</f>
        <v>-</v>
      </c>
      <c r="AD50" s="121" t="str">
        <f ca="1">IF(AD$4&gt;NOW(),"-",IF(ISBLANK(Tbl_ResidentData[[#This Row],[Enrollment '[mmm-yyyy']]]),"-",AND((Tbl_ResidentData[[#This Row],[Enrollment '[mmm-yyyy']]]&lt;=AD$4),IF(ISBLANK(Tbl_ResidentData[[#This Row],[Discharge '[mmm-yyyy']]]),TRUE,(Tbl_ResidentData[[#This Row],[Discharge '[mmm-yyyy']]]&gt;=AD$4)))))</f>
        <v>-</v>
      </c>
      <c r="AE50" s="121" t="str">
        <f ca="1">IF(AE$4&gt;NOW(),"-",IF(ISBLANK(Tbl_ResidentData[[#This Row],[Enrollment '[mmm-yyyy']]]),"-",AND((Tbl_ResidentData[[#This Row],[Enrollment '[mmm-yyyy']]]&lt;=AE$4),IF(ISBLANK(Tbl_ResidentData[[#This Row],[Discharge '[mmm-yyyy']]]),TRUE,(Tbl_ResidentData[[#This Row],[Discharge '[mmm-yyyy']]]&gt;=AE$4)))))</f>
        <v>-</v>
      </c>
      <c r="AF50" s="121" t="str">
        <f ca="1">IF(AF$4&gt;NOW(),"-",IF(ISBLANK(Tbl_ResidentData[[#This Row],[Enrollment '[mmm-yyyy']]]),"-",AND((Tbl_ResidentData[[#This Row],[Enrollment '[mmm-yyyy']]]&lt;=AF$4),IF(ISBLANK(Tbl_ResidentData[[#This Row],[Discharge '[mmm-yyyy']]]),TRUE,(Tbl_ResidentData[[#This Row],[Discharge '[mmm-yyyy']]]&gt;=AF$4)))))</f>
        <v>-</v>
      </c>
      <c r="AG50" s="121" t="str">
        <f ca="1">IF(AG$4&gt;NOW(),"-",IF(ISBLANK(Tbl_ResidentData[[#This Row],[Enrollment '[mmm-yyyy']]]),"-",AND((Tbl_ResidentData[[#This Row],[Enrollment '[mmm-yyyy']]]&lt;=AG$4),IF(ISBLANK(Tbl_ResidentData[[#This Row],[Discharge '[mmm-yyyy']]]),TRUE,(Tbl_ResidentData[[#This Row],[Discharge '[mmm-yyyy']]]&gt;=AG$4)))))</f>
        <v>-</v>
      </c>
      <c r="AH50" s="121" t="str">
        <f ca="1">IF(AH$4&gt;NOW(),"-",IF(ISBLANK(Tbl_ResidentData[[#This Row],[Enrollment '[mmm-yyyy']]]),"-",AND((Tbl_ResidentData[[#This Row],[Enrollment '[mmm-yyyy']]]&lt;=AH$4),IF(ISBLANK(Tbl_ResidentData[[#This Row],[Discharge '[mmm-yyyy']]]),TRUE,(Tbl_ResidentData[[#This Row],[Discharge '[mmm-yyyy']]]&gt;=AH$4)))))</f>
        <v>-</v>
      </c>
      <c r="AI50" s="121" t="str">
        <f ca="1">IF(AI$4&gt;NOW(),"-",IF(ISBLANK(Tbl_ResidentData[[#This Row],[Enrollment '[mmm-yyyy']]]),"-",AND((Tbl_ResidentData[[#This Row],[Enrollment '[mmm-yyyy']]]&lt;=AI$4),IF(ISBLANK(Tbl_ResidentData[[#This Row],[Discharge '[mmm-yyyy']]]),TRUE,(Tbl_ResidentData[[#This Row],[Discharge '[mmm-yyyy']]]&gt;=AI$4)))))</f>
        <v>-</v>
      </c>
      <c r="AJ50" s="121" t="str">
        <f ca="1">IF(AJ$4&gt;NOW(),"-",IF(ISBLANK(Tbl_ResidentData[[#This Row],[Enrollment '[mmm-yyyy']]]),"-",AND((Tbl_ResidentData[[#This Row],[Enrollment '[mmm-yyyy']]]&lt;=AJ$4),IF(ISBLANK(Tbl_ResidentData[[#This Row],[Discharge '[mmm-yyyy']]]),TRUE,(Tbl_ResidentData[[#This Row],[Discharge '[mmm-yyyy']]]&gt;=AJ$4)))))</f>
        <v>-</v>
      </c>
      <c r="AK50" s="121" t="str">
        <f ca="1">IF(AK$4&gt;NOW(),"-",IF(ISBLANK(Tbl_ResidentData[[#This Row],[Enrollment '[mmm-yyyy']]]),"-",AND((Tbl_ResidentData[[#This Row],[Enrollment '[mmm-yyyy']]]&lt;=AK$4),IF(ISBLANK(Tbl_ResidentData[[#This Row],[Discharge '[mmm-yyyy']]]),TRUE,(Tbl_ResidentData[[#This Row],[Discharge '[mmm-yyyy']]]&gt;=AK$4)))))</f>
        <v>-</v>
      </c>
      <c r="AL50" s="121" t="str">
        <f ca="1">IF(AL$4&gt;NOW(),"-",IF(ISBLANK(Tbl_ResidentData[[#This Row],[Enrollment '[mmm-yyyy']]]),"-",AND((Tbl_ResidentData[[#This Row],[Enrollment '[mmm-yyyy']]]&lt;=AL$4),IF(ISBLANK(Tbl_ResidentData[[#This Row],[Discharge '[mmm-yyyy']]]),TRUE,(Tbl_ResidentData[[#This Row],[Discharge '[mmm-yyyy']]]&gt;=AL$4)))))</f>
        <v>-</v>
      </c>
      <c r="AM50" s="121" t="str">
        <f ca="1">IF(AM$4&gt;NOW(),"-",IF(ISBLANK(Tbl_ResidentData[[#This Row],[Enrollment '[mmm-yyyy']]]),"-",AND((Tbl_ResidentData[[#This Row],[Enrollment '[mmm-yyyy']]]&lt;=AM$4),IF(ISBLANK(Tbl_ResidentData[[#This Row],[Discharge '[mmm-yyyy']]]),TRUE,(Tbl_ResidentData[[#This Row],[Discharge '[mmm-yyyy']]]&gt;=AM$4)))))</f>
        <v>-</v>
      </c>
      <c r="AN50" s="121" t="str">
        <f ca="1">IF(AN$4&gt;NOW(),"-",IF(ISBLANK(Tbl_ResidentData[[#This Row],[Enrollment '[mmm-yyyy']]]),"-",AND((Tbl_ResidentData[[#This Row],[Enrollment '[mmm-yyyy']]]&lt;=AN$4),IF(ISBLANK(Tbl_ResidentData[[#This Row],[Discharge '[mmm-yyyy']]]),TRUE,(Tbl_ResidentData[[#This Row],[Discharge '[mmm-yyyy']]]&gt;=AN$4)))))</f>
        <v>-</v>
      </c>
      <c r="AO50" s="121" t="str">
        <f ca="1">IF(AO$4&gt;NOW(),"-",IF(ISBLANK(Tbl_ResidentData[[#This Row],[Enrollment '[mmm-yyyy']]]),"-",AND((Tbl_ResidentData[[#This Row],[Enrollment '[mmm-yyyy']]]&lt;=AO$4),IF(ISBLANK(Tbl_ResidentData[[#This Row],[Discharge '[mmm-yyyy']]]),TRUE,(Tbl_ResidentData[[#This Row],[Discharge '[mmm-yyyy']]]&gt;=AO$4)))))</f>
        <v>-</v>
      </c>
      <c r="AP50" s="121" t="str">
        <f ca="1">IF(AP$4&gt;NOW(),"-",IF(ISBLANK(Tbl_ResidentData[[#This Row],[Enrollment '[mmm-yyyy']]]),"-",AND((Tbl_ResidentData[[#This Row],[Enrollment '[mmm-yyyy']]]&lt;=AP$4),IF(ISBLANK(Tbl_ResidentData[[#This Row],[Discharge '[mmm-yyyy']]]),TRUE,(Tbl_ResidentData[[#This Row],[Discharge '[mmm-yyyy']]]&gt;=AP$4)))))</f>
        <v>-</v>
      </c>
      <c r="AQ50" s="121" t="str">
        <f ca="1">IF(AQ$4&gt;NOW(),"-",IF(ISBLANK(Tbl_ResidentData[[#This Row],[Enrollment '[mmm-yyyy']]]),"-",AND((Tbl_ResidentData[[#This Row],[Enrollment '[mmm-yyyy']]]&lt;=AQ$4),IF(ISBLANK(Tbl_ResidentData[[#This Row],[Discharge '[mmm-yyyy']]]),TRUE,(Tbl_ResidentData[[#This Row],[Discharge '[mmm-yyyy']]]&gt;=AQ$4)))))</f>
        <v>-</v>
      </c>
      <c r="AR50" s="122" t="str">
        <f ca="1">IF(AR$4&gt;NOW(),"-",IF(ISBLANK(Tbl_ResidentData[[#This Row],[Enrollment '[mmm-yyyy']]]),"-",AND((Tbl_ResidentData[[#This Row],[Enrollment '[mmm-yyyy']]]&lt;=AR$4),IF(ISBLANK(Tbl_ResidentData[[#This Row],[Discharge '[mmm-yyyy']]]),TRUE,(Tbl_ResidentData[[#This Row],[Discharge '[mmm-yyyy']]]&gt;=AR$4)))))</f>
        <v>-</v>
      </c>
      <c r="AS5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5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5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5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5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5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5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5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5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5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5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5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5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5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5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5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5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5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5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5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5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5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5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5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50" s="120" t="b">
        <f ca="1">AND(Tbl_ResidentData[[#This Row],[PRN Med Started]]&lt;&gt;"",Tbl_ResidentData[[#This Row],[PRN Med Started]]&lt;=NOW(),Tbl_ResidentData[[#This Row],[PRN Med Started]]&lt;=AS$4,OR(Tbl_ResidentData[[#This Row],[PRN Med Discontinued]]&gt;AS$4,ISBLANK(Tbl_ResidentData[[#This Row],[PRN Med Discontinued]])))</f>
        <v>0</v>
      </c>
      <c r="BR50" s="121" t="b">
        <f ca="1">AND(Tbl_ResidentData[[#This Row],[PRN Med Started]]&lt;&gt;"",Tbl_ResidentData[[#This Row],[PRN Med Started]]&lt;=NOW(),Tbl_ResidentData[[#This Row],[PRN Med Started]]&lt;=AT$4,OR(Tbl_ResidentData[[#This Row],[PRN Med Discontinued]]&gt;AT$4,ISBLANK(Tbl_ResidentData[[#This Row],[PRN Med Discontinued]])))</f>
        <v>0</v>
      </c>
      <c r="BS50" s="121" t="b">
        <f ca="1">AND(Tbl_ResidentData[[#This Row],[PRN Med Started]]&lt;&gt;"",Tbl_ResidentData[[#This Row],[PRN Med Started]]&lt;=NOW(),Tbl_ResidentData[[#This Row],[PRN Med Started]]&lt;=AU$4,OR(Tbl_ResidentData[[#This Row],[PRN Med Discontinued]]&gt;AU$4,ISBLANK(Tbl_ResidentData[[#This Row],[PRN Med Discontinued]])))</f>
        <v>0</v>
      </c>
      <c r="BT50" s="121" t="b">
        <f ca="1">AND(Tbl_ResidentData[[#This Row],[PRN Med Started]]&lt;&gt;"",Tbl_ResidentData[[#This Row],[PRN Med Started]]&lt;=NOW(),Tbl_ResidentData[[#This Row],[PRN Med Started]]&lt;=AV$4,OR(Tbl_ResidentData[[#This Row],[PRN Med Discontinued]]&gt;AV$4,ISBLANK(Tbl_ResidentData[[#This Row],[PRN Med Discontinued]])))</f>
        <v>0</v>
      </c>
      <c r="BU50" s="121" t="b">
        <f ca="1">AND(Tbl_ResidentData[[#This Row],[PRN Med Started]]&lt;&gt;"",Tbl_ResidentData[[#This Row],[PRN Med Started]]&lt;=NOW(),Tbl_ResidentData[[#This Row],[PRN Med Started]]&lt;=AW$4,OR(Tbl_ResidentData[[#This Row],[PRN Med Discontinued]]&gt;AW$4,ISBLANK(Tbl_ResidentData[[#This Row],[PRN Med Discontinued]])))</f>
        <v>0</v>
      </c>
      <c r="BV50" s="121" t="b">
        <f ca="1">AND(Tbl_ResidentData[[#This Row],[PRN Med Started]]&lt;&gt;"",Tbl_ResidentData[[#This Row],[PRN Med Started]]&lt;=NOW(),Tbl_ResidentData[[#This Row],[PRN Med Started]]&lt;=AX$4,OR(Tbl_ResidentData[[#This Row],[PRN Med Discontinued]]&gt;AX$4,ISBLANK(Tbl_ResidentData[[#This Row],[PRN Med Discontinued]])))</f>
        <v>0</v>
      </c>
      <c r="BW50" s="121" t="b">
        <f ca="1">AND(Tbl_ResidentData[[#This Row],[PRN Med Started]]&lt;&gt;"",Tbl_ResidentData[[#This Row],[PRN Med Started]]&lt;=NOW(),Tbl_ResidentData[[#This Row],[PRN Med Started]]&lt;=AY$4,OR(Tbl_ResidentData[[#This Row],[PRN Med Discontinued]]&gt;AY$4,ISBLANK(Tbl_ResidentData[[#This Row],[PRN Med Discontinued]])))</f>
        <v>0</v>
      </c>
      <c r="BX50" s="121" t="b">
        <f ca="1">AND(Tbl_ResidentData[[#This Row],[PRN Med Started]]&lt;&gt;"",Tbl_ResidentData[[#This Row],[PRN Med Started]]&lt;=NOW(),Tbl_ResidentData[[#This Row],[PRN Med Started]]&lt;=AZ$4,OR(Tbl_ResidentData[[#This Row],[PRN Med Discontinued]]&gt;AZ$4,ISBLANK(Tbl_ResidentData[[#This Row],[PRN Med Discontinued]])))</f>
        <v>0</v>
      </c>
      <c r="BY50" s="121" t="b">
        <f ca="1">AND(Tbl_ResidentData[[#This Row],[PRN Med Started]]&lt;&gt;"",Tbl_ResidentData[[#This Row],[PRN Med Started]]&lt;=NOW(),Tbl_ResidentData[[#This Row],[PRN Med Started]]&lt;=BA$4,OR(Tbl_ResidentData[[#This Row],[PRN Med Discontinued]]&gt;BA$4,ISBLANK(Tbl_ResidentData[[#This Row],[PRN Med Discontinued]])))</f>
        <v>0</v>
      </c>
      <c r="BZ50" s="121" t="b">
        <f ca="1">AND(Tbl_ResidentData[[#This Row],[PRN Med Started]]&lt;&gt;"",Tbl_ResidentData[[#This Row],[PRN Med Started]]&lt;=NOW(),Tbl_ResidentData[[#This Row],[PRN Med Started]]&lt;=BB$4,OR(Tbl_ResidentData[[#This Row],[PRN Med Discontinued]]&gt;BB$4,ISBLANK(Tbl_ResidentData[[#This Row],[PRN Med Discontinued]])))</f>
        <v>0</v>
      </c>
      <c r="CA50" s="121" t="b">
        <f ca="1">AND(Tbl_ResidentData[[#This Row],[PRN Med Started]]&lt;&gt;"",Tbl_ResidentData[[#This Row],[PRN Med Started]]&lt;=NOW(),Tbl_ResidentData[[#This Row],[PRN Med Started]]&lt;=BC$4,OR(Tbl_ResidentData[[#This Row],[PRN Med Discontinued]]&gt;BC$4,ISBLANK(Tbl_ResidentData[[#This Row],[PRN Med Discontinued]])))</f>
        <v>0</v>
      </c>
      <c r="CB50" s="121" t="b">
        <f ca="1">AND(Tbl_ResidentData[[#This Row],[PRN Med Started]]&lt;&gt;"",Tbl_ResidentData[[#This Row],[PRN Med Started]]&lt;=NOW(),Tbl_ResidentData[[#This Row],[PRN Med Started]]&lt;=BD$4,OR(Tbl_ResidentData[[#This Row],[PRN Med Discontinued]]&gt;BD$4,ISBLANK(Tbl_ResidentData[[#This Row],[PRN Med Discontinued]])))</f>
        <v>0</v>
      </c>
      <c r="CC50" s="121" t="b">
        <f ca="1">AND(Tbl_ResidentData[[#This Row],[PRN Med Started]]&lt;&gt;"",Tbl_ResidentData[[#This Row],[PRN Med Started]]&lt;=NOW(),Tbl_ResidentData[[#This Row],[PRN Med Started]]&lt;=BE$4,OR(Tbl_ResidentData[[#This Row],[PRN Med Discontinued]]&gt;BE$4,ISBLANK(Tbl_ResidentData[[#This Row],[PRN Med Discontinued]])))</f>
        <v>0</v>
      </c>
      <c r="CD50" s="121" t="b">
        <f ca="1">AND(Tbl_ResidentData[[#This Row],[PRN Med Started]]&lt;&gt;"",Tbl_ResidentData[[#This Row],[PRN Med Started]]&lt;=NOW(),Tbl_ResidentData[[#This Row],[PRN Med Started]]&lt;=BF$4,OR(Tbl_ResidentData[[#This Row],[PRN Med Discontinued]]&gt;BF$4,ISBLANK(Tbl_ResidentData[[#This Row],[PRN Med Discontinued]])))</f>
        <v>0</v>
      </c>
      <c r="CE50" s="121" t="b">
        <f ca="1">AND(Tbl_ResidentData[[#This Row],[PRN Med Started]]&lt;&gt;"",Tbl_ResidentData[[#This Row],[PRN Med Started]]&lt;=NOW(),Tbl_ResidentData[[#This Row],[PRN Med Started]]&lt;=BG$4,OR(Tbl_ResidentData[[#This Row],[PRN Med Discontinued]]&gt;BG$4,ISBLANK(Tbl_ResidentData[[#This Row],[PRN Med Discontinued]])))</f>
        <v>0</v>
      </c>
      <c r="CF50" s="121" t="b">
        <f ca="1">AND(Tbl_ResidentData[[#This Row],[PRN Med Started]]&lt;&gt;"",Tbl_ResidentData[[#This Row],[PRN Med Started]]&lt;=NOW(),Tbl_ResidentData[[#This Row],[PRN Med Started]]&lt;=BH$4,OR(Tbl_ResidentData[[#This Row],[PRN Med Discontinued]]&gt;BH$4,ISBLANK(Tbl_ResidentData[[#This Row],[PRN Med Discontinued]])))</f>
        <v>0</v>
      </c>
      <c r="CG50" s="121" t="b">
        <f ca="1">AND(Tbl_ResidentData[[#This Row],[PRN Med Started]]&lt;&gt;"",Tbl_ResidentData[[#This Row],[PRN Med Started]]&lt;=NOW(),Tbl_ResidentData[[#This Row],[PRN Med Started]]&lt;=BI$4,OR(Tbl_ResidentData[[#This Row],[PRN Med Discontinued]]&gt;BI$4,ISBLANK(Tbl_ResidentData[[#This Row],[PRN Med Discontinued]])))</f>
        <v>0</v>
      </c>
      <c r="CH50" s="121" t="b">
        <f ca="1">AND(Tbl_ResidentData[[#This Row],[PRN Med Started]]&lt;&gt;"",Tbl_ResidentData[[#This Row],[PRN Med Started]]&lt;=NOW(),Tbl_ResidentData[[#This Row],[PRN Med Started]]&lt;=BJ$4,OR(Tbl_ResidentData[[#This Row],[PRN Med Discontinued]]&gt;BJ$4,ISBLANK(Tbl_ResidentData[[#This Row],[PRN Med Discontinued]])))</f>
        <v>0</v>
      </c>
      <c r="CI50" s="121" t="b">
        <f ca="1">AND(Tbl_ResidentData[[#This Row],[PRN Med Started]]&lt;&gt;"",Tbl_ResidentData[[#This Row],[PRN Med Started]]&lt;=NOW(),Tbl_ResidentData[[#This Row],[PRN Med Started]]&lt;=BK$4,OR(Tbl_ResidentData[[#This Row],[PRN Med Discontinued]]&gt;BK$4,ISBLANK(Tbl_ResidentData[[#This Row],[PRN Med Discontinued]])))</f>
        <v>0</v>
      </c>
      <c r="CJ50" s="121" t="b">
        <f ca="1">AND(Tbl_ResidentData[[#This Row],[PRN Med Started]]&lt;&gt;"",Tbl_ResidentData[[#This Row],[PRN Med Started]]&lt;=NOW(),Tbl_ResidentData[[#This Row],[PRN Med Started]]&lt;=BL$4,OR(Tbl_ResidentData[[#This Row],[PRN Med Discontinued]]&gt;BL$4,ISBLANK(Tbl_ResidentData[[#This Row],[PRN Med Discontinued]])))</f>
        <v>0</v>
      </c>
      <c r="CK50" s="121" t="b">
        <f ca="1">AND(Tbl_ResidentData[[#This Row],[PRN Med Started]]&lt;&gt;"",Tbl_ResidentData[[#This Row],[PRN Med Started]]&lt;=NOW(),Tbl_ResidentData[[#This Row],[PRN Med Started]]&lt;=BM$4,OR(Tbl_ResidentData[[#This Row],[PRN Med Discontinued]]&gt;BM$4,ISBLANK(Tbl_ResidentData[[#This Row],[PRN Med Discontinued]])))</f>
        <v>0</v>
      </c>
      <c r="CL50" s="121" t="b">
        <f ca="1">AND(Tbl_ResidentData[[#This Row],[PRN Med Started]]&lt;&gt;"",Tbl_ResidentData[[#This Row],[PRN Med Started]]&lt;=NOW(),Tbl_ResidentData[[#This Row],[PRN Med Started]]&lt;=BN$4,OR(Tbl_ResidentData[[#This Row],[PRN Med Discontinued]]&gt;BN$4,ISBLANK(Tbl_ResidentData[[#This Row],[PRN Med Discontinued]])))</f>
        <v>0</v>
      </c>
      <c r="CM50" s="121" t="b">
        <f ca="1">AND(Tbl_ResidentData[[#This Row],[PRN Med Started]]&lt;&gt;"",Tbl_ResidentData[[#This Row],[PRN Med Started]]&lt;=NOW(),Tbl_ResidentData[[#This Row],[PRN Med Started]]&lt;=BO$4,OR(Tbl_ResidentData[[#This Row],[PRN Med Discontinued]]&gt;BO$4,ISBLANK(Tbl_ResidentData[[#This Row],[PRN Med Discontinued]])))</f>
        <v>0</v>
      </c>
      <c r="CN50" s="122" t="b">
        <f ca="1">AND(Tbl_ResidentData[[#This Row],[PRN Med Started]]&lt;&gt;"",Tbl_ResidentData[[#This Row],[PRN Med Started]]&lt;=NOW(),Tbl_ResidentData[[#This Row],[PRN Med Started]]&lt;=BP$4,OR(Tbl_ResidentData[[#This Row],[PRN Med Discontinued]]&gt;BP$4,ISBLANK(Tbl_ResidentData[[#This Row],[PRN Med Discontinued]])))</f>
        <v>0</v>
      </c>
      <c r="CO50" s="120">
        <f ca="1">IF(OR(Tbl_ResidentData[[#This Row],[S1]]=TRUE,Tbl_ResidentData[[#This Row],[P1]]=TRUE),1,0)</f>
        <v>0</v>
      </c>
      <c r="CP50" s="121">
        <f ca="1">IF(OR(Tbl_ResidentData[[#This Row],[S2]]=TRUE,Tbl_ResidentData[[#This Row],[P2]]=TRUE),1,0)</f>
        <v>0</v>
      </c>
      <c r="CQ50" s="121">
        <f ca="1">IF(OR(Tbl_ResidentData[[#This Row],[S3]]=TRUE,Tbl_ResidentData[[#This Row],[P3]]=TRUE),1,0)</f>
        <v>0</v>
      </c>
      <c r="CR50" s="120">
        <f ca="1">IF(OR(Tbl_ResidentData[[#This Row],[S4]]=TRUE,Tbl_ResidentData[[#This Row],[P4]]=TRUE),1,0)</f>
        <v>0</v>
      </c>
      <c r="CS50" s="120">
        <f ca="1">IF(OR(Tbl_ResidentData[[#This Row],[S5]]=TRUE,Tbl_ResidentData[[#This Row],[P5]]=TRUE),1,0)</f>
        <v>0</v>
      </c>
      <c r="CT50" s="120">
        <f ca="1">IF(OR(Tbl_ResidentData[[#This Row],[S6]]=TRUE,Tbl_ResidentData[[#This Row],[P6]]=TRUE),1,0)</f>
        <v>0</v>
      </c>
      <c r="CU50" s="120">
        <f ca="1">IF(OR(Tbl_ResidentData[[#This Row],[S7]]=TRUE,Tbl_ResidentData[[#This Row],[P7]]=TRUE),1,0)</f>
        <v>0</v>
      </c>
      <c r="CV50" s="120">
        <f ca="1">IF(OR(Tbl_ResidentData[[#This Row],[S8]]=TRUE,Tbl_ResidentData[[#This Row],[P8]]=TRUE),1,0)</f>
        <v>0</v>
      </c>
      <c r="CW50" s="120">
        <f ca="1">IF(OR(Tbl_ResidentData[[#This Row],[S9]]=TRUE,Tbl_ResidentData[[#This Row],[P9]]=TRUE),1,0)</f>
        <v>0</v>
      </c>
      <c r="CX50" s="120">
        <f ca="1">IF(OR(Tbl_ResidentData[[#This Row],[S10]]=TRUE,Tbl_ResidentData[[#This Row],[P10]]=TRUE),1,0)</f>
        <v>0</v>
      </c>
      <c r="CY50" s="120">
        <f ca="1">IF(OR(Tbl_ResidentData[[#This Row],[S11]]=TRUE,Tbl_ResidentData[[#This Row],[P11]]=TRUE),1,0)</f>
        <v>0</v>
      </c>
      <c r="CZ50" s="120">
        <f ca="1">IF(OR(Tbl_ResidentData[[#This Row],[S12]]=TRUE,Tbl_ResidentData[[#This Row],[P12]]=TRUE),1,0)</f>
        <v>0</v>
      </c>
      <c r="DA50" s="120">
        <f ca="1">IF(OR(Tbl_ResidentData[[#This Row],[S13]]=TRUE,Tbl_ResidentData[[#This Row],[P13]]=TRUE),1,0)</f>
        <v>0</v>
      </c>
      <c r="DB50" s="120">
        <f ca="1">IF(OR(Tbl_ResidentData[[#This Row],[S14]]=TRUE,Tbl_ResidentData[[#This Row],[P14]]=TRUE),1,0)</f>
        <v>0</v>
      </c>
      <c r="DC50" s="120">
        <f ca="1">IF(OR(Tbl_ResidentData[[#This Row],[S15]]=TRUE,Tbl_ResidentData[[#This Row],[P15]]=TRUE),1,0)</f>
        <v>0</v>
      </c>
      <c r="DD50" s="120">
        <f ca="1">IF(OR(Tbl_ResidentData[[#This Row],[S16]]=TRUE,Tbl_ResidentData[[#This Row],[P16]]=TRUE),1,0)</f>
        <v>0</v>
      </c>
      <c r="DE50" s="120">
        <f ca="1">IF(OR(Tbl_ResidentData[[#This Row],[S17]]=TRUE,Tbl_ResidentData[[#This Row],[P17]]=TRUE),1,0)</f>
        <v>0</v>
      </c>
      <c r="DF50" s="120">
        <f ca="1">IF(OR(Tbl_ResidentData[[#This Row],[S18]]=TRUE,Tbl_ResidentData[[#This Row],[P18]]=TRUE),1,0)</f>
        <v>0</v>
      </c>
      <c r="DG50" s="120">
        <f ca="1">IF(OR(Tbl_ResidentData[[#This Row],[S19]]=TRUE,Tbl_ResidentData[[#This Row],[P19]]=TRUE),1,0)</f>
        <v>0</v>
      </c>
      <c r="DH50" s="120">
        <f ca="1">IF(OR(Tbl_ResidentData[[#This Row],[S20]]=TRUE,Tbl_ResidentData[[#This Row],[P20]]=TRUE),1,0)</f>
        <v>0</v>
      </c>
      <c r="DI50" s="120">
        <f ca="1">IF(OR(Tbl_ResidentData[[#This Row],[S21]]=TRUE,Tbl_ResidentData[[#This Row],[P21]]=TRUE),1,0)</f>
        <v>0</v>
      </c>
      <c r="DJ50" s="120">
        <f ca="1">IF(OR(Tbl_ResidentData[[#This Row],[S22]]=TRUE,Tbl_ResidentData[[#This Row],[P22]]=TRUE),1,0)</f>
        <v>0</v>
      </c>
      <c r="DK50" s="120">
        <f ca="1">IF(OR(Tbl_ResidentData[[#This Row],[S23]]=TRUE,Tbl_ResidentData[[#This Row],[P23]]=TRUE),1,0)</f>
        <v>0</v>
      </c>
      <c r="DL50" s="120">
        <f ca="1">IF(OR(Tbl_ResidentData[[#This Row],[S24]]=TRUE,Tbl_ResidentData[[#This Row],[P24]]=TRUE),1,0)</f>
        <v>0</v>
      </c>
      <c r="DM50" s="123" t="str">
        <f ca="1">IFERROR(INDEX($CO$4:$DL$4,MATCH(TRUE,INDEX((Tbl_ResidentData[[#This Row],[Over1]:[Over24]]&lt;&gt;0),0),0)),"")</f>
        <v/>
      </c>
      <c r="DN50" s="133" t="str">
        <f>IFERROR(INDEX(Tbl_PDSAData[Last DRT],MATCH(Tbl_ResidentData[Resident Name '[last, first']],Tbl_PDSAData[Resident Name (last, first)],0)),"")</f>
        <v/>
      </c>
      <c r="DO50" s="222" t="str">
        <f>IFERROR(INDEX(Tbl_PDSAData[Last MR],MATCH(Tbl_ResidentData[Resident Name '[last, first']],Tbl_PDSAData[Resident Name (last, first)],0)),"")</f>
        <v/>
      </c>
    </row>
    <row r="51" spans="1:119" x14ac:dyDescent="0.25">
      <c r="A51" s="179"/>
      <c r="B51" s="180"/>
      <c r="C51" s="180"/>
      <c r="D51" s="218"/>
      <c r="E51" s="179"/>
      <c r="F51" s="181"/>
      <c r="G51" s="181"/>
      <c r="H51" s="182"/>
      <c r="I51" s="185"/>
      <c r="J51" s="387"/>
      <c r="K51" s="178"/>
      <c r="L51" s="388"/>
      <c r="M51" s="185"/>
      <c r="N51" s="386"/>
      <c r="O51" s="178"/>
      <c r="P51" s="388"/>
      <c r="Q51" s="395"/>
      <c r="R51" s="396"/>
      <c r="S51" s="131" t="str">
        <f>IF(ISBLANK(Tbl_ResidentData[[#This Row],[Discharge '[mmm-yyyy']]]),IF(ISBLANK(Tbl_ResidentData[[#This Row],[Enrollment '[mmm-yyyy']]]),"","In Care Home"),"Discharged")</f>
        <v/>
      </c>
      <c r="T51" s="119" t="str">
        <f>IF(ISBLANK(Tbl_ResidentData[[#This Row],[Diagnosis (RAI)]]),IF(ISBLANK(Tbl_ResidentData[[#This Row],[Resident Name '[last, first']]]),"",0),IF(Tbl_ResidentData[[#This Row],[Diagnosis (RAI)]]="Other (see clinical notes)",0,1))</f>
        <v/>
      </c>
      <c r="U51" s="120" t="str">
        <f ca="1">IF(U$4&gt;NOW(),"-",IF(ISBLANK(Tbl_ResidentData[[#This Row],[Enrollment '[mmm-yyyy']]]),"-",AND((Tbl_ResidentData[[#This Row],[Enrollment '[mmm-yyyy']]]&lt;=U$4),IF(ISBLANK(Tbl_ResidentData[[#This Row],[Discharge '[mmm-yyyy']]]),TRUE,(Tbl_ResidentData[[#This Row],[Discharge '[mmm-yyyy']]]&gt;=U$4)))))</f>
        <v>-</v>
      </c>
      <c r="V51" s="121" t="str">
        <f ca="1">IF(V$4&gt;NOW(),"-",IF(ISBLANK(Tbl_ResidentData[[#This Row],[Enrollment '[mmm-yyyy']]]),"-",AND((Tbl_ResidentData[[#This Row],[Enrollment '[mmm-yyyy']]]&lt;=V$4),IF(ISBLANK(Tbl_ResidentData[[#This Row],[Discharge '[mmm-yyyy']]]),TRUE,(Tbl_ResidentData[[#This Row],[Discharge '[mmm-yyyy']]]&gt;=V$4)))))</f>
        <v>-</v>
      </c>
      <c r="W51" s="121" t="str">
        <f ca="1">IF(W$4&gt;NOW(),"-",IF(ISBLANK(Tbl_ResidentData[[#This Row],[Enrollment '[mmm-yyyy']]]),"-",AND((Tbl_ResidentData[[#This Row],[Enrollment '[mmm-yyyy']]]&lt;=W$4),IF(ISBLANK(Tbl_ResidentData[[#This Row],[Discharge '[mmm-yyyy']]]),TRUE,(Tbl_ResidentData[[#This Row],[Discharge '[mmm-yyyy']]]&gt;=W$4)))))</f>
        <v>-</v>
      </c>
      <c r="X51" s="121" t="str">
        <f ca="1">IF(X$4&gt;NOW(),"-",IF(ISBLANK(Tbl_ResidentData[[#This Row],[Enrollment '[mmm-yyyy']]]),"-",AND((Tbl_ResidentData[[#This Row],[Enrollment '[mmm-yyyy']]]&lt;=X$4),IF(ISBLANK(Tbl_ResidentData[[#This Row],[Discharge '[mmm-yyyy']]]),TRUE,(Tbl_ResidentData[[#This Row],[Discharge '[mmm-yyyy']]]&gt;=X$4)))))</f>
        <v>-</v>
      </c>
      <c r="Y51" s="121" t="str">
        <f ca="1">IF(Y$4&gt;NOW(),"-",IF(ISBLANK(Tbl_ResidentData[[#This Row],[Enrollment '[mmm-yyyy']]]),"-",AND((Tbl_ResidentData[[#This Row],[Enrollment '[mmm-yyyy']]]&lt;=Y$4),IF(ISBLANK(Tbl_ResidentData[[#This Row],[Discharge '[mmm-yyyy']]]),TRUE,(Tbl_ResidentData[[#This Row],[Discharge '[mmm-yyyy']]]&gt;=Y$4)))))</f>
        <v>-</v>
      </c>
      <c r="Z51" s="121" t="str">
        <f ca="1">IF(Z$4&gt;NOW(),"-",IF(ISBLANK(Tbl_ResidentData[[#This Row],[Enrollment '[mmm-yyyy']]]),"-",AND((Tbl_ResidentData[[#This Row],[Enrollment '[mmm-yyyy']]]&lt;=Z$4),IF(ISBLANK(Tbl_ResidentData[[#This Row],[Discharge '[mmm-yyyy']]]),TRUE,(Tbl_ResidentData[[#This Row],[Discharge '[mmm-yyyy']]]&gt;=Z$4)))))</f>
        <v>-</v>
      </c>
      <c r="AA51" s="121" t="str">
        <f ca="1">IF(AA$4&gt;NOW(),"-",IF(ISBLANK(Tbl_ResidentData[[#This Row],[Enrollment '[mmm-yyyy']]]),"-",AND((Tbl_ResidentData[[#This Row],[Enrollment '[mmm-yyyy']]]&lt;=AA$4),IF(ISBLANK(Tbl_ResidentData[[#This Row],[Discharge '[mmm-yyyy']]]),TRUE,(Tbl_ResidentData[[#This Row],[Discharge '[mmm-yyyy']]]&gt;=AA$4)))))</f>
        <v>-</v>
      </c>
      <c r="AB51" s="121" t="str">
        <f ca="1">IF(AB$4&gt;NOW(),"-",IF(ISBLANK(Tbl_ResidentData[[#This Row],[Enrollment '[mmm-yyyy']]]),"-",AND((Tbl_ResidentData[[#This Row],[Enrollment '[mmm-yyyy']]]&lt;=AB$4),IF(ISBLANK(Tbl_ResidentData[[#This Row],[Discharge '[mmm-yyyy']]]),TRUE,(Tbl_ResidentData[[#This Row],[Discharge '[mmm-yyyy']]]&gt;=AB$4)))))</f>
        <v>-</v>
      </c>
      <c r="AC51" s="121" t="str">
        <f ca="1">IF(AC$4&gt;NOW(),"-",IF(ISBLANK(Tbl_ResidentData[[#This Row],[Enrollment '[mmm-yyyy']]]),"-",AND((Tbl_ResidentData[[#This Row],[Enrollment '[mmm-yyyy']]]&lt;=AC$4),IF(ISBLANK(Tbl_ResidentData[[#This Row],[Discharge '[mmm-yyyy']]]),TRUE,(Tbl_ResidentData[[#This Row],[Discharge '[mmm-yyyy']]]&gt;=AC$4)))))</f>
        <v>-</v>
      </c>
      <c r="AD51" s="121" t="str">
        <f ca="1">IF(AD$4&gt;NOW(),"-",IF(ISBLANK(Tbl_ResidentData[[#This Row],[Enrollment '[mmm-yyyy']]]),"-",AND((Tbl_ResidentData[[#This Row],[Enrollment '[mmm-yyyy']]]&lt;=AD$4),IF(ISBLANK(Tbl_ResidentData[[#This Row],[Discharge '[mmm-yyyy']]]),TRUE,(Tbl_ResidentData[[#This Row],[Discharge '[mmm-yyyy']]]&gt;=AD$4)))))</f>
        <v>-</v>
      </c>
      <c r="AE51" s="121" t="str">
        <f ca="1">IF(AE$4&gt;NOW(),"-",IF(ISBLANK(Tbl_ResidentData[[#This Row],[Enrollment '[mmm-yyyy']]]),"-",AND((Tbl_ResidentData[[#This Row],[Enrollment '[mmm-yyyy']]]&lt;=AE$4),IF(ISBLANK(Tbl_ResidentData[[#This Row],[Discharge '[mmm-yyyy']]]),TRUE,(Tbl_ResidentData[[#This Row],[Discharge '[mmm-yyyy']]]&gt;=AE$4)))))</f>
        <v>-</v>
      </c>
      <c r="AF51" s="121" t="str">
        <f ca="1">IF(AF$4&gt;NOW(),"-",IF(ISBLANK(Tbl_ResidentData[[#This Row],[Enrollment '[mmm-yyyy']]]),"-",AND((Tbl_ResidentData[[#This Row],[Enrollment '[mmm-yyyy']]]&lt;=AF$4),IF(ISBLANK(Tbl_ResidentData[[#This Row],[Discharge '[mmm-yyyy']]]),TRUE,(Tbl_ResidentData[[#This Row],[Discharge '[mmm-yyyy']]]&gt;=AF$4)))))</f>
        <v>-</v>
      </c>
      <c r="AG51" s="121" t="str">
        <f ca="1">IF(AG$4&gt;NOW(),"-",IF(ISBLANK(Tbl_ResidentData[[#This Row],[Enrollment '[mmm-yyyy']]]),"-",AND((Tbl_ResidentData[[#This Row],[Enrollment '[mmm-yyyy']]]&lt;=AG$4),IF(ISBLANK(Tbl_ResidentData[[#This Row],[Discharge '[mmm-yyyy']]]),TRUE,(Tbl_ResidentData[[#This Row],[Discharge '[mmm-yyyy']]]&gt;=AG$4)))))</f>
        <v>-</v>
      </c>
      <c r="AH51" s="121" t="str">
        <f ca="1">IF(AH$4&gt;NOW(),"-",IF(ISBLANK(Tbl_ResidentData[[#This Row],[Enrollment '[mmm-yyyy']]]),"-",AND((Tbl_ResidentData[[#This Row],[Enrollment '[mmm-yyyy']]]&lt;=AH$4),IF(ISBLANK(Tbl_ResidentData[[#This Row],[Discharge '[mmm-yyyy']]]),TRUE,(Tbl_ResidentData[[#This Row],[Discharge '[mmm-yyyy']]]&gt;=AH$4)))))</f>
        <v>-</v>
      </c>
      <c r="AI51" s="121" t="str">
        <f ca="1">IF(AI$4&gt;NOW(),"-",IF(ISBLANK(Tbl_ResidentData[[#This Row],[Enrollment '[mmm-yyyy']]]),"-",AND((Tbl_ResidentData[[#This Row],[Enrollment '[mmm-yyyy']]]&lt;=AI$4),IF(ISBLANK(Tbl_ResidentData[[#This Row],[Discharge '[mmm-yyyy']]]),TRUE,(Tbl_ResidentData[[#This Row],[Discharge '[mmm-yyyy']]]&gt;=AI$4)))))</f>
        <v>-</v>
      </c>
      <c r="AJ51" s="121" t="str">
        <f ca="1">IF(AJ$4&gt;NOW(),"-",IF(ISBLANK(Tbl_ResidentData[[#This Row],[Enrollment '[mmm-yyyy']]]),"-",AND((Tbl_ResidentData[[#This Row],[Enrollment '[mmm-yyyy']]]&lt;=AJ$4),IF(ISBLANK(Tbl_ResidentData[[#This Row],[Discharge '[mmm-yyyy']]]),TRUE,(Tbl_ResidentData[[#This Row],[Discharge '[mmm-yyyy']]]&gt;=AJ$4)))))</f>
        <v>-</v>
      </c>
      <c r="AK51" s="121" t="str">
        <f ca="1">IF(AK$4&gt;NOW(),"-",IF(ISBLANK(Tbl_ResidentData[[#This Row],[Enrollment '[mmm-yyyy']]]),"-",AND((Tbl_ResidentData[[#This Row],[Enrollment '[mmm-yyyy']]]&lt;=AK$4),IF(ISBLANK(Tbl_ResidentData[[#This Row],[Discharge '[mmm-yyyy']]]),TRUE,(Tbl_ResidentData[[#This Row],[Discharge '[mmm-yyyy']]]&gt;=AK$4)))))</f>
        <v>-</v>
      </c>
      <c r="AL51" s="121" t="str">
        <f ca="1">IF(AL$4&gt;NOW(),"-",IF(ISBLANK(Tbl_ResidentData[[#This Row],[Enrollment '[mmm-yyyy']]]),"-",AND((Tbl_ResidentData[[#This Row],[Enrollment '[mmm-yyyy']]]&lt;=AL$4),IF(ISBLANK(Tbl_ResidentData[[#This Row],[Discharge '[mmm-yyyy']]]),TRUE,(Tbl_ResidentData[[#This Row],[Discharge '[mmm-yyyy']]]&gt;=AL$4)))))</f>
        <v>-</v>
      </c>
      <c r="AM51" s="121" t="str">
        <f ca="1">IF(AM$4&gt;NOW(),"-",IF(ISBLANK(Tbl_ResidentData[[#This Row],[Enrollment '[mmm-yyyy']]]),"-",AND((Tbl_ResidentData[[#This Row],[Enrollment '[mmm-yyyy']]]&lt;=AM$4),IF(ISBLANK(Tbl_ResidentData[[#This Row],[Discharge '[mmm-yyyy']]]),TRUE,(Tbl_ResidentData[[#This Row],[Discharge '[mmm-yyyy']]]&gt;=AM$4)))))</f>
        <v>-</v>
      </c>
      <c r="AN51" s="121" t="str">
        <f ca="1">IF(AN$4&gt;NOW(),"-",IF(ISBLANK(Tbl_ResidentData[[#This Row],[Enrollment '[mmm-yyyy']]]),"-",AND((Tbl_ResidentData[[#This Row],[Enrollment '[mmm-yyyy']]]&lt;=AN$4),IF(ISBLANK(Tbl_ResidentData[[#This Row],[Discharge '[mmm-yyyy']]]),TRUE,(Tbl_ResidentData[[#This Row],[Discharge '[mmm-yyyy']]]&gt;=AN$4)))))</f>
        <v>-</v>
      </c>
      <c r="AO51" s="121" t="str">
        <f ca="1">IF(AO$4&gt;NOW(),"-",IF(ISBLANK(Tbl_ResidentData[[#This Row],[Enrollment '[mmm-yyyy']]]),"-",AND((Tbl_ResidentData[[#This Row],[Enrollment '[mmm-yyyy']]]&lt;=AO$4),IF(ISBLANK(Tbl_ResidentData[[#This Row],[Discharge '[mmm-yyyy']]]),TRUE,(Tbl_ResidentData[[#This Row],[Discharge '[mmm-yyyy']]]&gt;=AO$4)))))</f>
        <v>-</v>
      </c>
      <c r="AP51" s="121" t="str">
        <f ca="1">IF(AP$4&gt;NOW(),"-",IF(ISBLANK(Tbl_ResidentData[[#This Row],[Enrollment '[mmm-yyyy']]]),"-",AND((Tbl_ResidentData[[#This Row],[Enrollment '[mmm-yyyy']]]&lt;=AP$4),IF(ISBLANK(Tbl_ResidentData[[#This Row],[Discharge '[mmm-yyyy']]]),TRUE,(Tbl_ResidentData[[#This Row],[Discharge '[mmm-yyyy']]]&gt;=AP$4)))))</f>
        <v>-</v>
      </c>
      <c r="AQ51" s="121" t="str">
        <f ca="1">IF(AQ$4&gt;NOW(),"-",IF(ISBLANK(Tbl_ResidentData[[#This Row],[Enrollment '[mmm-yyyy']]]),"-",AND((Tbl_ResidentData[[#This Row],[Enrollment '[mmm-yyyy']]]&lt;=AQ$4),IF(ISBLANK(Tbl_ResidentData[[#This Row],[Discharge '[mmm-yyyy']]]),TRUE,(Tbl_ResidentData[[#This Row],[Discharge '[mmm-yyyy']]]&gt;=AQ$4)))))</f>
        <v>-</v>
      </c>
      <c r="AR51" s="122" t="str">
        <f ca="1">IF(AR$4&gt;NOW(),"-",IF(ISBLANK(Tbl_ResidentData[[#This Row],[Enrollment '[mmm-yyyy']]]),"-",AND((Tbl_ResidentData[[#This Row],[Enrollment '[mmm-yyyy']]]&lt;=AR$4),IF(ISBLANK(Tbl_ResidentData[[#This Row],[Discharge '[mmm-yyyy']]]),TRUE,(Tbl_ResidentData[[#This Row],[Discharge '[mmm-yyyy']]]&gt;=AR$4)))))</f>
        <v>-</v>
      </c>
      <c r="AS5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5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5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5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5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5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5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5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5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5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5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5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5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5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5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5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5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5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5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5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5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5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5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5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51" s="120" t="b">
        <f ca="1">AND(Tbl_ResidentData[[#This Row],[PRN Med Started]]&lt;&gt;"",Tbl_ResidentData[[#This Row],[PRN Med Started]]&lt;=NOW(),Tbl_ResidentData[[#This Row],[PRN Med Started]]&lt;=AS$4,OR(Tbl_ResidentData[[#This Row],[PRN Med Discontinued]]&gt;AS$4,ISBLANK(Tbl_ResidentData[[#This Row],[PRN Med Discontinued]])))</f>
        <v>0</v>
      </c>
      <c r="BR51" s="121" t="b">
        <f ca="1">AND(Tbl_ResidentData[[#This Row],[PRN Med Started]]&lt;&gt;"",Tbl_ResidentData[[#This Row],[PRN Med Started]]&lt;=NOW(),Tbl_ResidentData[[#This Row],[PRN Med Started]]&lt;=AT$4,OR(Tbl_ResidentData[[#This Row],[PRN Med Discontinued]]&gt;AT$4,ISBLANK(Tbl_ResidentData[[#This Row],[PRN Med Discontinued]])))</f>
        <v>0</v>
      </c>
      <c r="BS51" s="121" t="b">
        <f ca="1">AND(Tbl_ResidentData[[#This Row],[PRN Med Started]]&lt;&gt;"",Tbl_ResidentData[[#This Row],[PRN Med Started]]&lt;=NOW(),Tbl_ResidentData[[#This Row],[PRN Med Started]]&lt;=AU$4,OR(Tbl_ResidentData[[#This Row],[PRN Med Discontinued]]&gt;AU$4,ISBLANK(Tbl_ResidentData[[#This Row],[PRN Med Discontinued]])))</f>
        <v>0</v>
      </c>
      <c r="BT51" s="121" t="b">
        <f ca="1">AND(Tbl_ResidentData[[#This Row],[PRN Med Started]]&lt;&gt;"",Tbl_ResidentData[[#This Row],[PRN Med Started]]&lt;=NOW(),Tbl_ResidentData[[#This Row],[PRN Med Started]]&lt;=AV$4,OR(Tbl_ResidentData[[#This Row],[PRN Med Discontinued]]&gt;AV$4,ISBLANK(Tbl_ResidentData[[#This Row],[PRN Med Discontinued]])))</f>
        <v>0</v>
      </c>
      <c r="BU51" s="121" t="b">
        <f ca="1">AND(Tbl_ResidentData[[#This Row],[PRN Med Started]]&lt;&gt;"",Tbl_ResidentData[[#This Row],[PRN Med Started]]&lt;=NOW(),Tbl_ResidentData[[#This Row],[PRN Med Started]]&lt;=AW$4,OR(Tbl_ResidentData[[#This Row],[PRN Med Discontinued]]&gt;AW$4,ISBLANK(Tbl_ResidentData[[#This Row],[PRN Med Discontinued]])))</f>
        <v>0</v>
      </c>
      <c r="BV51" s="121" t="b">
        <f ca="1">AND(Tbl_ResidentData[[#This Row],[PRN Med Started]]&lt;&gt;"",Tbl_ResidentData[[#This Row],[PRN Med Started]]&lt;=NOW(),Tbl_ResidentData[[#This Row],[PRN Med Started]]&lt;=AX$4,OR(Tbl_ResidentData[[#This Row],[PRN Med Discontinued]]&gt;AX$4,ISBLANK(Tbl_ResidentData[[#This Row],[PRN Med Discontinued]])))</f>
        <v>0</v>
      </c>
      <c r="BW51" s="121" t="b">
        <f ca="1">AND(Tbl_ResidentData[[#This Row],[PRN Med Started]]&lt;&gt;"",Tbl_ResidentData[[#This Row],[PRN Med Started]]&lt;=NOW(),Tbl_ResidentData[[#This Row],[PRN Med Started]]&lt;=AY$4,OR(Tbl_ResidentData[[#This Row],[PRN Med Discontinued]]&gt;AY$4,ISBLANK(Tbl_ResidentData[[#This Row],[PRN Med Discontinued]])))</f>
        <v>0</v>
      </c>
      <c r="BX51" s="121" t="b">
        <f ca="1">AND(Tbl_ResidentData[[#This Row],[PRN Med Started]]&lt;&gt;"",Tbl_ResidentData[[#This Row],[PRN Med Started]]&lt;=NOW(),Tbl_ResidentData[[#This Row],[PRN Med Started]]&lt;=AZ$4,OR(Tbl_ResidentData[[#This Row],[PRN Med Discontinued]]&gt;AZ$4,ISBLANK(Tbl_ResidentData[[#This Row],[PRN Med Discontinued]])))</f>
        <v>0</v>
      </c>
      <c r="BY51" s="121" t="b">
        <f ca="1">AND(Tbl_ResidentData[[#This Row],[PRN Med Started]]&lt;&gt;"",Tbl_ResidentData[[#This Row],[PRN Med Started]]&lt;=NOW(),Tbl_ResidentData[[#This Row],[PRN Med Started]]&lt;=BA$4,OR(Tbl_ResidentData[[#This Row],[PRN Med Discontinued]]&gt;BA$4,ISBLANK(Tbl_ResidentData[[#This Row],[PRN Med Discontinued]])))</f>
        <v>0</v>
      </c>
      <c r="BZ51" s="121" t="b">
        <f ca="1">AND(Tbl_ResidentData[[#This Row],[PRN Med Started]]&lt;&gt;"",Tbl_ResidentData[[#This Row],[PRN Med Started]]&lt;=NOW(),Tbl_ResidentData[[#This Row],[PRN Med Started]]&lt;=BB$4,OR(Tbl_ResidentData[[#This Row],[PRN Med Discontinued]]&gt;BB$4,ISBLANK(Tbl_ResidentData[[#This Row],[PRN Med Discontinued]])))</f>
        <v>0</v>
      </c>
      <c r="CA51" s="121" t="b">
        <f ca="1">AND(Tbl_ResidentData[[#This Row],[PRN Med Started]]&lt;&gt;"",Tbl_ResidentData[[#This Row],[PRN Med Started]]&lt;=NOW(),Tbl_ResidentData[[#This Row],[PRN Med Started]]&lt;=BC$4,OR(Tbl_ResidentData[[#This Row],[PRN Med Discontinued]]&gt;BC$4,ISBLANK(Tbl_ResidentData[[#This Row],[PRN Med Discontinued]])))</f>
        <v>0</v>
      </c>
      <c r="CB51" s="121" t="b">
        <f ca="1">AND(Tbl_ResidentData[[#This Row],[PRN Med Started]]&lt;&gt;"",Tbl_ResidentData[[#This Row],[PRN Med Started]]&lt;=NOW(),Tbl_ResidentData[[#This Row],[PRN Med Started]]&lt;=BD$4,OR(Tbl_ResidentData[[#This Row],[PRN Med Discontinued]]&gt;BD$4,ISBLANK(Tbl_ResidentData[[#This Row],[PRN Med Discontinued]])))</f>
        <v>0</v>
      </c>
      <c r="CC51" s="121" t="b">
        <f ca="1">AND(Tbl_ResidentData[[#This Row],[PRN Med Started]]&lt;&gt;"",Tbl_ResidentData[[#This Row],[PRN Med Started]]&lt;=NOW(),Tbl_ResidentData[[#This Row],[PRN Med Started]]&lt;=BE$4,OR(Tbl_ResidentData[[#This Row],[PRN Med Discontinued]]&gt;BE$4,ISBLANK(Tbl_ResidentData[[#This Row],[PRN Med Discontinued]])))</f>
        <v>0</v>
      </c>
      <c r="CD51" s="121" t="b">
        <f ca="1">AND(Tbl_ResidentData[[#This Row],[PRN Med Started]]&lt;&gt;"",Tbl_ResidentData[[#This Row],[PRN Med Started]]&lt;=NOW(),Tbl_ResidentData[[#This Row],[PRN Med Started]]&lt;=BF$4,OR(Tbl_ResidentData[[#This Row],[PRN Med Discontinued]]&gt;BF$4,ISBLANK(Tbl_ResidentData[[#This Row],[PRN Med Discontinued]])))</f>
        <v>0</v>
      </c>
      <c r="CE51" s="121" t="b">
        <f ca="1">AND(Tbl_ResidentData[[#This Row],[PRN Med Started]]&lt;&gt;"",Tbl_ResidentData[[#This Row],[PRN Med Started]]&lt;=NOW(),Tbl_ResidentData[[#This Row],[PRN Med Started]]&lt;=BG$4,OR(Tbl_ResidentData[[#This Row],[PRN Med Discontinued]]&gt;BG$4,ISBLANK(Tbl_ResidentData[[#This Row],[PRN Med Discontinued]])))</f>
        <v>0</v>
      </c>
      <c r="CF51" s="121" t="b">
        <f ca="1">AND(Tbl_ResidentData[[#This Row],[PRN Med Started]]&lt;&gt;"",Tbl_ResidentData[[#This Row],[PRN Med Started]]&lt;=NOW(),Tbl_ResidentData[[#This Row],[PRN Med Started]]&lt;=BH$4,OR(Tbl_ResidentData[[#This Row],[PRN Med Discontinued]]&gt;BH$4,ISBLANK(Tbl_ResidentData[[#This Row],[PRN Med Discontinued]])))</f>
        <v>0</v>
      </c>
      <c r="CG51" s="121" t="b">
        <f ca="1">AND(Tbl_ResidentData[[#This Row],[PRN Med Started]]&lt;&gt;"",Tbl_ResidentData[[#This Row],[PRN Med Started]]&lt;=NOW(),Tbl_ResidentData[[#This Row],[PRN Med Started]]&lt;=BI$4,OR(Tbl_ResidentData[[#This Row],[PRN Med Discontinued]]&gt;BI$4,ISBLANK(Tbl_ResidentData[[#This Row],[PRN Med Discontinued]])))</f>
        <v>0</v>
      </c>
      <c r="CH51" s="121" t="b">
        <f ca="1">AND(Tbl_ResidentData[[#This Row],[PRN Med Started]]&lt;&gt;"",Tbl_ResidentData[[#This Row],[PRN Med Started]]&lt;=NOW(),Tbl_ResidentData[[#This Row],[PRN Med Started]]&lt;=BJ$4,OR(Tbl_ResidentData[[#This Row],[PRN Med Discontinued]]&gt;BJ$4,ISBLANK(Tbl_ResidentData[[#This Row],[PRN Med Discontinued]])))</f>
        <v>0</v>
      </c>
      <c r="CI51" s="121" t="b">
        <f ca="1">AND(Tbl_ResidentData[[#This Row],[PRN Med Started]]&lt;&gt;"",Tbl_ResidentData[[#This Row],[PRN Med Started]]&lt;=NOW(),Tbl_ResidentData[[#This Row],[PRN Med Started]]&lt;=BK$4,OR(Tbl_ResidentData[[#This Row],[PRN Med Discontinued]]&gt;BK$4,ISBLANK(Tbl_ResidentData[[#This Row],[PRN Med Discontinued]])))</f>
        <v>0</v>
      </c>
      <c r="CJ51" s="121" t="b">
        <f ca="1">AND(Tbl_ResidentData[[#This Row],[PRN Med Started]]&lt;&gt;"",Tbl_ResidentData[[#This Row],[PRN Med Started]]&lt;=NOW(),Tbl_ResidentData[[#This Row],[PRN Med Started]]&lt;=BL$4,OR(Tbl_ResidentData[[#This Row],[PRN Med Discontinued]]&gt;BL$4,ISBLANK(Tbl_ResidentData[[#This Row],[PRN Med Discontinued]])))</f>
        <v>0</v>
      </c>
      <c r="CK51" s="121" t="b">
        <f ca="1">AND(Tbl_ResidentData[[#This Row],[PRN Med Started]]&lt;&gt;"",Tbl_ResidentData[[#This Row],[PRN Med Started]]&lt;=NOW(),Tbl_ResidentData[[#This Row],[PRN Med Started]]&lt;=BM$4,OR(Tbl_ResidentData[[#This Row],[PRN Med Discontinued]]&gt;BM$4,ISBLANK(Tbl_ResidentData[[#This Row],[PRN Med Discontinued]])))</f>
        <v>0</v>
      </c>
      <c r="CL51" s="121" t="b">
        <f ca="1">AND(Tbl_ResidentData[[#This Row],[PRN Med Started]]&lt;&gt;"",Tbl_ResidentData[[#This Row],[PRN Med Started]]&lt;=NOW(),Tbl_ResidentData[[#This Row],[PRN Med Started]]&lt;=BN$4,OR(Tbl_ResidentData[[#This Row],[PRN Med Discontinued]]&gt;BN$4,ISBLANK(Tbl_ResidentData[[#This Row],[PRN Med Discontinued]])))</f>
        <v>0</v>
      </c>
      <c r="CM51" s="121" t="b">
        <f ca="1">AND(Tbl_ResidentData[[#This Row],[PRN Med Started]]&lt;&gt;"",Tbl_ResidentData[[#This Row],[PRN Med Started]]&lt;=NOW(),Tbl_ResidentData[[#This Row],[PRN Med Started]]&lt;=BO$4,OR(Tbl_ResidentData[[#This Row],[PRN Med Discontinued]]&gt;BO$4,ISBLANK(Tbl_ResidentData[[#This Row],[PRN Med Discontinued]])))</f>
        <v>0</v>
      </c>
      <c r="CN51" s="122" t="b">
        <f ca="1">AND(Tbl_ResidentData[[#This Row],[PRN Med Started]]&lt;&gt;"",Tbl_ResidentData[[#This Row],[PRN Med Started]]&lt;=NOW(),Tbl_ResidentData[[#This Row],[PRN Med Started]]&lt;=BP$4,OR(Tbl_ResidentData[[#This Row],[PRN Med Discontinued]]&gt;BP$4,ISBLANK(Tbl_ResidentData[[#This Row],[PRN Med Discontinued]])))</f>
        <v>0</v>
      </c>
      <c r="CO51" s="120">
        <f ca="1">IF(OR(Tbl_ResidentData[[#This Row],[S1]]=TRUE,Tbl_ResidentData[[#This Row],[P1]]=TRUE),1,0)</f>
        <v>0</v>
      </c>
      <c r="CP51" s="121">
        <f ca="1">IF(OR(Tbl_ResidentData[[#This Row],[S2]]=TRUE,Tbl_ResidentData[[#This Row],[P2]]=TRUE),1,0)</f>
        <v>0</v>
      </c>
      <c r="CQ51" s="121">
        <f ca="1">IF(OR(Tbl_ResidentData[[#This Row],[S3]]=TRUE,Tbl_ResidentData[[#This Row],[P3]]=TRUE),1,0)</f>
        <v>0</v>
      </c>
      <c r="CR51" s="120">
        <f ca="1">IF(OR(Tbl_ResidentData[[#This Row],[S4]]=TRUE,Tbl_ResidentData[[#This Row],[P4]]=TRUE),1,0)</f>
        <v>0</v>
      </c>
      <c r="CS51" s="120">
        <f ca="1">IF(OR(Tbl_ResidentData[[#This Row],[S5]]=TRUE,Tbl_ResidentData[[#This Row],[P5]]=TRUE),1,0)</f>
        <v>0</v>
      </c>
      <c r="CT51" s="120">
        <f ca="1">IF(OR(Tbl_ResidentData[[#This Row],[S6]]=TRUE,Tbl_ResidentData[[#This Row],[P6]]=TRUE),1,0)</f>
        <v>0</v>
      </c>
      <c r="CU51" s="120">
        <f ca="1">IF(OR(Tbl_ResidentData[[#This Row],[S7]]=TRUE,Tbl_ResidentData[[#This Row],[P7]]=TRUE),1,0)</f>
        <v>0</v>
      </c>
      <c r="CV51" s="120">
        <f ca="1">IF(OR(Tbl_ResidentData[[#This Row],[S8]]=TRUE,Tbl_ResidentData[[#This Row],[P8]]=TRUE),1,0)</f>
        <v>0</v>
      </c>
      <c r="CW51" s="120">
        <f ca="1">IF(OR(Tbl_ResidentData[[#This Row],[S9]]=TRUE,Tbl_ResidentData[[#This Row],[P9]]=TRUE),1,0)</f>
        <v>0</v>
      </c>
      <c r="CX51" s="120">
        <f ca="1">IF(OR(Tbl_ResidentData[[#This Row],[S10]]=TRUE,Tbl_ResidentData[[#This Row],[P10]]=TRUE),1,0)</f>
        <v>0</v>
      </c>
      <c r="CY51" s="120">
        <f ca="1">IF(OR(Tbl_ResidentData[[#This Row],[S11]]=TRUE,Tbl_ResidentData[[#This Row],[P11]]=TRUE),1,0)</f>
        <v>0</v>
      </c>
      <c r="CZ51" s="120">
        <f ca="1">IF(OR(Tbl_ResidentData[[#This Row],[S12]]=TRUE,Tbl_ResidentData[[#This Row],[P12]]=TRUE),1,0)</f>
        <v>0</v>
      </c>
      <c r="DA51" s="120">
        <f ca="1">IF(OR(Tbl_ResidentData[[#This Row],[S13]]=TRUE,Tbl_ResidentData[[#This Row],[P13]]=TRUE),1,0)</f>
        <v>0</v>
      </c>
      <c r="DB51" s="120">
        <f ca="1">IF(OR(Tbl_ResidentData[[#This Row],[S14]]=TRUE,Tbl_ResidentData[[#This Row],[P14]]=TRUE),1,0)</f>
        <v>0</v>
      </c>
      <c r="DC51" s="120">
        <f ca="1">IF(OR(Tbl_ResidentData[[#This Row],[S15]]=TRUE,Tbl_ResidentData[[#This Row],[P15]]=TRUE),1,0)</f>
        <v>0</v>
      </c>
      <c r="DD51" s="120">
        <f ca="1">IF(OR(Tbl_ResidentData[[#This Row],[S16]]=TRUE,Tbl_ResidentData[[#This Row],[P16]]=TRUE),1,0)</f>
        <v>0</v>
      </c>
      <c r="DE51" s="120">
        <f ca="1">IF(OR(Tbl_ResidentData[[#This Row],[S17]]=TRUE,Tbl_ResidentData[[#This Row],[P17]]=TRUE),1,0)</f>
        <v>0</v>
      </c>
      <c r="DF51" s="120">
        <f ca="1">IF(OR(Tbl_ResidentData[[#This Row],[S18]]=TRUE,Tbl_ResidentData[[#This Row],[P18]]=TRUE),1,0)</f>
        <v>0</v>
      </c>
      <c r="DG51" s="120">
        <f ca="1">IF(OR(Tbl_ResidentData[[#This Row],[S19]]=TRUE,Tbl_ResidentData[[#This Row],[P19]]=TRUE),1,0)</f>
        <v>0</v>
      </c>
      <c r="DH51" s="120">
        <f ca="1">IF(OR(Tbl_ResidentData[[#This Row],[S20]]=TRUE,Tbl_ResidentData[[#This Row],[P20]]=TRUE),1,0)</f>
        <v>0</v>
      </c>
      <c r="DI51" s="120">
        <f ca="1">IF(OR(Tbl_ResidentData[[#This Row],[S21]]=TRUE,Tbl_ResidentData[[#This Row],[P21]]=TRUE),1,0)</f>
        <v>0</v>
      </c>
      <c r="DJ51" s="120">
        <f ca="1">IF(OR(Tbl_ResidentData[[#This Row],[S22]]=TRUE,Tbl_ResidentData[[#This Row],[P22]]=TRUE),1,0)</f>
        <v>0</v>
      </c>
      <c r="DK51" s="120">
        <f ca="1">IF(OR(Tbl_ResidentData[[#This Row],[S23]]=TRUE,Tbl_ResidentData[[#This Row],[P23]]=TRUE),1,0)</f>
        <v>0</v>
      </c>
      <c r="DL51" s="120">
        <f ca="1">IF(OR(Tbl_ResidentData[[#This Row],[S24]]=TRUE,Tbl_ResidentData[[#This Row],[P24]]=TRUE),1,0)</f>
        <v>0</v>
      </c>
      <c r="DM51" s="123" t="str">
        <f ca="1">IFERROR(INDEX($CO$4:$DL$4,MATCH(TRUE,INDEX((Tbl_ResidentData[[#This Row],[Over1]:[Over24]]&lt;&gt;0),0),0)),"")</f>
        <v/>
      </c>
      <c r="DN51" s="133" t="str">
        <f>IFERROR(INDEX(Tbl_PDSAData[Last DRT],MATCH(Tbl_ResidentData[Resident Name '[last, first']],Tbl_PDSAData[Resident Name (last, first)],0)),"")</f>
        <v/>
      </c>
      <c r="DO51" s="222" t="str">
        <f>IFERROR(INDEX(Tbl_PDSAData[Last MR],MATCH(Tbl_ResidentData[Resident Name '[last, first']],Tbl_PDSAData[Resident Name (last, first)],0)),"")</f>
        <v/>
      </c>
    </row>
    <row r="52" spans="1:119" x14ac:dyDescent="0.25">
      <c r="A52" s="179"/>
      <c r="B52" s="180"/>
      <c r="C52" s="180"/>
      <c r="D52" s="218"/>
      <c r="E52" s="179"/>
      <c r="F52" s="181"/>
      <c r="G52" s="181"/>
      <c r="H52" s="375"/>
      <c r="I52" s="185"/>
      <c r="J52" s="387"/>
      <c r="K52" s="178"/>
      <c r="L52" s="388"/>
      <c r="M52" s="185"/>
      <c r="N52" s="386"/>
      <c r="O52" s="178"/>
      <c r="P52" s="388"/>
      <c r="Q52" s="394"/>
      <c r="R52" s="388"/>
      <c r="S52" s="131" t="str">
        <f>IF(ISBLANK(Tbl_ResidentData[[#This Row],[Discharge '[mmm-yyyy']]]),IF(ISBLANK(Tbl_ResidentData[[#This Row],[Enrollment '[mmm-yyyy']]]),"","In Care Home"),"Discharged")</f>
        <v/>
      </c>
      <c r="T52" s="119" t="str">
        <f>IF(ISBLANK(Tbl_ResidentData[[#This Row],[Diagnosis (RAI)]]),IF(ISBLANK(Tbl_ResidentData[[#This Row],[Resident Name '[last, first']]]),"",0),IF(Tbl_ResidentData[[#This Row],[Diagnosis (RAI)]]="Other (see clinical notes)",0,1))</f>
        <v/>
      </c>
      <c r="U52" s="120" t="str">
        <f ca="1">IF(U$4&gt;NOW(),"-",IF(ISBLANK(Tbl_ResidentData[[#This Row],[Enrollment '[mmm-yyyy']]]),"-",AND((Tbl_ResidentData[[#This Row],[Enrollment '[mmm-yyyy']]]&lt;=U$4),IF(ISBLANK(Tbl_ResidentData[[#This Row],[Discharge '[mmm-yyyy']]]),TRUE,(Tbl_ResidentData[[#This Row],[Discharge '[mmm-yyyy']]]&gt;=U$4)))))</f>
        <v>-</v>
      </c>
      <c r="V52" s="121" t="str">
        <f ca="1">IF(V$4&gt;NOW(),"-",IF(ISBLANK(Tbl_ResidentData[[#This Row],[Enrollment '[mmm-yyyy']]]),"-",AND((Tbl_ResidentData[[#This Row],[Enrollment '[mmm-yyyy']]]&lt;=V$4),IF(ISBLANK(Tbl_ResidentData[[#This Row],[Discharge '[mmm-yyyy']]]),TRUE,(Tbl_ResidentData[[#This Row],[Discharge '[mmm-yyyy']]]&gt;=V$4)))))</f>
        <v>-</v>
      </c>
      <c r="W52" s="121" t="str">
        <f ca="1">IF(W$4&gt;NOW(),"-",IF(ISBLANK(Tbl_ResidentData[[#This Row],[Enrollment '[mmm-yyyy']]]),"-",AND((Tbl_ResidentData[[#This Row],[Enrollment '[mmm-yyyy']]]&lt;=W$4),IF(ISBLANK(Tbl_ResidentData[[#This Row],[Discharge '[mmm-yyyy']]]),TRUE,(Tbl_ResidentData[[#This Row],[Discharge '[mmm-yyyy']]]&gt;=W$4)))))</f>
        <v>-</v>
      </c>
      <c r="X52" s="121" t="str">
        <f ca="1">IF(X$4&gt;NOW(),"-",IF(ISBLANK(Tbl_ResidentData[[#This Row],[Enrollment '[mmm-yyyy']]]),"-",AND((Tbl_ResidentData[[#This Row],[Enrollment '[mmm-yyyy']]]&lt;=X$4),IF(ISBLANK(Tbl_ResidentData[[#This Row],[Discharge '[mmm-yyyy']]]),TRUE,(Tbl_ResidentData[[#This Row],[Discharge '[mmm-yyyy']]]&gt;=X$4)))))</f>
        <v>-</v>
      </c>
      <c r="Y52" s="121" t="str">
        <f ca="1">IF(Y$4&gt;NOW(),"-",IF(ISBLANK(Tbl_ResidentData[[#This Row],[Enrollment '[mmm-yyyy']]]),"-",AND((Tbl_ResidentData[[#This Row],[Enrollment '[mmm-yyyy']]]&lt;=Y$4),IF(ISBLANK(Tbl_ResidentData[[#This Row],[Discharge '[mmm-yyyy']]]),TRUE,(Tbl_ResidentData[[#This Row],[Discharge '[mmm-yyyy']]]&gt;=Y$4)))))</f>
        <v>-</v>
      </c>
      <c r="Z52" s="121" t="str">
        <f ca="1">IF(Z$4&gt;NOW(),"-",IF(ISBLANK(Tbl_ResidentData[[#This Row],[Enrollment '[mmm-yyyy']]]),"-",AND((Tbl_ResidentData[[#This Row],[Enrollment '[mmm-yyyy']]]&lt;=Z$4),IF(ISBLANK(Tbl_ResidentData[[#This Row],[Discharge '[mmm-yyyy']]]),TRUE,(Tbl_ResidentData[[#This Row],[Discharge '[mmm-yyyy']]]&gt;=Z$4)))))</f>
        <v>-</v>
      </c>
      <c r="AA52" s="121" t="str">
        <f ca="1">IF(AA$4&gt;NOW(),"-",IF(ISBLANK(Tbl_ResidentData[[#This Row],[Enrollment '[mmm-yyyy']]]),"-",AND((Tbl_ResidentData[[#This Row],[Enrollment '[mmm-yyyy']]]&lt;=AA$4),IF(ISBLANK(Tbl_ResidentData[[#This Row],[Discharge '[mmm-yyyy']]]),TRUE,(Tbl_ResidentData[[#This Row],[Discharge '[mmm-yyyy']]]&gt;=AA$4)))))</f>
        <v>-</v>
      </c>
      <c r="AB52" s="121" t="str">
        <f ca="1">IF(AB$4&gt;NOW(),"-",IF(ISBLANK(Tbl_ResidentData[[#This Row],[Enrollment '[mmm-yyyy']]]),"-",AND((Tbl_ResidentData[[#This Row],[Enrollment '[mmm-yyyy']]]&lt;=AB$4),IF(ISBLANK(Tbl_ResidentData[[#This Row],[Discharge '[mmm-yyyy']]]),TRUE,(Tbl_ResidentData[[#This Row],[Discharge '[mmm-yyyy']]]&gt;=AB$4)))))</f>
        <v>-</v>
      </c>
      <c r="AC52" s="121" t="str">
        <f ca="1">IF(AC$4&gt;NOW(),"-",IF(ISBLANK(Tbl_ResidentData[[#This Row],[Enrollment '[mmm-yyyy']]]),"-",AND((Tbl_ResidentData[[#This Row],[Enrollment '[mmm-yyyy']]]&lt;=AC$4),IF(ISBLANK(Tbl_ResidentData[[#This Row],[Discharge '[mmm-yyyy']]]),TRUE,(Tbl_ResidentData[[#This Row],[Discharge '[mmm-yyyy']]]&gt;=AC$4)))))</f>
        <v>-</v>
      </c>
      <c r="AD52" s="121" t="str">
        <f ca="1">IF(AD$4&gt;NOW(),"-",IF(ISBLANK(Tbl_ResidentData[[#This Row],[Enrollment '[mmm-yyyy']]]),"-",AND((Tbl_ResidentData[[#This Row],[Enrollment '[mmm-yyyy']]]&lt;=AD$4),IF(ISBLANK(Tbl_ResidentData[[#This Row],[Discharge '[mmm-yyyy']]]),TRUE,(Tbl_ResidentData[[#This Row],[Discharge '[mmm-yyyy']]]&gt;=AD$4)))))</f>
        <v>-</v>
      </c>
      <c r="AE52" s="121" t="str">
        <f ca="1">IF(AE$4&gt;NOW(),"-",IF(ISBLANK(Tbl_ResidentData[[#This Row],[Enrollment '[mmm-yyyy']]]),"-",AND((Tbl_ResidentData[[#This Row],[Enrollment '[mmm-yyyy']]]&lt;=AE$4),IF(ISBLANK(Tbl_ResidentData[[#This Row],[Discharge '[mmm-yyyy']]]),TRUE,(Tbl_ResidentData[[#This Row],[Discharge '[mmm-yyyy']]]&gt;=AE$4)))))</f>
        <v>-</v>
      </c>
      <c r="AF52" s="121" t="str">
        <f ca="1">IF(AF$4&gt;NOW(),"-",IF(ISBLANK(Tbl_ResidentData[[#This Row],[Enrollment '[mmm-yyyy']]]),"-",AND((Tbl_ResidentData[[#This Row],[Enrollment '[mmm-yyyy']]]&lt;=AF$4),IF(ISBLANK(Tbl_ResidentData[[#This Row],[Discharge '[mmm-yyyy']]]),TRUE,(Tbl_ResidentData[[#This Row],[Discharge '[mmm-yyyy']]]&gt;=AF$4)))))</f>
        <v>-</v>
      </c>
      <c r="AG52" s="121" t="str">
        <f ca="1">IF(AG$4&gt;NOW(),"-",IF(ISBLANK(Tbl_ResidentData[[#This Row],[Enrollment '[mmm-yyyy']]]),"-",AND((Tbl_ResidentData[[#This Row],[Enrollment '[mmm-yyyy']]]&lt;=AG$4),IF(ISBLANK(Tbl_ResidentData[[#This Row],[Discharge '[mmm-yyyy']]]),TRUE,(Tbl_ResidentData[[#This Row],[Discharge '[mmm-yyyy']]]&gt;=AG$4)))))</f>
        <v>-</v>
      </c>
      <c r="AH52" s="121" t="str">
        <f ca="1">IF(AH$4&gt;NOW(),"-",IF(ISBLANK(Tbl_ResidentData[[#This Row],[Enrollment '[mmm-yyyy']]]),"-",AND((Tbl_ResidentData[[#This Row],[Enrollment '[mmm-yyyy']]]&lt;=AH$4),IF(ISBLANK(Tbl_ResidentData[[#This Row],[Discharge '[mmm-yyyy']]]),TRUE,(Tbl_ResidentData[[#This Row],[Discharge '[mmm-yyyy']]]&gt;=AH$4)))))</f>
        <v>-</v>
      </c>
      <c r="AI52" s="121" t="str">
        <f ca="1">IF(AI$4&gt;NOW(),"-",IF(ISBLANK(Tbl_ResidentData[[#This Row],[Enrollment '[mmm-yyyy']]]),"-",AND((Tbl_ResidentData[[#This Row],[Enrollment '[mmm-yyyy']]]&lt;=AI$4),IF(ISBLANK(Tbl_ResidentData[[#This Row],[Discharge '[mmm-yyyy']]]),TRUE,(Tbl_ResidentData[[#This Row],[Discharge '[mmm-yyyy']]]&gt;=AI$4)))))</f>
        <v>-</v>
      </c>
      <c r="AJ52" s="121" t="str">
        <f ca="1">IF(AJ$4&gt;NOW(),"-",IF(ISBLANK(Tbl_ResidentData[[#This Row],[Enrollment '[mmm-yyyy']]]),"-",AND((Tbl_ResidentData[[#This Row],[Enrollment '[mmm-yyyy']]]&lt;=AJ$4),IF(ISBLANK(Tbl_ResidentData[[#This Row],[Discharge '[mmm-yyyy']]]),TRUE,(Tbl_ResidentData[[#This Row],[Discharge '[mmm-yyyy']]]&gt;=AJ$4)))))</f>
        <v>-</v>
      </c>
      <c r="AK52" s="121" t="str">
        <f ca="1">IF(AK$4&gt;NOW(),"-",IF(ISBLANK(Tbl_ResidentData[[#This Row],[Enrollment '[mmm-yyyy']]]),"-",AND((Tbl_ResidentData[[#This Row],[Enrollment '[mmm-yyyy']]]&lt;=AK$4),IF(ISBLANK(Tbl_ResidentData[[#This Row],[Discharge '[mmm-yyyy']]]),TRUE,(Tbl_ResidentData[[#This Row],[Discharge '[mmm-yyyy']]]&gt;=AK$4)))))</f>
        <v>-</v>
      </c>
      <c r="AL52" s="121" t="str">
        <f ca="1">IF(AL$4&gt;NOW(),"-",IF(ISBLANK(Tbl_ResidentData[[#This Row],[Enrollment '[mmm-yyyy']]]),"-",AND((Tbl_ResidentData[[#This Row],[Enrollment '[mmm-yyyy']]]&lt;=AL$4),IF(ISBLANK(Tbl_ResidentData[[#This Row],[Discharge '[mmm-yyyy']]]),TRUE,(Tbl_ResidentData[[#This Row],[Discharge '[mmm-yyyy']]]&gt;=AL$4)))))</f>
        <v>-</v>
      </c>
      <c r="AM52" s="121" t="str">
        <f ca="1">IF(AM$4&gt;NOW(),"-",IF(ISBLANK(Tbl_ResidentData[[#This Row],[Enrollment '[mmm-yyyy']]]),"-",AND((Tbl_ResidentData[[#This Row],[Enrollment '[mmm-yyyy']]]&lt;=AM$4),IF(ISBLANK(Tbl_ResidentData[[#This Row],[Discharge '[mmm-yyyy']]]),TRUE,(Tbl_ResidentData[[#This Row],[Discharge '[mmm-yyyy']]]&gt;=AM$4)))))</f>
        <v>-</v>
      </c>
      <c r="AN52" s="121" t="str">
        <f ca="1">IF(AN$4&gt;NOW(),"-",IF(ISBLANK(Tbl_ResidentData[[#This Row],[Enrollment '[mmm-yyyy']]]),"-",AND((Tbl_ResidentData[[#This Row],[Enrollment '[mmm-yyyy']]]&lt;=AN$4),IF(ISBLANK(Tbl_ResidentData[[#This Row],[Discharge '[mmm-yyyy']]]),TRUE,(Tbl_ResidentData[[#This Row],[Discharge '[mmm-yyyy']]]&gt;=AN$4)))))</f>
        <v>-</v>
      </c>
      <c r="AO52" s="121" t="str">
        <f ca="1">IF(AO$4&gt;NOW(),"-",IF(ISBLANK(Tbl_ResidentData[[#This Row],[Enrollment '[mmm-yyyy']]]),"-",AND((Tbl_ResidentData[[#This Row],[Enrollment '[mmm-yyyy']]]&lt;=AO$4),IF(ISBLANK(Tbl_ResidentData[[#This Row],[Discharge '[mmm-yyyy']]]),TRUE,(Tbl_ResidentData[[#This Row],[Discharge '[mmm-yyyy']]]&gt;=AO$4)))))</f>
        <v>-</v>
      </c>
      <c r="AP52" s="121" t="str">
        <f ca="1">IF(AP$4&gt;NOW(),"-",IF(ISBLANK(Tbl_ResidentData[[#This Row],[Enrollment '[mmm-yyyy']]]),"-",AND((Tbl_ResidentData[[#This Row],[Enrollment '[mmm-yyyy']]]&lt;=AP$4),IF(ISBLANK(Tbl_ResidentData[[#This Row],[Discharge '[mmm-yyyy']]]),TRUE,(Tbl_ResidentData[[#This Row],[Discharge '[mmm-yyyy']]]&gt;=AP$4)))))</f>
        <v>-</v>
      </c>
      <c r="AQ52" s="121" t="str">
        <f ca="1">IF(AQ$4&gt;NOW(),"-",IF(ISBLANK(Tbl_ResidentData[[#This Row],[Enrollment '[mmm-yyyy']]]),"-",AND((Tbl_ResidentData[[#This Row],[Enrollment '[mmm-yyyy']]]&lt;=AQ$4),IF(ISBLANK(Tbl_ResidentData[[#This Row],[Discharge '[mmm-yyyy']]]),TRUE,(Tbl_ResidentData[[#This Row],[Discharge '[mmm-yyyy']]]&gt;=AQ$4)))))</f>
        <v>-</v>
      </c>
      <c r="AR52" s="122" t="str">
        <f ca="1">IF(AR$4&gt;NOW(),"-",IF(ISBLANK(Tbl_ResidentData[[#This Row],[Enrollment '[mmm-yyyy']]]),"-",AND((Tbl_ResidentData[[#This Row],[Enrollment '[mmm-yyyy']]]&lt;=AR$4),IF(ISBLANK(Tbl_ResidentData[[#This Row],[Discharge '[mmm-yyyy']]]),TRUE,(Tbl_ResidentData[[#This Row],[Discharge '[mmm-yyyy']]]&gt;=AR$4)))))</f>
        <v>-</v>
      </c>
      <c r="AS5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5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5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5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5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5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5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5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5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5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5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5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5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5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5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5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5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5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5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5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5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5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5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5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52" s="120" t="b">
        <f ca="1">AND(Tbl_ResidentData[[#This Row],[PRN Med Started]]&lt;&gt;"",Tbl_ResidentData[[#This Row],[PRN Med Started]]&lt;=NOW(),Tbl_ResidentData[[#This Row],[PRN Med Started]]&lt;=AS$4,OR(Tbl_ResidentData[[#This Row],[PRN Med Discontinued]]&gt;AS$4,ISBLANK(Tbl_ResidentData[[#This Row],[PRN Med Discontinued]])))</f>
        <v>0</v>
      </c>
      <c r="BR52" s="121" t="b">
        <f ca="1">AND(Tbl_ResidentData[[#This Row],[PRN Med Started]]&lt;&gt;"",Tbl_ResidentData[[#This Row],[PRN Med Started]]&lt;=NOW(),Tbl_ResidentData[[#This Row],[PRN Med Started]]&lt;=AT$4,OR(Tbl_ResidentData[[#This Row],[PRN Med Discontinued]]&gt;AT$4,ISBLANK(Tbl_ResidentData[[#This Row],[PRN Med Discontinued]])))</f>
        <v>0</v>
      </c>
      <c r="BS52" s="121" t="b">
        <f ca="1">AND(Tbl_ResidentData[[#This Row],[PRN Med Started]]&lt;&gt;"",Tbl_ResidentData[[#This Row],[PRN Med Started]]&lt;=NOW(),Tbl_ResidentData[[#This Row],[PRN Med Started]]&lt;=AU$4,OR(Tbl_ResidentData[[#This Row],[PRN Med Discontinued]]&gt;AU$4,ISBLANK(Tbl_ResidentData[[#This Row],[PRN Med Discontinued]])))</f>
        <v>0</v>
      </c>
      <c r="BT52" s="121" t="b">
        <f ca="1">AND(Tbl_ResidentData[[#This Row],[PRN Med Started]]&lt;&gt;"",Tbl_ResidentData[[#This Row],[PRN Med Started]]&lt;=NOW(),Tbl_ResidentData[[#This Row],[PRN Med Started]]&lt;=AV$4,OR(Tbl_ResidentData[[#This Row],[PRN Med Discontinued]]&gt;AV$4,ISBLANK(Tbl_ResidentData[[#This Row],[PRN Med Discontinued]])))</f>
        <v>0</v>
      </c>
      <c r="BU52" s="121" t="b">
        <f ca="1">AND(Tbl_ResidentData[[#This Row],[PRN Med Started]]&lt;&gt;"",Tbl_ResidentData[[#This Row],[PRN Med Started]]&lt;=NOW(),Tbl_ResidentData[[#This Row],[PRN Med Started]]&lt;=AW$4,OR(Tbl_ResidentData[[#This Row],[PRN Med Discontinued]]&gt;AW$4,ISBLANK(Tbl_ResidentData[[#This Row],[PRN Med Discontinued]])))</f>
        <v>0</v>
      </c>
      <c r="BV52" s="121" t="b">
        <f ca="1">AND(Tbl_ResidentData[[#This Row],[PRN Med Started]]&lt;&gt;"",Tbl_ResidentData[[#This Row],[PRN Med Started]]&lt;=NOW(),Tbl_ResidentData[[#This Row],[PRN Med Started]]&lt;=AX$4,OR(Tbl_ResidentData[[#This Row],[PRN Med Discontinued]]&gt;AX$4,ISBLANK(Tbl_ResidentData[[#This Row],[PRN Med Discontinued]])))</f>
        <v>0</v>
      </c>
      <c r="BW52" s="121" t="b">
        <f ca="1">AND(Tbl_ResidentData[[#This Row],[PRN Med Started]]&lt;&gt;"",Tbl_ResidentData[[#This Row],[PRN Med Started]]&lt;=NOW(),Tbl_ResidentData[[#This Row],[PRN Med Started]]&lt;=AY$4,OR(Tbl_ResidentData[[#This Row],[PRN Med Discontinued]]&gt;AY$4,ISBLANK(Tbl_ResidentData[[#This Row],[PRN Med Discontinued]])))</f>
        <v>0</v>
      </c>
      <c r="BX52" s="121" t="b">
        <f ca="1">AND(Tbl_ResidentData[[#This Row],[PRN Med Started]]&lt;&gt;"",Tbl_ResidentData[[#This Row],[PRN Med Started]]&lt;=NOW(),Tbl_ResidentData[[#This Row],[PRN Med Started]]&lt;=AZ$4,OR(Tbl_ResidentData[[#This Row],[PRN Med Discontinued]]&gt;AZ$4,ISBLANK(Tbl_ResidentData[[#This Row],[PRN Med Discontinued]])))</f>
        <v>0</v>
      </c>
      <c r="BY52" s="121" t="b">
        <f ca="1">AND(Tbl_ResidentData[[#This Row],[PRN Med Started]]&lt;&gt;"",Tbl_ResidentData[[#This Row],[PRN Med Started]]&lt;=NOW(),Tbl_ResidentData[[#This Row],[PRN Med Started]]&lt;=BA$4,OR(Tbl_ResidentData[[#This Row],[PRN Med Discontinued]]&gt;BA$4,ISBLANK(Tbl_ResidentData[[#This Row],[PRN Med Discontinued]])))</f>
        <v>0</v>
      </c>
      <c r="BZ52" s="121" t="b">
        <f ca="1">AND(Tbl_ResidentData[[#This Row],[PRN Med Started]]&lt;&gt;"",Tbl_ResidentData[[#This Row],[PRN Med Started]]&lt;=NOW(),Tbl_ResidentData[[#This Row],[PRN Med Started]]&lt;=BB$4,OR(Tbl_ResidentData[[#This Row],[PRN Med Discontinued]]&gt;BB$4,ISBLANK(Tbl_ResidentData[[#This Row],[PRN Med Discontinued]])))</f>
        <v>0</v>
      </c>
      <c r="CA52" s="121" t="b">
        <f ca="1">AND(Tbl_ResidentData[[#This Row],[PRN Med Started]]&lt;&gt;"",Tbl_ResidentData[[#This Row],[PRN Med Started]]&lt;=NOW(),Tbl_ResidentData[[#This Row],[PRN Med Started]]&lt;=BC$4,OR(Tbl_ResidentData[[#This Row],[PRN Med Discontinued]]&gt;BC$4,ISBLANK(Tbl_ResidentData[[#This Row],[PRN Med Discontinued]])))</f>
        <v>0</v>
      </c>
      <c r="CB52" s="121" t="b">
        <f ca="1">AND(Tbl_ResidentData[[#This Row],[PRN Med Started]]&lt;&gt;"",Tbl_ResidentData[[#This Row],[PRN Med Started]]&lt;=NOW(),Tbl_ResidentData[[#This Row],[PRN Med Started]]&lt;=BD$4,OR(Tbl_ResidentData[[#This Row],[PRN Med Discontinued]]&gt;BD$4,ISBLANK(Tbl_ResidentData[[#This Row],[PRN Med Discontinued]])))</f>
        <v>0</v>
      </c>
      <c r="CC52" s="121" t="b">
        <f ca="1">AND(Tbl_ResidentData[[#This Row],[PRN Med Started]]&lt;&gt;"",Tbl_ResidentData[[#This Row],[PRN Med Started]]&lt;=NOW(),Tbl_ResidentData[[#This Row],[PRN Med Started]]&lt;=BE$4,OR(Tbl_ResidentData[[#This Row],[PRN Med Discontinued]]&gt;BE$4,ISBLANK(Tbl_ResidentData[[#This Row],[PRN Med Discontinued]])))</f>
        <v>0</v>
      </c>
      <c r="CD52" s="121" t="b">
        <f ca="1">AND(Tbl_ResidentData[[#This Row],[PRN Med Started]]&lt;&gt;"",Tbl_ResidentData[[#This Row],[PRN Med Started]]&lt;=NOW(),Tbl_ResidentData[[#This Row],[PRN Med Started]]&lt;=BF$4,OR(Tbl_ResidentData[[#This Row],[PRN Med Discontinued]]&gt;BF$4,ISBLANK(Tbl_ResidentData[[#This Row],[PRN Med Discontinued]])))</f>
        <v>0</v>
      </c>
      <c r="CE52" s="121" t="b">
        <f ca="1">AND(Tbl_ResidentData[[#This Row],[PRN Med Started]]&lt;&gt;"",Tbl_ResidentData[[#This Row],[PRN Med Started]]&lt;=NOW(),Tbl_ResidentData[[#This Row],[PRN Med Started]]&lt;=BG$4,OR(Tbl_ResidentData[[#This Row],[PRN Med Discontinued]]&gt;BG$4,ISBLANK(Tbl_ResidentData[[#This Row],[PRN Med Discontinued]])))</f>
        <v>0</v>
      </c>
      <c r="CF52" s="121" t="b">
        <f ca="1">AND(Tbl_ResidentData[[#This Row],[PRN Med Started]]&lt;&gt;"",Tbl_ResidentData[[#This Row],[PRN Med Started]]&lt;=NOW(),Tbl_ResidentData[[#This Row],[PRN Med Started]]&lt;=BH$4,OR(Tbl_ResidentData[[#This Row],[PRN Med Discontinued]]&gt;BH$4,ISBLANK(Tbl_ResidentData[[#This Row],[PRN Med Discontinued]])))</f>
        <v>0</v>
      </c>
      <c r="CG52" s="121" t="b">
        <f ca="1">AND(Tbl_ResidentData[[#This Row],[PRN Med Started]]&lt;&gt;"",Tbl_ResidentData[[#This Row],[PRN Med Started]]&lt;=NOW(),Tbl_ResidentData[[#This Row],[PRN Med Started]]&lt;=BI$4,OR(Tbl_ResidentData[[#This Row],[PRN Med Discontinued]]&gt;BI$4,ISBLANK(Tbl_ResidentData[[#This Row],[PRN Med Discontinued]])))</f>
        <v>0</v>
      </c>
      <c r="CH52" s="121" t="b">
        <f ca="1">AND(Tbl_ResidentData[[#This Row],[PRN Med Started]]&lt;&gt;"",Tbl_ResidentData[[#This Row],[PRN Med Started]]&lt;=NOW(),Tbl_ResidentData[[#This Row],[PRN Med Started]]&lt;=BJ$4,OR(Tbl_ResidentData[[#This Row],[PRN Med Discontinued]]&gt;BJ$4,ISBLANK(Tbl_ResidentData[[#This Row],[PRN Med Discontinued]])))</f>
        <v>0</v>
      </c>
      <c r="CI52" s="121" t="b">
        <f ca="1">AND(Tbl_ResidentData[[#This Row],[PRN Med Started]]&lt;&gt;"",Tbl_ResidentData[[#This Row],[PRN Med Started]]&lt;=NOW(),Tbl_ResidentData[[#This Row],[PRN Med Started]]&lt;=BK$4,OR(Tbl_ResidentData[[#This Row],[PRN Med Discontinued]]&gt;BK$4,ISBLANK(Tbl_ResidentData[[#This Row],[PRN Med Discontinued]])))</f>
        <v>0</v>
      </c>
      <c r="CJ52" s="121" t="b">
        <f ca="1">AND(Tbl_ResidentData[[#This Row],[PRN Med Started]]&lt;&gt;"",Tbl_ResidentData[[#This Row],[PRN Med Started]]&lt;=NOW(),Tbl_ResidentData[[#This Row],[PRN Med Started]]&lt;=BL$4,OR(Tbl_ResidentData[[#This Row],[PRN Med Discontinued]]&gt;BL$4,ISBLANK(Tbl_ResidentData[[#This Row],[PRN Med Discontinued]])))</f>
        <v>0</v>
      </c>
      <c r="CK52" s="121" t="b">
        <f ca="1">AND(Tbl_ResidentData[[#This Row],[PRN Med Started]]&lt;&gt;"",Tbl_ResidentData[[#This Row],[PRN Med Started]]&lt;=NOW(),Tbl_ResidentData[[#This Row],[PRN Med Started]]&lt;=BM$4,OR(Tbl_ResidentData[[#This Row],[PRN Med Discontinued]]&gt;BM$4,ISBLANK(Tbl_ResidentData[[#This Row],[PRN Med Discontinued]])))</f>
        <v>0</v>
      </c>
      <c r="CL52" s="121" t="b">
        <f ca="1">AND(Tbl_ResidentData[[#This Row],[PRN Med Started]]&lt;&gt;"",Tbl_ResidentData[[#This Row],[PRN Med Started]]&lt;=NOW(),Tbl_ResidentData[[#This Row],[PRN Med Started]]&lt;=BN$4,OR(Tbl_ResidentData[[#This Row],[PRN Med Discontinued]]&gt;BN$4,ISBLANK(Tbl_ResidentData[[#This Row],[PRN Med Discontinued]])))</f>
        <v>0</v>
      </c>
      <c r="CM52" s="121" t="b">
        <f ca="1">AND(Tbl_ResidentData[[#This Row],[PRN Med Started]]&lt;&gt;"",Tbl_ResidentData[[#This Row],[PRN Med Started]]&lt;=NOW(),Tbl_ResidentData[[#This Row],[PRN Med Started]]&lt;=BO$4,OR(Tbl_ResidentData[[#This Row],[PRN Med Discontinued]]&gt;BO$4,ISBLANK(Tbl_ResidentData[[#This Row],[PRN Med Discontinued]])))</f>
        <v>0</v>
      </c>
      <c r="CN52" s="122" t="b">
        <f ca="1">AND(Tbl_ResidentData[[#This Row],[PRN Med Started]]&lt;&gt;"",Tbl_ResidentData[[#This Row],[PRN Med Started]]&lt;=NOW(),Tbl_ResidentData[[#This Row],[PRN Med Started]]&lt;=BP$4,OR(Tbl_ResidentData[[#This Row],[PRN Med Discontinued]]&gt;BP$4,ISBLANK(Tbl_ResidentData[[#This Row],[PRN Med Discontinued]])))</f>
        <v>0</v>
      </c>
      <c r="CO52" s="120">
        <f ca="1">IF(OR(Tbl_ResidentData[[#This Row],[S1]]=TRUE,Tbl_ResidentData[[#This Row],[P1]]=TRUE),1,0)</f>
        <v>0</v>
      </c>
      <c r="CP52" s="121">
        <f ca="1">IF(OR(Tbl_ResidentData[[#This Row],[S2]]=TRUE,Tbl_ResidentData[[#This Row],[P2]]=TRUE),1,0)</f>
        <v>0</v>
      </c>
      <c r="CQ52" s="121">
        <f ca="1">IF(OR(Tbl_ResidentData[[#This Row],[S3]]=TRUE,Tbl_ResidentData[[#This Row],[P3]]=TRUE),1,0)</f>
        <v>0</v>
      </c>
      <c r="CR52" s="120">
        <f ca="1">IF(OR(Tbl_ResidentData[[#This Row],[S4]]=TRUE,Tbl_ResidentData[[#This Row],[P4]]=TRUE),1,0)</f>
        <v>0</v>
      </c>
      <c r="CS52" s="120">
        <f ca="1">IF(OR(Tbl_ResidentData[[#This Row],[S5]]=TRUE,Tbl_ResidentData[[#This Row],[P5]]=TRUE),1,0)</f>
        <v>0</v>
      </c>
      <c r="CT52" s="120">
        <f ca="1">IF(OR(Tbl_ResidentData[[#This Row],[S6]]=TRUE,Tbl_ResidentData[[#This Row],[P6]]=TRUE),1,0)</f>
        <v>0</v>
      </c>
      <c r="CU52" s="120">
        <f ca="1">IF(OR(Tbl_ResidentData[[#This Row],[S7]]=TRUE,Tbl_ResidentData[[#This Row],[P7]]=TRUE),1,0)</f>
        <v>0</v>
      </c>
      <c r="CV52" s="120">
        <f ca="1">IF(OR(Tbl_ResidentData[[#This Row],[S8]]=TRUE,Tbl_ResidentData[[#This Row],[P8]]=TRUE),1,0)</f>
        <v>0</v>
      </c>
      <c r="CW52" s="120">
        <f ca="1">IF(OR(Tbl_ResidentData[[#This Row],[S9]]=TRUE,Tbl_ResidentData[[#This Row],[P9]]=TRUE),1,0)</f>
        <v>0</v>
      </c>
      <c r="CX52" s="120">
        <f ca="1">IF(OR(Tbl_ResidentData[[#This Row],[S10]]=TRUE,Tbl_ResidentData[[#This Row],[P10]]=TRUE),1,0)</f>
        <v>0</v>
      </c>
      <c r="CY52" s="120">
        <f ca="1">IF(OR(Tbl_ResidentData[[#This Row],[S11]]=TRUE,Tbl_ResidentData[[#This Row],[P11]]=TRUE),1,0)</f>
        <v>0</v>
      </c>
      <c r="CZ52" s="120">
        <f ca="1">IF(OR(Tbl_ResidentData[[#This Row],[S12]]=TRUE,Tbl_ResidentData[[#This Row],[P12]]=TRUE),1,0)</f>
        <v>0</v>
      </c>
      <c r="DA52" s="120">
        <f ca="1">IF(OR(Tbl_ResidentData[[#This Row],[S13]]=TRUE,Tbl_ResidentData[[#This Row],[P13]]=TRUE),1,0)</f>
        <v>0</v>
      </c>
      <c r="DB52" s="120">
        <f ca="1">IF(OR(Tbl_ResidentData[[#This Row],[S14]]=TRUE,Tbl_ResidentData[[#This Row],[P14]]=TRUE),1,0)</f>
        <v>0</v>
      </c>
      <c r="DC52" s="120">
        <f ca="1">IF(OR(Tbl_ResidentData[[#This Row],[S15]]=TRUE,Tbl_ResidentData[[#This Row],[P15]]=TRUE),1,0)</f>
        <v>0</v>
      </c>
      <c r="DD52" s="120">
        <f ca="1">IF(OR(Tbl_ResidentData[[#This Row],[S16]]=TRUE,Tbl_ResidentData[[#This Row],[P16]]=TRUE),1,0)</f>
        <v>0</v>
      </c>
      <c r="DE52" s="120">
        <f ca="1">IF(OR(Tbl_ResidentData[[#This Row],[S17]]=TRUE,Tbl_ResidentData[[#This Row],[P17]]=TRUE),1,0)</f>
        <v>0</v>
      </c>
      <c r="DF52" s="120">
        <f ca="1">IF(OR(Tbl_ResidentData[[#This Row],[S18]]=TRUE,Tbl_ResidentData[[#This Row],[P18]]=TRUE),1,0)</f>
        <v>0</v>
      </c>
      <c r="DG52" s="120">
        <f ca="1">IF(OR(Tbl_ResidentData[[#This Row],[S19]]=TRUE,Tbl_ResidentData[[#This Row],[P19]]=TRUE),1,0)</f>
        <v>0</v>
      </c>
      <c r="DH52" s="120">
        <f ca="1">IF(OR(Tbl_ResidentData[[#This Row],[S20]]=TRUE,Tbl_ResidentData[[#This Row],[P20]]=TRUE),1,0)</f>
        <v>0</v>
      </c>
      <c r="DI52" s="120">
        <f ca="1">IF(OR(Tbl_ResidentData[[#This Row],[S21]]=TRUE,Tbl_ResidentData[[#This Row],[P21]]=TRUE),1,0)</f>
        <v>0</v>
      </c>
      <c r="DJ52" s="120">
        <f ca="1">IF(OR(Tbl_ResidentData[[#This Row],[S22]]=TRUE,Tbl_ResidentData[[#This Row],[P22]]=TRUE),1,0)</f>
        <v>0</v>
      </c>
      <c r="DK52" s="120">
        <f ca="1">IF(OR(Tbl_ResidentData[[#This Row],[S23]]=TRUE,Tbl_ResidentData[[#This Row],[P23]]=TRUE),1,0)</f>
        <v>0</v>
      </c>
      <c r="DL52" s="120">
        <f ca="1">IF(OR(Tbl_ResidentData[[#This Row],[S24]]=TRUE,Tbl_ResidentData[[#This Row],[P24]]=TRUE),1,0)</f>
        <v>0</v>
      </c>
      <c r="DM52" s="123" t="str">
        <f ca="1">IFERROR(INDEX($CO$4:$DL$4,MATCH(TRUE,INDEX((Tbl_ResidentData[[#This Row],[Over1]:[Over24]]&lt;&gt;0),0),0)),"")</f>
        <v/>
      </c>
      <c r="DN52" s="133" t="str">
        <f>IFERROR(INDEX(Tbl_PDSAData[Last DRT],MATCH(Tbl_ResidentData[Resident Name '[last, first']],Tbl_PDSAData[Resident Name (last, first)],0)),"")</f>
        <v/>
      </c>
      <c r="DO52" s="222" t="str">
        <f>IFERROR(INDEX(Tbl_PDSAData[Last MR],MATCH(Tbl_ResidentData[Resident Name '[last, first']],Tbl_PDSAData[Resident Name (last, first)],0)),"")</f>
        <v/>
      </c>
    </row>
    <row r="53" spans="1:119" x14ac:dyDescent="0.25">
      <c r="A53" s="179"/>
      <c r="B53" s="180"/>
      <c r="C53" s="180"/>
      <c r="D53" s="218"/>
      <c r="E53" s="179"/>
      <c r="F53" s="181"/>
      <c r="G53" s="181"/>
      <c r="H53" s="375"/>
      <c r="I53" s="185"/>
      <c r="J53" s="387"/>
      <c r="K53" s="178"/>
      <c r="L53" s="388"/>
      <c r="M53" s="185"/>
      <c r="N53" s="386"/>
      <c r="O53" s="178"/>
      <c r="P53" s="388"/>
      <c r="Q53" s="395"/>
      <c r="R53" s="396"/>
      <c r="S53" s="131" t="str">
        <f>IF(ISBLANK(Tbl_ResidentData[[#This Row],[Discharge '[mmm-yyyy']]]),IF(ISBLANK(Tbl_ResidentData[[#This Row],[Enrollment '[mmm-yyyy']]]),"","In Care Home"),"Discharged")</f>
        <v/>
      </c>
      <c r="T53" s="119" t="str">
        <f>IF(ISBLANK(Tbl_ResidentData[[#This Row],[Diagnosis (RAI)]]),IF(ISBLANK(Tbl_ResidentData[[#This Row],[Resident Name '[last, first']]]),"",0),IF(Tbl_ResidentData[[#This Row],[Diagnosis (RAI)]]="Other (see clinical notes)",0,1))</f>
        <v/>
      </c>
      <c r="U53" s="120" t="str">
        <f ca="1">IF(U$4&gt;NOW(),"-",IF(ISBLANK(Tbl_ResidentData[[#This Row],[Enrollment '[mmm-yyyy']]]),"-",AND((Tbl_ResidentData[[#This Row],[Enrollment '[mmm-yyyy']]]&lt;=U$4),IF(ISBLANK(Tbl_ResidentData[[#This Row],[Discharge '[mmm-yyyy']]]),TRUE,(Tbl_ResidentData[[#This Row],[Discharge '[mmm-yyyy']]]&gt;=U$4)))))</f>
        <v>-</v>
      </c>
      <c r="V53" s="121" t="str">
        <f ca="1">IF(V$4&gt;NOW(),"-",IF(ISBLANK(Tbl_ResidentData[[#This Row],[Enrollment '[mmm-yyyy']]]),"-",AND((Tbl_ResidentData[[#This Row],[Enrollment '[mmm-yyyy']]]&lt;=V$4),IF(ISBLANK(Tbl_ResidentData[[#This Row],[Discharge '[mmm-yyyy']]]),TRUE,(Tbl_ResidentData[[#This Row],[Discharge '[mmm-yyyy']]]&gt;=V$4)))))</f>
        <v>-</v>
      </c>
      <c r="W53" s="121" t="str">
        <f ca="1">IF(W$4&gt;NOW(),"-",IF(ISBLANK(Tbl_ResidentData[[#This Row],[Enrollment '[mmm-yyyy']]]),"-",AND((Tbl_ResidentData[[#This Row],[Enrollment '[mmm-yyyy']]]&lt;=W$4),IF(ISBLANK(Tbl_ResidentData[[#This Row],[Discharge '[mmm-yyyy']]]),TRUE,(Tbl_ResidentData[[#This Row],[Discharge '[mmm-yyyy']]]&gt;=W$4)))))</f>
        <v>-</v>
      </c>
      <c r="X53" s="121" t="str">
        <f ca="1">IF(X$4&gt;NOW(),"-",IF(ISBLANK(Tbl_ResidentData[[#This Row],[Enrollment '[mmm-yyyy']]]),"-",AND((Tbl_ResidentData[[#This Row],[Enrollment '[mmm-yyyy']]]&lt;=X$4),IF(ISBLANK(Tbl_ResidentData[[#This Row],[Discharge '[mmm-yyyy']]]),TRUE,(Tbl_ResidentData[[#This Row],[Discharge '[mmm-yyyy']]]&gt;=X$4)))))</f>
        <v>-</v>
      </c>
      <c r="Y53" s="121" t="str">
        <f ca="1">IF(Y$4&gt;NOW(),"-",IF(ISBLANK(Tbl_ResidentData[[#This Row],[Enrollment '[mmm-yyyy']]]),"-",AND((Tbl_ResidentData[[#This Row],[Enrollment '[mmm-yyyy']]]&lt;=Y$4),IF(ISBLANK(Tbl_ResidentData[[#This Row],[Discharge '[mmm-yyyy']]]),TRUE,(Tbl_ResidentData[[#This Row],[Discharge '[mmm-yyyy']]]&gt;=Y$4)))))</f>
        <v>-</v>
      </c>
      <c r="Z53" s="121" t="str">
        <f ca="1">IF(Z$4&gt;NOW(),"-",IF(ISBLANK(Tbl_ResidentData[[#This Row],[Enrollment '[mmm-yyyy']]]),"-",AND((Tbl_ResidentData[[#This Row],[Enrollment '[mmm-yyyy']]]&lt;=Z$4),IF(ISBLANK(Tbl_ResidentData[[#This Row],[Discharge '[mmm-yyyy']]]),TRUE,(Tbl_ResidentData[[#This Row],[Discharge '[mmm-yyyy']]]&gt;=Z$4)))))</f>
        <v>-</v>
      </c>
      <c r="AA53" s="121" t="str">
        <f ca="1">IF(AA$4&gt;NOW(),"-",IF(ISBLANK(Tbl_ResidentData[[#This Row],[Enrollment '[mmm-yyyy']]]),"-",AND((Tbl_ResidentData[[#This Row],[Enrollment '[mmm-yyyy']]]&lt;=AA$4),IF(ISBLANK(Tbl_ResidentData[[#This Row],[Discharge '[mmm-yyyy']]]),TRUE,(Tbl_ResidentData[[#This Row],[Discharge '[mmm-yyyy']]]&gt;=AA$4)))))</f>
        <v>-</v>
      </c>
      <c r="AB53" s="121" t="str">
        <f ca="1">IF(AB$4&gt;NOW(),"-",IF(ISBLANK(Tbl_ResidentData[[#This Row],[Enrollment '[mmm-yyyy']]]),"-",AND((Tbl_ResidentData[[#This Row],[Enrollment '[mmm-yyyy']]]&lt;=AB$4),IF(ISBLANK(Tbl_ResidentData[[#This Row],[Discharge '[mmm-yyyy']]]),TRUE,(Tbl_ResidentData[[#This Row],[Discharge '[mmm-yyyy']]]&gt;=AB$4)))))</f>
        <v>-</v>
      </c>
      <c r="AC53" s="121" t="str">
        <f ca="1">IF(AC$4&gt;NOW(),"-",IF(ISBLANK(Tbl_ResidentData[[#This Row],[Enrollment '[mmm-yyyy']]]),"-",AND((Tbl_ResidentData[[#This Row],[Enrollment '[mmm-yyyy']]]&lt;=AC$4),IF(ISBLANK(Tbl_ResidentData[[#This Row],[Discharge '[mmm-yyyy']]]),TRUE,(Tbl_ResidentData[[#This Row],[Discharge '[mmm-yyyy']]]&gt;=AC$4)))))</f>
        <v>-</v>
      </c>
      <c r="AD53" s="121" t="str">
        <f ca="1">IF(AD$4&gt;NOW(),"-",IF(ISBLANK(Tbl_ResidentData[[#This Row],[Enrollment '[mmm-yyyy']]]),"-",AND((Tbl_ResidentData[[#This Row],[Enrollment '[mmm-yyyy']]]&lt;=AD$4),IF(ISBLANK(Tbl_ResidentData[[#This Row],[Discharge '[mmm-yyyy']]]),TRUE,(Tbl_ResidentData[[#This Row],[Discharge '[mmm-yyyy']]]&gt;=AD$4)))))</f>
        <v>-</v>
      </c>
      <c r="AE53" s="121" t="str">
        <f ca="1">IF(AE$4&gt;NOW(),"-",IF(ISBLANK(Tbl_ResidentData[[#This Row],[Enrollment '[mmm-yyyy']]]),"-",AND((Tbl_ResidentData[[#This Row],[Enrollment '[mmm-yyyy']]]&lt;=AE$4),IF(ISBLANK(Tbl_ResidentData[[#This Row],[Discharge '[mmm-yyyy']]]),TRUE,(Tbl_ResidentData[[#This Row],[Discharge '[mmm-yyyy']]]&gt;=AE$4)))))</f>
        <v>-</v>
      </c>
      <c r="AF53" s="121" t="str">
        <f ca="1">IF(AF$4&gt;NOW(),"-",IF(ISBLANK(Tbl_ResidentData[[#This Row],[Enrollment '[mmm-yyyy']]]),"-",AND((Tbl_ResidentData[[#This Row],[Enrollment '[mmm-yyyy']]]&lt;=AF$4),IF(ISBLANK(Tbl_ResidentData[[#This Row],[Discharge '[mmm-yyyy']]]),TRUE,(Tbl_ResidentData[[#This Row],[Discharge '[mmm-yyyy']]]&gt;=AF$4)))))</f>
        <v>-</v>
      </c>
      <c r="AG53" s="121" t="str">
        <f ca="1">IF(AG$4&gt;NOW(),"-",IF(ISBLANK(Tbl_ResidentData[[#This Row],[Enrollment '[mmm-yyyy']]]),"-",AND((Tbl_ResidentData[[#This Row],[Enrollment '[mmm-yyyy']]]&lt;=AG$4),IF(ISBLANK(Tbl_ResidentData[[#This Row],[Discharge '[mmm-yyyy']]]),TRUE,(Tbl_ResidentData[[#This Row],[Discharge '[mmm-yyyy']]]&gt;=AG$4)))))</f>
        <v>-</v>
      </c>
      <c r="AH53" s="121" t="str">
        <f ca="1">IF(AH$4&gt;NOW(),"-",IF(ISBLANK(Tbl_ResidentData[[#This Row],[Enrollment '[mmm-yyyy']]]),"-",AND((Tbl_ResidentData[[#This Row],[Enrollment '[mmm-yyyy']]]&lt;=AH$4),IF(ISBLANK(Tbl_ResidentData[[#This Row],[Discharge '[mmm-yyyy']]]),TRUE,(Tbl_ResidentData[[#This Row],[Discharge '[mmm-yyyy']]]&gt;=AH$4)))))</f>
        <v>-</v>
      </c>
      <c r="AI53" s="121" t="str">
        <f ca="1">IF(AI$4&gt;NOW(),"-",IF(ISBLANK(Tbl_ResidentData[[#This Row],[Enrollment '[mmm-yyyy']]]),"-",AND((Tbl_ResidentData[[#This Row],[Enrollment '[mmm-yyyy']]]&lt;=AI$4),IF(ISBLANK(Tbl_ResidentData[[#This Row],[Discharge '[mmm-yyyy']]]),TRUE,(Tbl_ResidentData[[#This Row],[Discharge '[mmm-yyyy']]]&gt;=AI$4)))))</f>
        <v>-</v>
      </c>
      <c r="AJ53" s="121" t="str">
        <f ca="1">IF(AJ$4&gt;NOW(),"-",IF(ISBLANK(Tbl_ResidentData[[#This Row],[Enrollment '[mmm-yyyy']]]),"-",AND((Tbl_ResidentData[[#This Row],[Enrollment '[mmm-yyyy']]]&lt;=AJ$4),IF(ISBLANK(Tbl_ResidentData[[#This Row],[Discharge '[mmm-yyyy']]]),TRUE,(Tbl_ResidentData[[#This Row],[Discharge '[mmm-yyyy']]]&gt;=AJ$4)))))</f>
        <v>-</v>
      </c>
      <c r="AK53" s="121" t="str">
        <f ca="1">IF(AK$4&gt;NOW(),"-",IF(ISBLANK(Tbl_ResidentData[[#This Row],[Enrollment '[mmm-yyyy']]]),"-",AND((Tbl_ResidentData[[#This Row],[Enrollment '[mmm-yyyy']]]&lt;=AK$4),IF(ISBLANK(Tbl_ResidentData[[#This Row],[Discharge '[mmm-yyyy']]]),TRUE,(Tbl_ResidentData[[#This Row],[Discharge '[mmm-yyyy']]]&gt;=AK$4)))))</f>
        <v>-</v>
      </c>
      <c r="AL53" s="121" t="str">
        <f ca="1">IF(AL$4&gt;NOW(),"-",IF(ISBLANK(Tbl_ResidentData[[#This Row],[Enrollment '[mmm-yyyy']]]),"-",AND((Tbl_ResidentData[[#This Row],[Enrollment '[mmm-yyyy']]]&lt;=AL$4),IF(ISBLANK(Tbl_ResidentData[[#This Row],[Discharge '[mmm-yyyy']]]),TRUE,(Tbl_ResidentData[[#This Row],[Discharge '[mmm-yyyy']]]&gt;=AL$4)))))</f>
        <v>-</v>
      </c>
      <c r="AM53" s="121" t="str">
        <f ca="1">IF(AM$4&gt;NOW(),"-",IF(ISBLANK(Tbl_ResidentData[[#This Row],[Enrollment '[mmm-yyyy']]]),"-",AND((Tbl_ResidentData[[#This Row],[Enrollment '[mmm-yyyy']]]&lt;=AM$4),IF(ISBLANK(Tbl_ResidentData[[#This Row],[Discharge '[mmm-yyyy']]]),TRUE,(Tbl_ResidentData[[#This Row],[Discharge '[mmm-yyyy']]]&gt;=AM$4)))))</f>
        <v>-</v>
      </c>
      <c r="AN53" s="121" t="str">
        <f ca="1">IF(AN$4&gt;NOW(),"-",IF(ISBLANK(Tbl_ResidentData[[#This Row],[Enrollment '[mmm-yyyy']]]),"-",AND((Tbl_ResidentData[[#This Row],[Enrollment '[mmm-yyyy']]]&lt;=AN$4),IF(ISBLANK(Tbl_ResidentData[[#This Row],[Discharge '[mmm-yyyy']]]),TRUE,(Tbl_ResidentData[[#This Row],[Discharge '[mmm-yyyy']]]&gt;=AN$4)))))</f>
        <v>-</v>
      </c>
      <c r="AO53" s="121" t="str">
        <f ca="1">IF(AO$4&gt;NOW(),"-",IF(ISBLANK(Tbl_ResidentData[[#This Row],[Enrollment '[mmm-yyyy']]]),"-",AND((Tbl_ResidentData[[#This Row],[Enrollment '[mmm-yyyy']]]&lt;=AO$4),IF(ISBLANK(Tbl_ResidentData[[#This Row],[Discharge '[mmm-yyyy']]]),TRUE,(Tbl_ResidentData[[#This Row],[Discharge '[mmm-yyyy']]]&gt;=AO$4)))))</f>
        <v>-</v>
      </c>
      <c r="AP53" s="121" t="str">
        <f ca="1">IF(AP$4&gt;NOW(),"-",IF(ISBLANK(Tbl_ResidentData[[#This Row],[Enrollment '[mmm-yyyy']]]),"-",AND((Tbl_ResidentData[[#This Row],[Enrollment '[mmm-yyyy']]]&lt;=AP$4),IF(ISBLANK(Tbl_ResidentData[[#This Row],[Discharge '[mmm-yyyy']]]),TRUE,(Tbl_ResidentData[[#This Row],[Discharge '[mmm-yyyy']]]&gt;=AP$4)))))</f>
        <v>-</v>
      </c>
      <c r="AQ53" s="121" t="str">
        <f ca="1">IF(AQ$4&gt;NOW(),"-",IF(ISBLANK(Tbl_ResidentData[[#This Row],[Enrollment '[mmm-yyyy']]]),"-",AND((Tbl_ResidentData[[#This Row],[Enrollment '[mmm-yyyy']]]&lt;=AQ$4),IF(ISBLANK(Tbl_ResidentData[[#This Row],[Discharge '[mmm-yyyy']]]),TRUE,(Tbl_ResidentData[[#This Row],[Discharge '[mmm-yyyy']]]&gt;=AQ$4)))))</f>
        <v>-</v>
      </c>
      <c r="AR53" s="122" t="str">
        <f ca="1">IF(AR$4&gt;NOW(),"-",IF(ISBLANK(Tbl_ResidentData[[#This Row],[Enrollment '[mmm-yyyy']]]),"-",AND((Tbl_ResidentData[[#This Row],[Enrollment '[mmm-yyyy']]]&lt;=AR$4),IF(ISBLANK(Tbl_ResidentData[[#This Row],[Discharge '[mmm-yyyy']]]),TRUE,(Tbl_ResidentData[[#This Row],[Discharge '[mmm-yyyy']]]&gt;=AR$4)))))</f>
        <v>-</v>
      </c>
      <c r="AS5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5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5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5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5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5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5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5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5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5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5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5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5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5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5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5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5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5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5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5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5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5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5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5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53" s="120" t="b">
        <f ca="1">AND(Tbl_ResidentData[[#This Row],[PRN Med Started]]&lt;&gt;"",Tbl_ResidentData[[#This Row],[PRN Med Started]]&lt;=NOW(),Tbl_ResidentData[[#This Row],[PRN Med Started]]&lt;=AS$4,OR(Tbl_ResidentData[[#This Row],[PRN Med Discontinued]]&gt;AS$4,ISBLANK(Tbl_ResidentData[[#This Row],[PRN Med Discontinued]])))</f>
        <v>0</v>
      </c>
      <c r="BR53" s="121" t="b">
        <f ca="1">AND(Tbl_ResidentData[[#This Row],[PRN Med Started]]&lt;&gt;"",Tbl_ResidentData[[#This Row],[PRN Med Started]]&lt;=NOW(),Tbl_ResidentData[[#This Row],[PRN Med Started]]&lt;=AT$4,OR(Tbl_ResidentData[[#This Row],[PRN Med Discontinued]]&gt;AT$4,ISBLANK(Tbl_ResidentData[[#This Row],[PRN Med Discontinued]])))</f>
        <v>0</v>
      </c>
      <c r="BS53" s="121" t="b">
        <f ca="1">AND(Tbl_ResidentData[[#This Row],[PRN Med Started]]&lt;&gt;"",Tbl_ResidentData[[#This Row],[PRN Med Started]]&lt;=NOW(),Tbl_ResidentData[[#This Row],[PRN Med Started]]&lt;=AU$4,OR(Tbl_ResidentData[[#This Row],[PRN Med Discontinued]]&gt;AU$4,ISBLANK(Tbl_ResidentData[[#This Row],[PRN Med Discontinued]])))</f>
        <v>0</v>
      </c>
      <c r="BT53" s="121" t="b">
        <f ca="1">AND(Tbl_ResidentData[[#This Row],[PRN Med Started]]&lt;&gt;"",Tbl_ResidentData[[#This Row],[PRN Med Started]]&lt;=NOW(),Tbl_ResidentData[[#This Row],[PRN Med Started]]&lt;=AV$4,OR(Tbl_ResidentData[[#This Row],[PRN Med Discontinued]]&gt;AV$4,ISBLANK(Tbl_ResidentData[[#This Row],[PRN Med Discontinued]])))</f>
        <v>0</v>
      </c>
      <c r="BU53" s="121" t="b">
        <f ca="1">AND(Tbl_ResidentData[[#This Row],[PRN Med Started]]&lt;&gt;"",Tbl_ResidentData[[#This Row],[PRN Med Started]]&lt;=NOW(),Tbl_ResidentData[[#This Row],[PRN Med Started]]&lt;=AW$4,OR(Tbl_ResidentData[[#This Row],[PRN Med Discontinued]]&gt;AW$4,ISBLANK(Tbl_ResidentData[[#This Row],[PRN Med Discontinued]])))</f>
        <v>0</v>
      </c>
      <c r="BV53" s="121" t="b">
        <f ca="1">AND(Tbl_ResidentData[[#This Row],[PRN Med Started]]&lt;&gt;"",Tbl_ResidentData[[#This Row],[PRN Med Started]]&lt;=NOW(),Tbl_ResidentData[[#This Row],[PRN Med Started]]&lt;=AX$4,OR(Tbl_ResidentData[[#This Row],[PRN Med Discontinued]]&gt;AX$4,ISBLANK(Tbl_ResidentData[[#This Row],[PRN Med Discontinued]])))</f>
        <v>0</v>
      </c>
      <c r="BW53" s="121" t="b">
        <f ca="1">AND(Tbl_ResidentData[[#This Row],[PRN Med Started]]&lt;&gt;"",Tbl_ResidentData[[#This Row],[PRN Med Started]]&lt;=NOW(),Tbl_ResidentData[[#This Row],[PRN Med Started]]&lt;=AY$4,OR(Tbl_ResidentData[[#This Row],[PRN Med Discontinued]]&gt;AY$4,ISBLANK(Tbl_ResidentData[[#This Row],[PRN Med Discontinued]])))</f>
        <v>0</v>
      </c>
      <c r="BX53" s="121" t="b">
        <f ca="1">AND(Tbl_ResidentData[[#This Row],[PRN Med Started]]&lt;&gt;"",Tbl_ResidentData[[#This Row],[PRN Med Started]]&lt;=NOW(),Tbl_ResidentData[[#This Row],[PRN Med Started]]&lt;=AZ$4,OR(Tbl_ResidentData[[#This Row],[PRN Med Discontinued]]&gt;AZ$4,ISBLANK(Tbl_ResidentData[[#This Row],[PRN Med Discontinued]])))</f>
        <v>0</v>
      </c>
      <c r="BY53" s="121" t="b">
        <f ca="1">AND(Tbl_ResidentData[[#This Row],[PRN Med Started]]&lt;&gt;"",Tbl_ResidentData[[#This Row],[PRN Med Started]]&lt;=NOW(),Tbl_ResidentData[[#This Row],[PRN Med Started]]&lt;=BA$4,OR(Tbl_ResidentData[[#This Row],[PRN Med Discontinued]]&gt;BA$4,ISBLANK(Tbl_ResidentData[[#This Row],[PRN Med Discontinued]])))</f>
        <v>0</v>
      </c>
      <c r="BZ53" s="121" t="b">
        <f ca="1">AND(Tbl_ResidentData[[#This Row],[PRN Med Started]]&lt;&gt;"",Tbl_ResidentData[[#This Row],[PRN Med Started]]&lt;=NOW(),Tbl_ResidentData[[#This Row],[PRN Med Started]]&lt;=BB$4,OR(Tbl_ResidentData[[#This Row],[PRN Med Discontinued]]&gt;BB$4,ISBLANK(Tbl_ResidentData[[#This Row],[PRN Med Discontinued]])))</f>
        <v>0</v>
      </c>
      <c r="CA53" s="121" t="b">
        <f ca="1">AND(Tbl_ResidentData[[#This Row],[PRN Med Started]]&lt;&gt;"",Tbl_ResidentData[[#This Row],[PRN Med Started]]&lt;=NOW(),Tbl_ResidentData[[#This Row],[PRN Med Started]]&lt;=BC$4,OR(Tbl_ResidentData[[#This Row],[PRN Med Discontinued]]&gt;BC$4,ISBLANK(Tbl_ResidentData[[#This Row],[PRN Med Discontinued]])))</f>
        <v>0</v>
      </c>
      <c r="CB53" s="121" t="b">
        <f ca="1">AND(Tbl_ResidentData[[#This Row],[PRN Med Started]]&lt;&gt;"",Tbl_ResidentData[[#This Row],[PRN Med Started]]&lt;=NOW(),Tbl_ResidentData[[#This Row],[PRN Med Started]]&lt;=BD$4,OR(Tbl_ResidentData[[#This Row],[PRN Med Discontinued]]&gt;BD$4,ISBLANK(Tbl_ResidentData[[#This Row],[PRN Med Discontinued]])))</f>
        <v>0</v>
      </c>
      <c r="CC53" s="121" t="b">
        <f ca="1">AND(Tbl_ResidentData[[#This Row],[PRN Med Started]]&lt;&gt;"",Tbl_ResidentData[[#This Row],[PRN Med Started]]&lt;=NOW(),Tbl_ResidentData[[#This Row],[PRN Med Started]]&lt;=BE$4,OR(Tbl_ResidentData[[#This Row],[PRN Med Discontinued]]&gt;BE$4,ISBLANK(Tbl_ResidentData[[#This Row],[PRN Med Discontinued]])))</f>
        <v>0</v>
      </c>
      <c r="CD53" s="121" t="b">
        <f ca="1">AND(Tbl_ResidentData[[#This Row],[PRN Med Started]]&lt;&gt;"",Tbl_ResidentData[[#This Row],[PRN Med Started]]&lt;=NOW(),Tbl_ResidentData[[#This Row],[PRN Med Started]]&lt;=BF$4,OR(Tbl_ResidentData[[#This Row],[PRN Med Discontinued]]&gt;BF$4,ISBLANK(Tbl_ResidentData[[#This Row],[PRN Med Discontinued]])))</f>
        <v>0</v>
      </c>
      <c r="CE53" s="121" t="b">
        <f ca="1">AND(Tbl_ResidentData[[#This Row],[PRN Med Started]]&lt;&gt;"",Tbl_ResidentData[[#This Row],[PRN Med Started]]&lt;=NOW(),Tbl_ResidentData[[#This Row],[PRN Med Started]]&lt;=BG$4,OR(Tbl_ResidentData[[#This Row],[PRN Med Discontinued]]&gt;BG$4,ISBLANK(Tbl_ResidentData[[#This Row],[PRN Med Discontinued]])))</f>
        <v>0</v>
      </c>
      <c r="CF53" s="121" t="b">
        <f ca="1">AND(Tbl_ResidentData[[#This Row],[PRN Med Started]]&lt;&gt;"",Tbl_ResidentData[[#This Row],[PRN Med Started]]&lt;=NOW(),Tbl_ResidentData[[#This Row],[PRN Med Started]]&lt;=BH$4,OR(Tbl_ResidentData[[#This Row],[PRN Med Discontinued]]&gt;BH$4,ISBLANK(Tbl_ResidentData[[#This Row],[PRN Med Discontinued]])))</f>
        <v>0</v>
      </c>
      <c r="CG53" s="121" t="b">
        <f ca="1">AND(Tbl_ResidentData[[#This Row],[PRN Med Started]]&lt;&gt;"",Tbl_ResidentData[[#This Row],[PRN Med Started]]&lt;=NOW(),Tbl_ResidentData[[#This Row],[PRN Med Started]]&lt;=BI$4,OR(Tbl_ResidentData[[#This Row],[PRN Med Discontinued]]&gt;BI$4,ISBLANK(Tbl_ResidentData[[#This Row],[PRN Med Discontinued]])))</f>
        <v>0</v>
      </c>
      <c r="CH53" s="121" t="b">
        <f ca="1">AND(Tbl_ResidentData[[#This Row],[PRN Med Started]]&lt;&gt;"",Tbl_ResidentData[[#This Row],[PRN Med Started]]&lt;=NOW(),Tbl_ResidentData[[#This Row],[PRN Med Started]]&lt;=BJ$4,OR(Tbl_ResidentData[[#This Row],[PRN Med Discontinued]]&gt;BJ$4,ISBLANK(Tbl_ResidentData[[#This Row],[PRN Med Discontinued]])))</f>
        <v>0</v>
      </c>
      <c r="CI53" s="121" t="b">
        <f ca="1">AND(Tbl_ResidentData[[#This Row],[PRN Med Started]]&lt;&gt;"",Tbl_ResidentData[[#This Row],[PRN Med Started]]&lt;=NOW(),Tbl_ResidentData[[#This Row],[PRN Med Started]]&lt;=BK$4,OR(Tbl_ResidentData[[#This Row],[PRN Med Discontinued]]&gt;BK$4,ISBLANK(Tbl_ResidentData[[#This Row],[PRN Med Discontinued]])))</f>
        <v>0</v>
      </c>
      <c r="CJ53" s="121" t="b">
        <f ca="1">AND(Tbl_ResidentData[[#This Row],[PRN Med Started]]&lt;&gt;"",Tbl_ResidentData[[#This Row],[PRN Med Started]]&lt;=NOW(),Tbl_ResidentData[[#This Row],[PRN Med Started]]&lt;=BL$4,OR(Tbl_ResidentData[[#This Row],[PRN Med Discontinued]]&gt;BL$4,ISBLANK(Tbl_ResidentData[[#This Row],[PRN Med Discontinued]])))</f>
        <v>0</v>
      </c>
      <c r="CK53" s="121" t="b">
        <f ca="1">AND(Tbl_ResidentData[[#This Row],[PRN Med Started]]&lt;&gt;"",Tbl_ResidentData[[#This Row],[PRN Med Started]]&lt;=NOW(),Tbl_ResidentData[[#This Row],[PRN Med Started]]&lt;=BM$4,OR(Tbl_ResidentData[[#This Row],[PRN Med Discontinued]]&gt;BM$4,ISBLANK(Tbl_ResidentData[[#This Row],[PRN Med Discontinued]])))</f>
        <v>0</v>
      </c>
      <c r="CL53" s="121" t="b">
        <f ca="1">AND(Tbl_ResidentData[[#This Row],[PRN Med Started]]&lt;&gt;"",Tbl_ResidentData[[#This Row],[PRN Med Started]]&lt;=NOW(),Tbl_ResidentData[[#This Row],[PRN Med Started]]&lt;=BN$4,OR(Tbl_ResidentData[[#This Row],[PRN Med Discontinued]]&gt;BN$4,ISBLANK(Tbl_ResidentData[[#This Row],[PRN Med Discontinued]])))</f>
        <v>0</v>
      </c>
      <c r="CM53" s="121" t="b">
        <f ca="1">AND(Tbl_ResidentData[[#This Row],[PRN Med Started]]&lt;&gt;"",Tbl_ResidentData[[#This Row],[PRN Med Started]]&lt;=NOW(),Tbl_ResidentData[[#This Row],[PRN Med Started]]&lt;=BO$4,OR(Tbl_ResidentData[[#This Row],[PRN Med Discontinued]]&gt;BO$4,ISBLANK(Tbl_ResidentData[[#This Row],[PRN Med Discontinued]])))</f>
        <v>0</v>
      </c>
      <c r="CN53" s="122" t="b">
        <f ca="1">AND(Tbl_ResidentData[[#This Row],[PRN Med Started]]&lt;&gt;"",Tbl_ResidentData[[#This Row],[PRN Med Started]]&lt;=NOW(),Tbl_ResidentData[[#This Row],[PRN Med Started]]&lt;=BP$4,OR(Tbl_ResidentData[[#This Row],[PRN Med Discontinued]]&gt;BP$4,ISBLANK(Tbl_ResidentData[[#This Row],[PRN Med Discontinued]])))</f>
        <v>0</v>
      </c>
      <c r="CO53" s="120">
        <f ca="1">IF(OR(Tbl_ResidentData[[#This Row],[S1]]=TRUE,Tbl_ResidentData[[#This Row],[P1]]=TRUE),1,0)</f>
        <v>0</v>
      </c>
      <c r="CP53" s="121">
        <f ca="1">IF(OR(Tbl_ResidentData[[#This Row],[S2]]=TRUE,Tbl_ResidentData[[#This Row],[P2]]=TRUE),1,0)</f>
        <v>0</v>
      </c>
      <c r="CQ53" s="121">
        <f ca="1">IF(OR(Tbl_ResidentData[[#This Row],[S3]]=TRUE,Tbl_ResidentData[[#This Row],[P3]]=TRUE),1,0)</f>
        <v>0</v>
      </c>
      <c r="CR53" s="120">
        <f ca="1">IF(OR(Tbl_ResidentData[[#This Row],[S4]]=TRUE,Tbl_ResidentData[[#This Row],[P4]]=TRUE),1,0)</f>
        <v>0</v>
      </c>
      <c r="CS53" s="120">
        <f ca="1">IF(OR(Tbl_ResidentData[[#This Row],[S5]]=TRUE,Tbl_ResidentData[[#This Row],[P5]]=TRUE),1,0)</f>
        <v>0</v>
      </c>
      <c r="CT53" s="120">
        <f ca="1">IF(OR(Tbl_ResidentData[[#This Row],[S6]]=TRUE,Tbl_ResidentData[[#This Row],[P6]]=TRUE),1,0)</f>
        <v>0</v>
      </c>
      <c r="CU53" s="120">
        <f ca="1">IF(OR(Tbl_ResidentData[[#This Row],[S7]]=TRUE,Tbl_ResidentData[[#This Row],[P7]]=TRUE),1,0)</f>
        <v>0</v>
      </c>
      <c r="CV53" s="120">
        <f ca="1">IF(OR(Tbl_ResidentData[[#This Row],[S8]]=TRUE,Tbl_ResidentData[[#This Row],[P8]]=TRUE),1,0)</f>
        <v>0</v>
      </c>
      <c r="CW53" s="120">
        <f ca="1">IF(OR(Tbl_ResidentData[[#This Row],[S9]]=TRUE,Tbl_ResidentData[[#This Row],[P9]]=TRUE),1,0)</f>
        <v>0</v>
      </c>
      <c r="CX53" s="120">
        <f ca="1">IF(OR(Tbl_ResidentData[[#This Row],[S10]]=TRUE,Tbl_ResidentData[[#This Row],[P10]]=TRUE),1,0)</f>
        <v>0</v>
      </c>
      <c r="CY53" s="120">
        <f ca="1">IF(OR(Tbl_ResidentData[[#This Row],[S11]]=TRUE,Tbl_ResidentData[[#This Row],[P11]]=TRUE),1,0)</f>
        <v>0</v>
      </c>
      <c r="CZ53" s="120">
        <f ca="1">IF(OR(Tbl_ResidentData[[#This Row],[S12]]=TRUE,Tbl_ResidentData[[#This Row],[P12]]=TRUE),1,0)</f>
        <v>0</v>
      </c>
      <c r="DA53" s="120">
        <f ca="1">IF(OR(Tbl_ResidentData[[#This Row],[S13]]=TRUE,Tbl_ResidentData[[#This Row],[P13]]=TRUE),1,0)</f>
        <v>0</v>
      </c>
      <c r="DB53" s="120">
        <f ca="1">IF(OR(Tbl_ResidentData[[#This Row],[S14]]=TRUE,Tbl_ResidentData[[#This Row],[P14]]=TRUE),1,0)</f>
        <v>0</v>
      </c>
      <c r="DC53" s="120">
        <f ca="1">IF(OR(Tbl_ResidentData[[#This Row],[S15]]=TRUE,Tbl_ResidentData[[#This Row],[P15]]=TRUE),1,0)</f>
        <v>0</v>
      </c>
      <c r="DD53" s="120">
        <f ca="1">IF(OR(Tbl_ResidentData[[#This Row],[S16]]=TRUE,Tbl_ResidentData[[#This Row],[P16]]=TRUE),1,0)</f>
        <v>0</v>
      </c>
      <c r="DE53" s="120">
        <f ca="1">IF(OR(Tbl_ResidentData[[#This Row],[S17]]=TRUE,Tbl_ResidentData[[#This Row],[P17]]=TRUE),1,0)</f>
        <v>0</v>
      </c>
      <c r="DF53" s="120">
        <f ca="1">IF(OR(Tbl_ResidentData[[#This Row],[S18]]=TRUE,Tbl_ResidentData[[#This Row],[P18]]=TRUE),1,0)</f>
        <v>0</v>
      </c>
      <c r="DG53" s="120">
        <f ca="1">IF(OR(Tbl_ResidentData[[#This Row],[S19]]=TRUE,Tbl_ResidentData[[#This Row],[P19]]=TRUE),1,0)</f>
        <v>0</v>
      </c>
      <c r="DH53" s="120">
        <f ca="1">IF(OR(Tbl_ResidentData[[#This Row],[S20]]=TRUE,Tbl_ResidentData[[#This Row],[P20]]=TRUE),1,0)</f>
        <v>0</v>
      </c>
      <c r="DI53" s="120">
        <f ca="1">IF(OR(Tbl_ResidentData[[#This Row],[S21]]=TRUE,Tbl_ResidentData[[#This Row],[P21]]=TRUE),1,0)</f>
        <v>0</v>
      </c>
      <c r="DJ53" s="120">
        <f ca="1">IF(OR(Tbl_ResidentData[[#This Row],[S22]]=TRUE,Tbl_ResidentData[[#This Row],[P22]]=TRUE),1,0)</f>
        <v>0</v>
      </c>
      <c r="DK53" s="120">
        <f ca="1">IF(OR(Tbl_ResidentData[[#This Row],[S23]]=TRUE,Tbl_ResidentData[[#This Row],[P23]]=TRUE),1,0)</f>
        <v>0</v>
      </c>
      <c r="DL53" s="120">
        <f ca="1">IF(OR(Tbl_ResidentData[[#This Row],[S24]]=TRUE,Tbl_ResidentData[[#This Row],[P24]]=TRUE),1,0)</f>
        <v>0</v>
      </c>
      <c r="DM53" s="123" t="str">
        <f ca="1">IFERROR(INDEX($CO$4:$DL$4,MATCH(TRUE,INDEX((Tbl_ResidentData[[#This Row],[Over1]:[Over24]]&lt;&gt;0),0),0)),"")</f>
        <v/>
      </c>
      <c r="DN53" s="133" t="str">
        <f>IFERROR(INDEX(Tbl_PDSAData[Last DRT],MATCH(Tbl_ResidentData[Resident Name '[last, first']],Tbl_PDSAData[Resident Name (last, first)],0)),"")</f>
        <v/>
      </c>
      <c r="DO53" s="222" t="str">
        <f>IFERROR(INDEX(Tbl_PDSAData[Last MR],MATCH(Tbl_ResidentData[Resident Name '[last, first']],Tbl_PDSAData[Resident Name (last, first)],0)),"")</f>
        <v/>
      </c>
    </row>
    <row r="54" spans="1:119" x14ac:dyDescent="0.25">
      <c r="A54" s="179"/>
      <c r="B54" s="180"/>
      <c r="C54" s="180"/>
      <c r="D54" s="218"/>
      <c r="E54" s="179"/>
      <c r="F54" s="181"/>
      <c r="G54" s="181"/>
      <c r="H54" s="182"/>
      <c r="I54" s="185"/>
      <c r="J54" s="387"/>
      <c r="K54" s="178"/>
      <c r="L54" s="388"/>
      <c r="M54" s="185"/>
      <c r="N54" s="386"/>
      <c r="O54" s="178"/>
      <c r="P54" s="388"/>
      <c r="Q54" s="394"/>
      <c r="R54" s="388"/>
      <c r="S54" s="131" t="str">
        <f>IF(ISBLANK(Tbl_ResidentData[[#This Row],[Discharge '[mmm-yyyy']]]),IF(ISBLANK(Tbl_ResidentData[[#This Row],[Enrollment '[mmm-yyyy']]]),"","In Care Home"),"Discharged")</f>
        <v/>
      </c>
      <c r="T54" s="119" t="str">
        <f>IF(ISBLANK(Tbl_ResidentData[[#This Row],[Diagnosis (RAI)]]),IF(ISBLANK(Tbl_ResidentData[[#This Row],[Resident Name '[last, first']]]),"",0),IF(Tbl_ResidentData[[#This Row],[Diagnosis (RAI)]]="Other (see clinical notes)",0,1))</f>
        <v/>
      </c>
      <c r="U54" s="120" t="str">
        <f ca="1">IF(U$4&gt;NOW(),"-",IF(ISBLANK(Tbl_ResidentData[[#This Row],[Enrollment '[mmm-yyyy']]]),"-",AND((Tbl_ResidentData[[#This Row],[Enrollment '[mmm-yyyy']]]&lt;=U$4),IF(ISBLANK(Tbl_ResidentData[[#This Row],[Discharge '[mmm-yyyy']]]),TRUE,(Tbl_ResidentData[[#This Row],[Discharge '[mmm-yyyy']]]&gt;=U$4)))))</f>
        <v>-</v>
      </c>
      <c r="V54" s="121" t="str">
        <f ca="1">IF(V$4&gt;NOW(),"-",IF(ISBLANK(Tbl_ResidentData[[#This Row],[Enrollment '[mmm-yyyy']]]),"-",AND((Tbl_ResidentData[[#This Row],[Enrollment '[mmm-yyyy']]]&lt;=V$4),IF(ISBLANK(Tbl_ResidentData[[#This Row],[Discharge '[mmm-yyyy']]]),TRUE,(Tbl_ResidentData[[#This Row],[Discharge '[mmm-yyyy']]]&gt;=V$4)))))</f>
        <v>-</v>
      </c>
      <c r="W54" s="121" t="str">
        <f ca="1">IF(W$4&gt;NOW(),"-",IF(ISBLANK(Tbl_ResidentData[[#This Row],[Enrollment '[mmm-yyyy']]]),"-",AND((Tbl_ResidentData[[#This Row],[Enrollment '[mmm-yyyy']]]&lt;=W$4),IF(ISBLANK(Tbl_ResidentData[[#This Row],[Discharge '[mmm-yyyy']]]),TRUE,(Tbl_ResidentData[[#This Row],[Discharge '[mmm-yyyy']]]&gt;=W$4)))))</f>
        <v>-</v>
      </c>
      <c r="X54" s="121" t="str">
        <f ca="1">IF(X$4&gt;NOW(),"-",IF(ISBLANK(Tbl_ResidentData[[#This Row],[Enrollment '[mmm-yyyy']]]),"-",AND((Tbl_ResidentData[[#This Row],[Enrollment '[mmm-yyyy']]]&lt;=X$4),IF(ISBLANK(Tbl_ResidentData[[#This Row],[Discharge '[mmm-yyyy']]]),TRUE,(Tbl_ResidentData[[#This Row],[Discharge '[mmm-yyyy']]]&gt;=X$4)))))</f>
        <v>-</v>
      </c>
      <c r="Y54" s="121" t="str">
        <f ca="1">IF(Y$4&gt;NOW(),"-",IF(ISBLANK(Tbl_ResidentData[[#This Row],[Enrollment '[mmm-yyyy']]]),"-",AND((Tbl_ResidentData[[#This Row],[Enrollment '[mmm-yyyy']]]&lt;=Y$4),IF(ISBLANK(Tbl_ResidentData[[#This Row],[Discharge '[mmm-yyyy']]]),TRUE,(Tbl_ResidentData[[#This Row],[Discharge '[mmm-yyyy']]]&gt;=Y$4)))))</f>
        <v>-</v>
      </c>
      <c r="Z54" s="121" t="str">
        <f ca="1">IF(Z$4&gt;NOW(),"-",IF(ISBLANK(Tbl_ResidentData[[#This Row],[Enrollment '[mmm-yyyy']]]),"-",AND((Tbl_ResidentData[[#This Row],[Enrollment '[mmm-yyyy']]]&lt;=Z$4),IF(ISBLANK(Tbl_ResidentData[[#This Row],[Discharge '[mmm-yyyy']]]),TRUE,(Tbl_ResidentData[[#This Row],[Discharge '[mmm-yyyy']]]&gt;=Z$4)))))</f>
        <v>-</v>
      </c>
      <c r="AA54" s="121" t="str">
        <f ca="1">IF(AA$4&gt;NOW(),"-",IF(ISBLANK(Tbl_ResidentData[[#This Row],[Enrollment '[mmm-yyyy']]]),"-",AND((Tbl_ResidentData[[#This Row],[Enrollment '[mmm-yyyy']]]&lt;=AA$4),IF(ISBLANK(Tbl_ResidentData[[#This Row],[Discharge '[mmm-yyyy']]]),TRUE,(Tbl_ResidentData[[#This Row],[Discharge '[mmm-yyyy']]]&gt;=AA$4)))))</f>
        <v>-</v>
      </c>
      <c r="AB54" s="121" t="str">
        <f ca="1">IF(AB$4&gt;NOW(),"-",IF(ISBLANK(Tbl_ResidentData[[#This Row],[Enrollment '[mmm-yyyy']]]),"-",AND((Tbl_ResidentData[[#This Row],[Enrollment '[mmm-yyyy']]]&lt;=AB$4),IF(ISBLANK(Tbl_ResidentData[[#This Row],[Discharge '[mmm-yyyy']]]),TRUE,(Tbl_ResidentData[[#This Row],[Discharge '[mmm-yyyy']]]&gt;=AB$4)))))</f>
        <v>-</v>
      </c>
      <c r="AC54" s="121" t="str">
        <f ca="1">IF(AC$4&gt;NOW(),"-",IF(ISBLANK(Tbl_ResidentData[[#This Row],[Enrollment '[mmm-yyyy']]]),"-",AND((Tbl_ResidentData[[#This Row],[Enrollment '[mmm-yyyy']]]&lt;=AC$4),IF(ISBLANK(Tbl_ResidentData[[#This Row],[Discharge '[mmm-yyyy']]]),TRUE,(Tbl_ResidentData[[#This Row],[Discharge '[mmm-yyyy']]]&gt;=AC$4)))))</f>
        <v>-</v>
      </c>
      <c r="AD54" s="121" t="str">
        <f ca="1">IF(AD$4&gt;NOW(),"-",IF(ISBLANK(Tbl_ResidentData[[#This Row],[Enrollment '[mmm-yyyy']]]),"-",AND((Tbl_ResidentData[[#This Row],[Enrollment '[mmm-yyyy']]]&lt;=AD$4),IF(ISBLANK(Tbl_ResidentData[[#This Row],[Discharge '[mmm-yyyy']]]),TRUE,(Tbl_ResidentData[[#This Row],[Discharge '[mmm-yyyy']]]&gt;=AD$4)))))</f>
        <v>-</v>
      </c>
      <c r="AE54" s="121" t="str">
        <f ca="1">IF(AE$4&gt;NOW(),"-",IF(ISBLANK(Tbl_ResidentData[[#This Row],[Enrollment '[mmm-yyyy']]]),"-",AND((Tbl_ResidentData[[#This Row],[Enrollment '[mmm-yyyy']]]&lt;=AE$4),IF(ISBLANK(Tbl_ResidentData[[#This Row],[Discharge '[mmm-yyyy']]]),TRUE,(Tbl_ResidentData[[#This Row],[Discharge '[mmm-yyyy']]]&gt;=AE$4)))))</f>
        <v>-</v>
      </c>
      <c r="AF54" s="121" t="str">
        <f ca="1">IF(AF$4&gt;NOW(),"-",IF(ISBLANK(Tbl_ResidentData[[#This Row],[Enrollment '[mmm-yyyy']]]),"-",AND((Tbl_ResidentData[[#This Row],[Enrollment '[mmm-yyyy']]]&lt;=AF$4),IF(ISBLANK(Tbl_ResidentData[[#This Row],[Discharge '[mmm-yyyy']]]),TRUE,(Tbl_ResidentData[[#This Row],[Discharge '[mmm-yyyy']]]&gt;=AF$4)))))</f>
        <v>-</v>
      </c>
      <c r="AG54" s="121" t="str">
        <f ca="1">IF(AG$4&gt;NOW(),"-",IF(ISBLANK(Tbl_ResidentData[[#This Row],[Enrollment '[mmm-yyyy']]]),"-",AND((Tbl_ResidentData[[#This Row],[Enrollment '[mmm-yyyy']]]&lt;=AG$4),IF(ISBLANK(Tbl_ResidentData[[#This Row],[Discharge '[mmm-yyyy']]]),TRUE,(Tbl_ResidentData[[#This Row],[Discharge '[mmm-yyyy']]]&gt;=AG$4)))))</f>
        <v>-</v>
      </c>
      <c r="AH54" s="121" t="str">
        <f ca="1">IF(AH$4&gt;NOW(),"-",IF(ISBLANK(Tbl_ResidentData[[#This Row],[Enrollment '[mmm-yyyy']]]),"-",AND((Tbl_ResidentData[[#This Row],[Enrollment '[mmm-yyyy']]]&lt;=AH$4),IF(ISBLANK(Tbl_ResidentData[[#This Row],[Discharge '[mmm-yyyy']]]),TRUE,(Tbl_ResidentData[[#This Row],[Discharge '[mmm-yyyy']]]&gt;=AH$4)))))</f>
        <v>-</v>
      </c>
      <c r="AI54" s="121" t="str">
        <f ca="1">IF(AI$4&gt;NOW(),"-",IF(ISBLANK(Tbl_ResidentData[[#This Row],[Enrollment '[mmm-yyyy']]]),"-",AND((Tbl_ResidentData[[#This Row],[Enrollment '[mmm-yyyy']]]&lt;=AI$4),IF(ISBLANK(Tbl_ResidentData[[#This Row],[Discharge '[mmm-yyyy']]]),TRUE,(Tbl_ResidentData[[#This Row],[Discharge '[mmm-yyyy']]]&gt;=AI$4)))))</f>
        <v>-</v>
      </c>
      <c r="AJ54" s="121" t="str">
        <f ca="1">IF(AJ$4&gt;NOW(),"-",IF(ISBLANK(Tbl_ResidentData[[#This Row],[Enrollment '[mmm-yyyy']]]),"-",AND((Tbl_ResidentData[[#This Row],[Enrollment '[mmm-yyyy']]]&lt;=AJ$4),IF(ISBLANK(Tbl_ResidentData[[#This Row],[Discharge '[mmm-yyyy']]]),TRUE,(Tbl_ResidentData[[#This Row],[Discharge '[mmm-yyyy']]]&gt;=AJ$4)))))</f>
        <v>-</v>
      </c>
      <c r="AK54" s="121" t="str">
        <f ca="1">IF(AK$4&gt;NOW(),"-",IF(ISBLANK(Tbl_ResidentData[[#This Row],[Enrollment '[mmm-yyyy']]]),"-",AND((Tbl_ResidentData[[#This Row],[Enrollment '[mmm-yyyy']]]&lt;=AK$4),IF(ISBLANK(Tbl_ResidentData[[#This Row],[Discharge '[mmm-yyyy']]]),TRUE,(Tbl_ResidentData[[#This Row],[Discharge '[mmm-yyyy']]]&gt;=AK$4)))))</f>
        <v>-</v>
      </c>
      <c r="AL54" s="121" t="str">
        <f ca="1">IF(AL$4&gt;NOW(),"-",IF(ISBLANK(Tbl_ResidentData[[#This Row],[Enrollment '[mmm-yyyy']]]),"-",AND((Tbl_ResidentData[[#This Row],[Enrollment '[mmm-yyyy']]]&lt;=AL$4),IF(ISBLANK(Tbl_ResidentData[[#This Row],[Discharge '[mmm-yyyy']]]),TRUE,(Tbl_ResidentData[[#This Row],[Discharge '[mmm-yyyy']]]&gt;=AL$4)))))</f>
        <v>-</v>
      </c>
      <c r="AM54" s="121" t="str">
        <f ca="1">IF(AM$4&gt;NOW(),"-",IF(ISBLANK(Tbl_ResidentData[[#This Row],[Enrollment '[mmm-yyyy']]]),"-",AND((Tbl_ResidentData[[#This Row],[Enrollment '[mmm-yyyy']]]&lt;=AM$4),IF(ISBLANK(Tbl_ResidentData[[#This Row],[Discharge '[mmm-yyyy']]]),TRUE,(Tbl_ResidentData[[#This Row],[Discharge '[mmm-yyyy']]]&gt;=AM$4)))))</f>
        <v>-</v>
      </c>
      <c r="AN54" s="121" t="str">
        <f ca="1">IF(AN$4&gt;NOW(),"-",IF(ISBLANK(Tbl_ResidentData[[#This Row],[Enrollment '[mmm-yyyy']]]),"-",AND((Tbl_ResidentData[[#This Row],[Enrollment '[mmm-yyyy']]]&lt;=AN$4),IF(ISBLANK(Tbl_ResidentData[[#This Row],[Discharge '[mmm-yyyy']]]),TRUE,(Tbl_ResidentData[[#This Row],[Discharge '[mmm-yyyy']]]&gt;=AN$4)))))</f>
        <v>-</v>
      </c>
      <c r="AO54" s="121" t="str">
        <f ca="1">IF(AO$4&gt;NOW(),"-",IF(ISBLANK(Tbl_ResidentData[[#This Row],[Enrollment '[mmm-yyyy']]]),"-",AND((Tbl_ResidentData[[#This Row],[Enrollment '[mmm-yyyy']]]&lt;=AO$4),IF(ISBLANK(Tbl_ResidentData[[#This Row],[Discharge '[mmm-yyyy']]]),TRUE,(Tbl_ResidentData[[#This Row],[Discharge '[mmm-yyyy']]]&gt;=AO$4)))))</f>
        <v>-</v>
      </c>
      <c r="AP54" s="121" t="str">
        <f ca="1">IF(AP$4&gt;NOW(),"-",IF(ISBLANK(Tbl_ResidentData[[#This Row],[Enrollment '[mmm-yyyy']]]),"-",AND((Tbl_ResidentData[[#This Row],[Enrollment '[mmm-yyyy']]]&lt;=AP$4),IF(ISBLANK(Tbl_ResidentData[[#This Row],[Discharge '[mmm-yyyy']]]),TRUE,(Tbl_ResidentData[[#This Row],[Discharge '[mmm-yyyy']]]&gt;=AP$4)))))</f>
        <v>-</v>
      </c>
      <c r="AQ54" s="121" t="str">
        <f ca="1">IF(AQ$4&gt;NOW(),"-",IF(ISBLANK(Tbl_ResidentData[[#This Row],[Enrollment '[mmm-yyyy']]]),"-",AND((Tbl_ResidentData[[#This Row],[Enrollment '[mmm-yyyy']]]&lt;=AQ$4),IF(ISBLANK(Tbl_ResidentData[[#This Row],[Discharge '[mmm-yyyy']]]),TRUE,(Tbl_ResidentData[[#This Row],[Discharge '[mmm-yyyy']]]&gt;=AQ$4)))))</f>
        <v>-</v>
      </c>
      <c r="AR54" s="122" t="str">
        <f ca="1">IF(AR$4&gt;NOW(),"-",IF(ISBLANK(Tbl_ResidentData[[#This Row],[Enrollment '[mmm-yyyy']]]),"-",AND((Tbl_ResidentData[[#This Row],[Enrollment '[mmm-yyyy']]]&lt;=AR$4),IF(ISBLANK(Tbl_ResidentData[[#This Row],[Discharge '[mmm-yyyy']]]),TRUE,(Tbl_ResidentData[[#This Row],[Discharge '[mmm-yyyy']]]&gt;=AR$4)))))</f>
        <v>-</v>
      </c>
      <c r="AS5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5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5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5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5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5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5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5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5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5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5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5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5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5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5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5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5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5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5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5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5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5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5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5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54" s="120" t="b">
        <f ca="1">AND(Tbl_ResidentData[[#This Row],[PRN Med Started]]&lt;&gt;"",Tbl_ResidentData[[#This Row],[PRN Med Started]]&lt;=NOW(),Tbl_ResidentData[[#This Row],[PRN Med Started]]&lt;=AS$4,OR(Tbl_ResidentData[[#This Row],[PRN Med Discontinued]]&gt;AS$4,ISBLANK(Tbl_ResidentData[[#This Row],[PRN Med Discontinued]])))</f>
        <v>0</v>
      </c>
      <c r="BR54" s="121" t="b">
        <f ca="1">AND(Tbl_ResidentData[[#This Row],[PRN Med Started]]&lt;&gt;"",Tbl_ResidentData[[#This Row],[PRN Med Started]]&lt;=NOW(),Tbl_ResidentData[[#This Row],[PRN Med Started]]&lt;=AT$4,OR(Tbl_ResidentData[[#This Row],[PRN Med Discontinued]]&gt;AT$4,ISBLANK(Tbl_ResidentData[[#This Row],[PRN Med Discontinued]])))</f>
        <v>0</v>
      </c>
      <c r="BS54" s="121" t="b">
        <f ca="1">AND(Tbl_ResidentData[[#This Row],[PRN Med Started]]&lt;&gt;"",Tbl_ResidentData[[#This Row],[PRN Med Started]]&lt;=NOW(),Tbl_ResidentData[[#This Row],[PRN Med Started]]&lt;=AU$4,OR(Tbl_ResidentData[[#This Row],[PRN Med Discontinued]]&gt;AU$4,ISBLANK(Tbl_ResidentData[[#This Row],[PRN Med Discontinued]])))</f>
        <v>0</v>
      </c>
      <c r="BT54" s="121" t="b">
        <f ca="1">AND(Tbl_ResidentData[[#This Row],[PRN Med Started]]&lt;&gt;"",Tbl_ResidentData[[#This Row],[PRN Med Started]]&lt;=NOW(),Tbl_ResidentData[[#This Row],[PRN Med Started]]&lt;=AV$4,OR(Tbl_ResidentData[[#This Row],[PRN Med Discontinued]]&gt;AV$4,ISBLANK(Tbl_ResidentData[[#This Row],[PRN Med Discontinued]])))</f>
        <v>0</v>
      </c>
      <c r="BU54" s="121" t="b">
        <f ca="1">AND(Tbl_ResidentData[[#This Row],[PRN Med Started]]&lt;&gt;"",Tbl_ResidentData[[#This Row],[PRN Med Started]]&lt;=NOW(),Tbl_ResidentData[[#This Row],[PRN Med Started]]&lt;=AW$4,OR(Tbl_ResidentData[[#This Row],[PRN Med Discontinued]]&gt;AW$4,ISBLANK(Tbl_ResidentData[[#This Row],[PRN Med Discontinued]])))</f>
        <v>0</v>
      </c>
      <c r="BV54" s="121" t="b">
        <f ca="1">AND(Tbl_ResidentData[[#This Row],[PRN Med Started]]&lt;&gt;"",Tbl_ResidentData[[#This Row],[PRN Med Started]]&lt;=NOW(),Tbl_ResidentData[[#This Row],[PRN Med Started]]&lt;=AX$4,OR(Tbl_ResidentData[[#This Row],[PRN Med Discontinued]]&gt;AX$4,ISBLANK(Tbl_ResidentData[[#This Row],[PRN Med Discontinued]])))</f>
        <v>0</v>
      </c>
      <c r="BW54" s="121" t="b">
        <f ca="1">AND(Tbl_ResidentData[[#This Row],[PRN Med Started]]&lt;&gt;"",Tbl_ResidentData[[#This Row],[PRN Med Started]]&lt;=NOW(),Tbl_ResidentData[[#This Row],[PRN Med Started]]&lt;=AY$4,OR(Tbl_ResidentData[[#This Row],[PRN Med Discontinued]]&gt;AY$4,ISBLANK(Tbl_ResidentData[[#This Row],[PRN Med Discontinued]])))</f>
        <v>0</v>
      </c>
      <c r="BX54" s="121" t="b">
        <f ca="1">AND(Tbl_ResidentData[[#This Row],[PRN Med Started]]&lt;&gt;"",Tbl_ResidentData[[#This Row],[PRN Med Started]]&lt;=NOW(),Tbl_ResidentData[[#This Row],[PRN Med Started]]&lt;=AZ$4,OR(Tbl_ResidentData[[#This Row],[PRN Med Discontinued]]&gt;AZ$4,ISBLANK(Tbl_ResidentData[[#This Row],[PRN Med Discontinued]])))</f>
        <v>0</v>
      </c>
      <c r="BY54" s="121" t="b">
        <f ca="1">AND(Tbl_ResidentData[[#This Row],[PRN Med Started]]&lt;&gt;"",Tbl_ResidentData[[#This Row],[PRN Med Started]]&lt;=NOW(),Tbl_ResidentData[[#This Row],[PRN Med Started]]&lt;=BA$4,OR(Tbl_ResidentData[[#This Row],[PRN Med Discontinued]]&gt;BA$4,ISBLANK(Tbl_ResidentData[[#This Row],[PRN Med Discontinued]])))</f>
        <v>0</v>
      </c>
      <c r="BZ54" s="121" t="b">
        <f ca="1">AND(Tbl_ResidentData[[#This Row],[PRN Med Started]]&lt;&gt;"",Tbl_ResidentData[[#This Row],[PRN Med Started]]&lt;=NOW(),Tbl_ResidentData[[#This Row],[PRN Med Started]]&lt;=BB$4,OR(Tbl_ResidentData[[#This Row],[PRN Med Discontinued]]&gt;BB$4,ISBLANK(Tbl_ResidentData[[#This Row],[PRN Med Discontinued]])))</f>
        <v>0</v>
      </c>
      <c r="CA54" s="121" t="b">
        <f ca="1">AND(Tbl_ResidentData[[#This Row],[PRN Med Started]]&lt;&gt;"",Tbl_ResidentData[[#This Row],[PRN Med Started]]&lt;=NOW(),Tbl_ResidentData[[#This Row],[PRN Med Started]]&lt;=BC$4,OR(Tbl_ResidentData[[#This Row],[PRN Med Discontinued]]&gt;BC$4,ISBLANK(Tbl_ResidentData[[#This Row],[PRN Med Discontinued]])))</f>
        <v>0</v>
      </c>
      <c r="CB54" s="121" t="b">
        <f ca="1">AND(Tbl_ResidentData[[#This Row],[PRN Med Started]]&lt;&gt;"",Tbl_ResidentData[[#This Row],[PRN Med Started]]&lt;=NOW(),Tbl_ResidentData[[#This Row],[PRN Med Started]]&lt;=BD$4,OR(Tbl_ResidentData[[#This Row],[PRN Med Discontinued]]&gt;BD$4,ISBLANK(Tbl_ResidentData[[#This Row],[PRN Med Discontinued]])))</f>
        <v>0</v>
      </c>
      <c r="CC54" s="121" t="b">
        <f ca="1">AND(Tbl_ResidentData[[#This Row],[PRN Med Started]]&lt;&gt;"",Tbl_ResidentData[[#This Row],[PRN Med Started]]&lt;=NOW(),Tbl_ResidentData[[#This Row],[PRN Med Started]]&lt;=BE$4,OR(Tbl_ResidentData[[#This Row],[PRN Med Discontinued]]&gt;BE$4,ISBLANK(Tbl_ResidentData[[#This Row],[PRN Med Discontinued]])))</f>
        <v>0</v>
      </c>
      <c r="CD54" s="121" t="b">
        <f ca="1">AND(Tbl_ResidentData[[#This Row],[PRN Med Started]]&lt;&gt;"",Tbl_ResidentData[[#This Row],[PRN Med Started]]&lt;=NOW(),Tbl_ResidentData[[#This Row],[PRN Med Started]]&lt;=BF$4,OR(Tbl_ResidentData[[#This Row],[PRN Med Discontinued]]&gt;BF$4,ISBLANK(Tbl_ResidentData[[#This Row],[PRN Med Discontinued]])))</f>
        <v>0</v>
      </c>
      <c r="CE54" s="121" t="b">
        <f ca="1">AND(Tbl_ResidentData[[#This Row],[PRN Med Started]]&lt;&gt;"",Tbl_ResidentData[[#This Row],[PRN Med Started]]&lt;=NOW(),Tbl_ResidentData[[#This Row],[PRN Med Started]]&lt;=BG$4,OR(Tbl_ResidentData[[#This Row],[PRN Med Discontinued]]&gt;BG$4,ISBLANK(Tbl_ResidentData[[#This Row],[PRN Med Discontinued]])))</f>
        <v>0</v>
      </c>
      <c r="CF54" s="121" t="b">
        <f ca="1">AND(Tbl_ResidentData[[#This Row],[PRN Med Started]]&lt;&gt;"",Tbl_ResidentData[[#This Row],[PRN Med Started]]&lt;=NOW(),Tbl_ResidentData[[#This Row],[PRN Med Started]]&lt;=BH$4,OR(Tbl_ResidentData[[#This Row],[PRN Med Discontinued]]&gt;BH$4,ISBLANK(Tbl_ResidentData[[#This Row],[PRN Med Discontinued]])))</f>
        <v>0</v>
      </c>
      <c r="CG54" s="121" t="b">
        <f ca="1">AND(Tbl_ResidentData[[#This Row],[PRN Med Started]]&lt;&gt;"",Tbl_ResidentData[[#This Row],[PRN Med Started]]&lt;=NOW(),Tbl_ResidentData[[#This Row],[PRN Med Started]]&lt;=BI$4,OR(Tbl_ResidentData[[#This Row],[PRN Med Discontinued]]&gt;BI$4,ISBLANK(Tbl_ResidentData[[#This Row],[PRN Med Discontinued]])))</f>
        <v>0</v>
      </c>
      <c r="CH54" s="121" t="b">
        <f ca="1">AND(Tbl_ResidentData[[#This Row],[PRN Med Started]]&lt;&gt;"",Tbl_ResidentData[[#This Row],[PRN Med Started]]&lt;=NOW(),Tbl_ResidentData[[#This Row],[PRN Med Started]]&lt;=BJ$4,OR(Tbl_ResidentData[[#This Row],[PRN Med Discontinued]]&gt;BJ$4,ISBLANK(Tbl_ResidentData[[#This Row],[PRN Med Discontinued]])))</f>
        <v>0</v>
      </c>
      <c r="CI54" s="121" t="b">
        <f ca="1">AND(Tbl_ResidentData[[#This Row],[PRN Med Started]]&lt;&gt;"",Tbl_ResidentData[[#This Row],[PRN Med Started]]&lt;=NOW(),Tbl_ResidentData[[#This Row],[PRN Med Started]]&lt;=BK$4,OR(Tbl_ResidentData[[#This Row],[PRN Med Discontinued]]&gt;BK$4,ISBLANK(Tbl_ResidentData[[#This Row],[PRN Med Discontinued]])))</f>
        <v>0</v>
      </c>
      <c r="CJ54" s="121" t="b">
        <f ca="1">AND(Tbl_ResidentData[[#This Row],[PRN Med Started]]&lt;&gt;"",Tbl_ResidentData[[#This Row],[PRN Med Started]]&lt;=NOW(),Tbl_ResidentData[[#This Row],[PRN Med Started]]&lt;=BL$4,OR(Tbl_ResidentData[[#This Row],[PRN Med Discontinued]]&gt;BL$4,ISBLANK(Tbl_ResidentData[[#This Row],[PRN Med Discontinued]])))</f>
        <v>0</v>
      </c>
      <c r="CK54" s="121" t="b">
        <f ca="1">AND(Tbl_ResidentData[[#This Row],[PRN Med Started]]&lt;&gt;"",Tbl_ResidentData[[#This Row],[PRN Med Started]]&lt;=NOW(),Tbl_ResidentData[[#This Row],[PRN Med Started]]&lt;=BM$4,OR(Tbl_ResidentData[[#This Row],[PRN Med Discontinued]]&gt;BM$4,ISBLANK(Tbl_ResidentData[[#This Row],[PRN Med Discontinued]])))</f>
        <v>0</v>
      </c>
      <c r="CL54" s="121" t="b">
        <f ca="1">AND(Tbl_ResidentData[[#This Row],[PRN Med Started]]&lt;&gt;"",Tbl_ResidentData[[#This Row],[PRN Med Started]]&lt;=NOW(),Tbl_ResidentData[[#This Row],[PRN Med Started]]&lt;=BN$4,OR(Tbl_ResidentData[[#This Row],[PRN Med Discontinued]]&gt;BN$4,ISBLANK(Tbl_ResidentData[[#This Row],[PRN Med Discontinued]])))</f>
        <v>0</v>
      </c>
      <c r="CM54" s="121" t="b">
        <f ca="1">AND(Tbl_ResidentData[[#This Row],[PRN Med Started]]&lt;&gt;"",Tbl_ResidentData[[#This Row],[PRN Med Started]]&lt;=NOW(),Tbl_ResidentData[[#This Row],[PRN Med Started]]&lt;=BO$4,OR(Tbl_ResidentData[[#This Row],[PRN Med Discontinued]]&gt;BO$4,ISBLANK(Tbl_ResidentData[[#This Row],[PRN Med Discontinued]])))</f>
        <v>0</v>
      </c>
      <c r="CN54" s="122" t="b">
        <f ca="1">AND(Tbl_ResidentData[[#This Row],[PRN Med Started]]&lt;&gt;"",Tbl_ResidentData[[#This Row],[PRN Med Started]]&lt;=NOW(),Tbl_ResidentData[[#This Row],[PRN Med Started]]&lt;=BP$4,OR(Tbl_ResidentData[[#This Row],[PRN Med Discontinued]]&gt;BP$4,ISBLANK(Tbl_ResidentData[[#This Row],[PRN Med Discontinued]])))</f>
        <v>0</v>
      </c>
      <c r="CO54" s="120">
        <f ca="1">IF(OR(Tbl_ResidentData[[#This Row],[S1]]=TRUE,Tbl_ResidentData[[#This Row],[P1]]=TRUE),1,0)</f>
        <v>0</v>
      </c>
      <c r="CP54" s="121">
        <f ca="1">IF(OR(Tbl_ResidentData[[#This Row],[S2]]=TRUE,Tbl_ResidentData[[#This Row],[P2]]=TRUE),1,0)</f>
        <v>0</v>
      </c>
      <c r="CQ54" s="121">
        <f ca="1">IF(OR(Tbl_ResidentData[[#This Row],[S3]]=TRUE,Tbl_ResidentData[[#This Row],[P3]]=TRUE),1,0)</f>
        <v>0</v>
      </c>
      <c r="CR54" s="120">
        <f ca="1">IF(OR(Tbl_ResidentData[[#This Row],[S4]]=TRUE,Tbl_ResidentData[[#This Row],[P4]]=TRUE),1,0)</f>
        <v>0</v>
      </c>
      <c r="CS54" s="120">
        <f ca="1">IF(OR(Tbl_ResidentData[[#This Row],[S5]]=TRUE,Tbl_ResidentData[[#This Row],[P5]]=TRUE),1,0)</f>
        <v>0</v>
      </c>
      <c r="CT54" s="120">
        <f ca="1">IF(OR(Tbl_ResidentData[[#This Row],[S6]]=TRUE,Tbl_ResidentData[[#This Row],[P6]]=TRUE),1,0)</f>
        <v>0</v>
      </c>
      <c r="CU54" s="120">
        <f ca="1">IF(OR(Tbl_ResidentData[[#This Row],[S7]]=TRUE,Tbl_ResidentData[[#This Row],[P7]]=TRUE),1,0)</f>
        <v>0</v>
      </c>
      <c r="CV54" s="120">
        <f ca="1">IF(OR(Tbl_ResidentData[[#This Row],[S8]]=TRUE,Tbl_ResidentData[[#This Row],[P8]]=TRUE),1,0)</f>
        <v>0</v>
      </c>
      <c r="CW54" s="120">
        <f ca="1">IF(OR(Tbl_ResidentData[[#This Row],[S9]]=TRUE,Tbl_ResidentData[[#This Row],[P9]]=TRUE),1,0)</f>
        <v>0</v>
      </c>
      <c r="CX54" s="120">
        <f ca="1">IF(OR(Tbl_ResidentData[[#This Row],[S10]]=TRUE,Tbl_ResidentData[[#This Row],[P10]]=TRUE),1,0)</f>
        <v>0</v>
      </c>
      <c r="CY54" s="120">
        <f ca="1">IF(OR(Tbl_ResidentData[[#This Row],[S11]]=TRUE,Tbl_ResidentData[[#This Row],[P11]]=TRUE),1,0)</f>
        <v>0</v>
      </c>
      <c r="CZ54" s="120">
        <f ca="1">IF(OR(Tbl_ResidentData[[#This Row],[S12]]=TRUE,Tbl_ResidentData[[#This Row],[P12]]=TRUE),1,0)</f>
        <v>0</v>
      </c>
      <c r="DA54" s="120">
        <f ca="1">IF(OR(Tbl_ResidentData[[#This Row],[S13]]=TRUE,Tbl_ResidentData[[#This Row],[P13]]=TRUE),1,0)</f>
        <v>0</v>
      </c>
      <c r="DB54" s="120">
        <f ca="1">IF(OR(Tbl_ResidentData[[#This Row],[S14]]=TRUE,Tbl_ResidentData[[#This Row],[P14]]=TRUE),1,0)</f>
        <v>0</v>
      </c>
      <c r="DC54" s="120">
        <f ca="1">IF(OR(Tbl_ResidentData[[#This Row],[S15]]=TRUE,Tbl_ResidentData[[#This Row],[P15]]=TRUE),1,0)</f>
        <v>0</v>
      </c>
      <c r="DD54" s="120">
        <f ca="1">IF(OR(Tbl_ResidentData[[#This Row],[S16]]=TRUE,Tbl_ResidentData[[#This Row],[P16]]=TRUE),1,0)</f>
        <v>0</v>
      </c>
      <c r="DE54" s="120">
        <f ca="1">IF(OR(Tbl_ResidentData[[#This Row],[S17]]=TRUE,Tbl_ResidentData[[#This Row],[P17]]=TRUE),1,0)</f>
        <v>0</v>
      </c>
      <c r="DF54" s="120">
        <f ca="1">IF(OR(Tbl_ResidentData[[#This Row],[S18]]=TRUE,Tbl_ResidentData[[#This Row],[P18]]=TRUE),1,0)</f>
        <v>0</v>
      </c>
      <c r="DG54" s="120">
        <f ca="1">IF(OR(Tbl_ResidentData[[#This Row],[S19]]=TRUE,Tbl_ResidentData[[#This Row],[P19]]=TRUE),1,0)</f>
        <v>0</v>
      </c>
      <c r="DH54" s="120">
        <f ca="1">IF(OR(Tbl_ResidentData[[#This Row],[S20]]=TRUE,Tbl_ResidentData[[#This Row],[P20]]=TRUE),1,0)</f>
        <v>0</v>
      </c>
      <c r="DI54" s="120">
        <f ca="1">IF(OR(Tbl_ResidentData[[#This Row],[S21]]=TRUE,Tbl_ResidentData[[#This Row],[P21]]=TRUE),1,0)</f>
        <v>0</v>
      </c>
      <c r="DJ54" s="120">
        <f ca="1">IF(OR(Tbl_ResidentData[[#This Row],[S22]]=TRUE,Tbl_ResidentData[[#This Row],[P22]]=TRUE),1,0)</f>
        <v>0</v>
      </c>
      <c r="DK54" s="120">
        <f ca="1">IF(OR(Tbl_ResidentData[[#This Row],[S23]]=TRUE,Tbl_ResidentData[[#This Row],[P23]]=TRUE),1,0)</f>
        <v>0</v>
      </c>
      <c r="DL54" s="120">
        <f ca="1">IF(OR(Tbl_ResidentData[[#This Row],[S24]]=TRUE,Tbl_ResidentData[[#This Row],[P24]]=TRUE),1,0)</f>
        <v>0</v>
      </c>
      <c r="DM54" s="123" t="str">
        <f ca="1">IFERROR(INDEX($CO$4:$DL$4,MATCH(TRUE,INDEX((Tbl_ResidentData[[#This Row],[Over1]:[Over24]]&lt;&gt;0),0),0)),"")</f>
        <v/>
      </c>
      <c r="DN54" s="133" t="str">
        <f>IFERROR(INDEX(Tbl_PDSAData[Last DRT],MATCH(Tbl_ResidentData[Resident Name '[last, first']],Tbl_PDSAData[Resident Name (last, first)],0)),"")</f>
        <v/>
      </c>
      <c r="DO54" s="222" t="str">
        <f>IFERROR(INDEX(Tbl_PDSAData[Last MR],MATCH(Tbl_ResidentData[Resident Name '[last, first']],Tbl_PDSAData[Resident Name (last, first)],0)),"")</f>
        <v/>
      </c>
    </row>
    <row r="55" spans="1:119" x14ac:dyDescent="0.25">
      <c r="A55" s="179"/>
      <c r="B55" s="180"/>
      <c r="C55" s="180"/>
      <c r="D55" s="218"/>
      <c r="E55" s="179"/>
      <c r="F55" s="181"/>
      <c r="G55" s="181"/>
      <c r="H55" s="375"/>
      <c r="I55" s="185"/>
      <c r="J55" s="387"/>
      <c r="K55" s="178"/>
      <c r="L55" s="388"/>
      <c r="M55" s="185"/>
      <c r="N55" s="386"/>
      <c r="O55" s="178"/>
      <c r="P55" s="388"/>
      <c r="Q55" s="395"/>
      <c r="R55" s="396"/>
      <c r="S55" s="131" t="str">
        <f>IF(ISBLANK(Tbl_ResidentData[[#This Row],[Discharge '[mmm-yyyy']]]),IF(ISBLANK(Tbl_ResidentData[[#This Row],[Enrollment '[mmm-yyyy']]]),"","In Care Home"),"Discharged")</f>
        <v/>
      </c>
      <c r="T55" s="119" t="str">
        <f>IF(ISBLANK(Tbl_ResidentData[[#This Row],[Diagnosis (RAI)]]),IF(ISBLANK(Tbl_ResidentData[[#This Row],[Resident Name '[last, first']]]),"",0),IF(Tbl_ResidentData[[#This Row],[Diagnosis (RAI)]]="Other (see clinical notes)",0,1))</f>
        <v/>
      </c>
      <c r="U55" s="120" t="str">
        <f ca="1">IF(U$4&gt;NOW(),"-",IF(ISBLANK(Tbl_ResidentData[[#This Row],[Enrollment '[mmm-yyyy']]]),"-",AND((Tbl_ResidentData[[#This Row],[Enrollment '[mmm-yyyy']]]&lt;=U$4),IF(ISBLANK(Tbl_ResidentData[[#This Row],[Discharge '[mmm-yyyy']]]),TRUE,(Tbl_ResidentData[[#This Row],[Discharge '[mmm-yyyy']]]&gt;=U$4)))))</f>
        <v>-</v>
      </c>
      <c r="V55" s="121" t="str">
        <f ca="1">IF(V$4&gt;NOW(),"-",IF(ISBLANK(Tbl_ResidentData[[#This Row],[Enrollment '[mmm-yyyy']]]),"-",AND((Tbl_ResidentData[[#This Row],[Enrollment '[mmm-yyyy']]]&lt;=V$4),IF(ISBLANK(Tbl_ResidentData[[#This Row],[Discharge '[mmm-yyyy']]]),TRUE,(Tbl_ResidentData[[#This Row],[Discharge '[mmm-yyyy']]]&gt;=V$4)))))</f>
        <v>-</v>
      </c>
      <c r="W55" s="121" t="str">
        <f ca="1">IF(W$4&gt;NOW(),"-",IF(ISBLANK(Tbl_ResidentData[[#This Row],[Enrollment '[mmm-yyyy']]]),"-",AND((Tbl_ResidentData[[#This Row],[Enrollment '[mmm-yyyy']]]&lt;=W$4),IF(ISBLANK(Tbl_ResidentData[[#This Row],[Discharge '[mmm-yyyy']]]),TRUE,(Tbl_ResidentData[[#This Row],[Discharge '[mmm-yyyy']]]&gt;=W$4)))))</f>
        <v>-</v>
      </c>
      <c r="X55" s="121" t="str">
        <f ca="1">IF(X$4&gt;NOW(),"-",IF(ISBLANK(Tbl_ResidentData[[#This Row],[Enrollment '[mmm-yyyy']]]),"-",AND((Tbl_ResidentData[[#This Row],[Enrollment '[mmm-yyyy']]]&lt;=X$4),IF(ISBLANK(Tbl_ResidentData[[#This Row],[Discharge '[mmm-yyyy']]]),TRUE,(Tbl_ResidentData[[#This Row],[Discharge '[mmm-yyyy']]]&gt;=X$4)))))</f>
        <v>-</v>
      </c>
      <c r="Y55" s="121" t="str">
        <f ca="1">IF(Y$4&gt;NOW(),"-",IF(ISBLANK(Tbl_ResidentData[[#This Row],[Enrollment '[mmm-yyyy']]]),"-",AND((Tbl_ResidentData[[#This Row],[Enrollment '[mmm-yyyy']]]&lt;=Y$4),IF(ISBLANK(Tbl_ResidentData[[#This Row],[Discharge '[mmm-yyyy']]]),TRUE,(Tbl_ResidentData[[#This Row],[Discharge '[mmm-yyyy']]]&gt;=Y$4)))))</f>
        <v>-</v>
      </c>
      <c r="Z55" s="121" t="str">
        <f ca="1">IF(Z$4&gt;NOW(),"-",IF(ISBLANK(Tbl_ResidentData[[#This Row],[Enrollment '[mmm-yyyy']]]),"-",AND((Tbl_ResidentData[[#This Row],[Enrollment '[mmm-yyyy']]]&lt;=Z$4),IF(ISBLANK(Tbl_ResidentData[[#This Row],[Discharge '[mmm-yyyy']]]),TRUE,(Tbl_ResidentData[[#This Row],[Discharge '[mmm-yyyy']]]&gt;=Z$4)))))</f>
        <v>-</v>
      </c>
      <c r="AA55" s="121" t="str">
        <f ca="1">IF(AA$4&gt;NOW(),"-",IF(ISBLANK(Tbl_ResidentData[[#This Row],[Enrollment '[mmm-yyyy']]]),"-",AND((Tbl_ResidentData[[#This Row],[Enrollment '[mmm-yyyy']]]&lt;=AA$4),IF(ISBLANK(Tbl_ResidentData[[#This Row],[Discharge '[mmm-yyyy']]]),TRUE,(Tbl_ResidentData[[#This Row],[Discharge '[mmm-yyyy']]]&gt;=AA$4)))))</f>
        <v>-</v>
      </c>
      <c r="AB55" s="121" t="str">
        <f ca="1">IF(AB$4&gt;NOW(),"-",IF(ISBLANK(Tbl_ResidentData[[#This Row],[Enrollment '[mmm-yyyy']]]),"-",AND((Tbl_ResidentData[[#This Row],[Enrollment '[mmm-yyyy']]]&lt;=AB$4),IF(ISBLANK(Tbl_ResidentData[[#This Row],[Discharge '[mmm-yyyy']]]),TRUE,(Tbl_ResidentData[[#This Row],[Discharge '[mmm-yyyy']]]&gt;=AB$4)))))</f>
        <v>-</v>
      </c>
      <c r="AC55" s="121" t="str">
        <f ca="1">IF(AC$4&gt;NOW(),"-",IF(ISBLANK(Tbl_ResidentData[[#This Row],[Enrollment '[mmm-yyyy']]]),"-",AND((Tbl_ResidentData[[#This Row],[Enrollment '[mmm-yyyy']]]&lt;=AC$4),IF(ISBLANK(Tbl_ResidentData[[#This Row],[Discharge '[mmm-yyyy']]]),TRUE,(Tbl_ResidentData[[#This Row],[Discharge '[mmm-yyyy']]]&gt;=AC$4)))))</f>
        <v>-</v>
      </c>
      <c r="AD55" s="121" t="str">
        <f ca="1">IF(AD$4&gt;NOW(),"-",IF(ISBLANK(Tbl_ResidentData[[#This Row],[Enrollment '[mmm-yyyy']]]),"-",AND((Tbl_ResidentData[[#This Row],[Enrollment '[mmm-yyyy']]]&lt;=AD$4),IF(ISBLANK(Tbl_ResidentData[[#This Row],[Discharge '[mmm-yyyy']]]),TRUE,(Tbl_ResidentData[[#This Row],[Discharge '[mmm-yyyy']]]&gt;=AD$4)))))</f>
        <v>-</v>
      </c>
      <c r="AE55" s="121" t="str">
        <f ca="1">IF(AE$4&gt;NOW(),"-",IF(ISBLANK(Tbl_ResidentData[[#This Row],[Enrollment '[mmm-yyyy']]]),"-",AND((Tbl_ResidentData[[#This Row],[Enrollment '[mmm-yyyy']]]&lt;=AE$4),IF(ISBLANK(Tbl_ResidentData[[#This Row],[Discharge '[mmm-yyyy']]]),TRUE,(Tbl_ResidentData[[#This Row],[Discharge '[mmm-yyyy']]]&gt;=AE$4)))))</f>
        <v>-</v>
      </c>
      <c r="AF55" s="121" t="str">
        <f ca="1">IF(AF$4&gt;NOW(),"-",IF(ISBLANK(Tbl_ResidentData[[#This Row],[Enrollment '[mmm-yyyy']]]),"-",AND((Tbl_ResidentData[[#This Row],[Enrollment '[mmm-yyyy']]]&lt;=AF$4),IF(ISBLANK(Tbl_ResidentData[[#This Row],[Discharge '[mmm-yyyy']]]),TRUE,(Tbl_ResidentData[[#This Row],[Discharge '[mmm-yyyy']]]&gt;=AF$4)))))</f>
        <v>-</v>
      </c>
      <c r="AG55" s="121" t="str">
        <f ca="1">IF(AG$4&gt;NOW(),"-",IF(ISBLANK(Tbl_ResidentData[[#This Row],[Enrollment '[mmm-yyyy']]]),"-",AND((Tbl_ResidentData[[#This Row],[Enrollment '[mmm-yyyy']]]&lt;=AG$4),IF(ISBLANK(Tbl_ResidentData[[#This Row],[Discharge '[mmm-yyyy']]]),TRUE,(Tbl_ResidentData[[#This Row],[Discharge '[mmm-yyyy']]]&gt;=AG$4)))))</f>
        <v>-</v>
      </c>
      <c r="AH55" s="121" t="str">
        <f ca="1">IF(AH$4&gt;NOW(),"-",IF(ISBLANK(Tbl_ResidentData[[#This Row],[Enrollment '[mmm-yyyy']]]),"-",AND((Tbl_ResidentData[[#This Row],[Enrollment '[mmm-yyyy']]]&lt;=AH$4),IF(ISBLANK(Tbl_ResidentData[[#This Row],[Discharge '[mmm-yyyy']]]),TRUE,(Tbl_ResidentData[[#This Row],[Discharge '[mmm-yyyy']]]&gt;=AH$4)))))</f>
        <v>-</v>
      </c>
      <c r="AI55" s="121" t="str">
        <f ca="1">IF(AI$4&gt;NOW(),"-",IF(ISBLANK(Tbl_ResidentData[[#This Row],[Enrollment '[mmm-yyyy']]]),"-",AND((Tbl_ResidentData[[#This Row],[Enrollment '[mmm-yyyy']]]&lt;=AI$4),IF(ISBLANK(Tbl_ResidentData[[#This Row],[Discharge '[mmm-yyyy']]]),TRUE,(Tbl_ResidentData[[#This Row],[Discharge '[mmm-yyyy']]]&gt;=AI$4)))))</f>
        <v>-</v>
      </c>
      <c r="AJ55" s="121" t="str">
        <f ca="1">IF(AJ$4&gt;NOW(),"-",IF(ISBLANK(Tbl_ResidentData[[#This Row],[Enrollment '[mmm-yyyy']]]),"-",AND((Tbl_ResidentData[[#This Row],[Enrollment '[mmm-yyyy']]]&lt;=AJ$4),IF(ISBLANK(Tbl_ResidentData[[#This Row],[Discharge '[mmm-yyyy']]]),TRUE,(Tbl_ResidentData[[#This Row],[Discharge '[mmm-yyyy']]]&gt;=AJ$4)))))</f>
        <v>-</v>
      </c>
      <c r="AK55" s="121" t="str">
        <f ca="1">IF(AK$4&gt;NOW(),"-",IF(ISBLANK(Tbl_ResidentData[[#This Row],[Enrollment '[mmm-yyyy']]]),"-",AND((Tbl_ResidentData[[#This Row],[Enrollment '[mmm-yyyy']]]&lt;=AK$4),IF(ISBLANK(Tbl_ResidentData[[#This Row],[Discharge '[mmm-yyyy']]]),TRUE,(Tbl_ResidentData[[#This Row],[Discharge '[mmm-yyyy']]]&gt;=AK$4)))))</f>
        <v>-</v>
      </c>
      <c r="AL55" s="121" t="str">
        <f ca="1">IF(AL$4&gt;NOW(),"-",IF(ISBLANK(Tbl_ResidentData[[#This Row],[Enrollment '[mmm-yyyy']]]),"-",AND((Tbl_ResidentData[[#This Row],[Enrollment '[mmm-yyyy']]]&lt;=AL$4),IF(ISBLANK(Tbl_ResidentData[[#This Row],[Discharge '[mmm-yyyy']]]),TRUE,(Tbl_ResidentData[[#This Row],[Discharge '[mmm-yyyy']]]&gt;=AL$4)))))</f>
        <v>-</v>
      </c>
      <c r="AM55" s="121" t="str">
        <f ca="1">IF(AM$4&gt;NOW(),"-",IF(ISBLANK(Tbl_ResidentData[[#This Row],[Enrollment '[mmm-yyyy']]]),"-",AND((Tbl_ResidentData[[#This Row],[Enrollment '[mmm-yyyy']]]&lt;=AM$4),IF(ISBLANK(Tbl_ResidentData[[#This Row],[Discharge '[mmm-yyyy']]]),TRUE,(Tbl_ResidentData[[#This Row],[Discharge '[mmm-yyyy']]]&gt;=AM$4)))))</f>
        <v>-</v>
      </c>
      <c r="AN55" s="121" t="str">
        <f ca="1">IF(AN$4&gt;NOW(),"-",IF(ISBLANK(Tbl_ResidentData[[#This Row],[Enrollment '[mmm-yyyy']]]),"-",AND((Tbl_ResidentData[[#This Row],[Enrollment '[mmm-yyyy']]]&lt;=AN$4),IF(ISBLANK(Tbl_ResidentData[[#This Row],[Discharge '[mmm-yyyy']]]),TRUE,(Tbl_ResidentData[[#This Row],[Discharge '[mmm-yyyy']]]&gt;=AN$4)))))</f>
        <v>-</v>
      </c>
      <c r="AO55" s="121" t="str">
        <f ca="1">IF(AO$4&gt;NOW(),"-",IF(ISBLANK(Tbl_ResidentData[[#This Row],[Enrollment '[mmm-yyyy']]]),"-",AND((Tbl_ResidentData[[#This Row],[Enrollment '[mmm-yyyy']]]&lt;=AO$4),IF(ISBLANK(Tbl_ResidentData[[#This Row],[Discharge '[mmm-yyyy']]]),TRUE,(Tbl_ResidentData[[#This Row],[Discharge '[mmm-yyyy']]]&gt;=AO$4)))))</f>
        <v>-</v>
      </c>
      <c r="AP55" s="121" t="str">
        <f ca="1">IF(AP$4&gt;NOW(),"-",IF(ISBLANK(Tbl_ResidentData[[#This Row],[Enrollment '[mmm-yyyy']]]),"-",AND((Tbl_ResidentData[[#This Row],[Enrollment '[mmm-yyyy']]]&lt;=AP$4),IF(ISBLANK(Tbl_ResidentData[[#This Row],[Discharge '[mmm-yyyy']]]),TRUE,(Tbl_ResidentData[[#This Row],[Discharge '[mmm-yyyy']]]&gt;=AP$4)))))</f>
        <v>-</v>
      </c>
      <c r="AQ55" s="121" t="str">
        <f ca="1">IF(AQ$4&gt;NOW(),"-",IF(ISBLANK(Tbl_ResidentData[[#This Row],[Enrollment '[mmm-yyyy']]]),"-",AND((Tbl_ResidentData[[#This Row],[Enrollment '[mmm-yyyy']]]&lt;=AQ$4),IF(ISBLANK(Tbl_ResidentData[[#This Row],[Discharge '[mmm-yyyy']]]),TRUE,(Tbl_ResidentData[[#This Row],[Discharge '[mmm-yyyy']]]&gt;=AQ$4)))))</f>
        <v>-</v>
      </c>
      <c r="AR55" s="122" t="str">
        <f ca="1">IF(AR$4&gt;NOW(),"-",IF(ISBLANK(Tbl_ResidentData[[#This Row],[Enrollment '[mmm-yyyy']]]),"-",AND((Tbl_ResidentData[[#This Row],[Enrollment '[mmm-yyyy']]]&lt;=AR$4),IF(ISBLANK(Tbl_ResidentData[[#This Row],[Discharge '[mmm-yyyy']]]),TRUE,(Tbl_ResidentData[[#This Row],[Discharge '[mmm-yyyy']]]&gt;=AR$4)))))</f>
        <v>-</v>
      </c>
      <c r="AS5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5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5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5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5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5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5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5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5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5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5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5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5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5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5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5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5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5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5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5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5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5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5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5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55" s="120" t="b">
        <f ca="1">AND(Tbl_ResidentData[[#This Row],[PRN Med Started]]&lt;&gt;"",Tbl_ResidentData[[#This Row],[PRN Med Started]]&lt;=NOW(),Tbl_ResidentData[[#This Row],[PRN Med Started]]&lt;=AS$4,OR(Tbl_ResidentData[[#This Row],[PRN Med Discontinued]]&gt;AS$4,ISBLANK(Tbl_ResidentData[[#This Row],[PRN Med Discontinued]])))</f>
        <v>0</v>
      </c>
      <c r="BR55" s="121" t="b">
        <f ca="1">AND(Tbl_ResidentData[[#This Row],[PRN Med Started]]&lt;&gt;"",Tbl_ResidentData[[#This Row],[PRN Med Started]]&lt;=NOW(),Tbl_ResidentData[[#This Row],[PRN Med Started]]&lt;=AT$4,OR(Tbl_ResidentData[[#This Row],[PRN Med Discontinued]]&gt;AT$4,ISBLANK(Tbl_ResidentData[[#This Row],[PRN Med Discontinued]])))</f>
        <v>0</v>
      </c>
      <c r="BS55" s="121" t="b">
        <f ca="1">AND(Tbl_ResidentData[[#This Row],[PRN Med Started]]&lt;&gt;"",Tbl_ResidentData[[#This Row],[PRN Med Started]]&lt;=NOW(),Tbl_ResidentData[[#This Row],[PRN Med Started]]&lt;=AU$4,OR(Tbl_ResidentData[[#This Row],[PRN Med Discontinued]]&gt;AU$4,ISBLANK(Tbl_ResidentData[[#This Row],[PRN Med Discontinued]])))</f>
        <v>0</v>
      </c>
      <c r="BT55" s="121" t="b">
        <f ca="1">AND(Tbl_ResidentData[[#This Row],[PRN Med Started]]&lt;&gt;"",Tbl_ResidentData[[#This Row],[PRN Med Started]]&lt;=NOW(),Tbl_ResidentData[[#This Row],[PRN Med Started]]&lt;=AV$4,OR(Tbl_ResidentData[[#This Row],[PRN Med Discontinued]]&gt;AV$4,ISBLANK(Tbl_ResidentData[[#This Row],[PRN Med Discontinued]])))</f>
        <v>0</v>
      </c>
      <c r="BU55" s="121" t="b">
        <f ca="1">AND(Tbl_ResidentData[[#This Row],[PRN Med Started]]&lt;&gt;"",Tbl_ResidentData[[#This Row],[PRN Med Started]]&lt;=NOW(),Tbl_ResidentData[[#This Row],[PRN Med Started]]&lt;=AW$4,OR(Tbl_ResidentData[[#This Row],[PRN Med Discontinued]]&gt;AW$4,ISBLANK(Tbl_ResidentData[[#This Row],[PRN Med Discontinued]])))</f>
        <v>0</v>
      </c>
      <c r="BV55" s="121" t="b">
        <f ca="1">AND(Tbl_ResidentData[[#This Row],[PRN Med Started]]&lt;&gt;"",Tbl_ResidentData[[#This Row],[PRN Med Started]]&lt;=NOW(),Tbl_ResidentData[[#This Row],[PRN Med Started]]&lt;=AX$4,OR(Tbl_ResidentData[[#This Row],[PRN Med Discontinued]]&gt;AX$4,ISBLANK(Tbl_ResidentData[[#This Row],[PRN Med Discontinued]])))</f>
        <v>0</v>
      </c>
      <c r="BW55" s="121" t="b">
        <f ca="1">AND(Tbl_ResidentData[[#This Row],[PRN Med Started]]&lt;&gt;"",Tbl_ResidentData[[#This Row],[PRN Med Started]]&lt;=NOW(),Tbl_ResidentData[[#This Row],[PRN Med Started]]&lt;=AY$4,OR(Tbl_ResidentData[[#This Row],[PRN Med Discontinued]]&gt;AY$4,ISBLANK(Tbl_ResidentData[[#This Row],[PRN Med Discontinued]])))</f>
        <v>0</v>
      </c>
      <c r="BX55" s="121" t="b">
        <f ca="1">AND(Tbl_ResidentData[[#This Row],[PRN Med Started]]&lt;&gt;"",Tbl_ResidentData[[#This Row],[PRN Med Started]]&lt;=NOW(),Tbl_ResidentData[[#This Row],[PRN Med Started]]&lt;=AZ$4,OR(Tbl_ResidentData[[#This Row],[PRN Med Discontinued]]&gt;AZ$4,ISBLANK(Tbl_ResidentData[[#This Row],[PRN Med Discontinued]])))</f>
        <v>0</v>
      </c>
      <c r="BY55" s="121" t="b">
        <f ca="1">AND(Tbl_ResidentData[[#This Row],[PRN Med Started]]&lt;&gt;"",Tbl_ResidentData[[#This Row],[PRN Med Started]]&lt;=NOW(),Tbl_ResidentData[[#This Row],[PRN Med Started]]&lt;=BA$4,OR(Tbl_ResidentData[[#This Row],[PRN Med Discontinued]]&gt;BA$4,ISBLANK(Tbl_ResidentData[[#This Row],[PRN Med Discontinued]])))</f>
        <v>0</v>
      </c>
      <c r="BZ55" s="121" t="b">
        <f ca="1">AND(Tbl_ResidentData[[#This Row],[PRN Med Started]]&lt;&gt;"",Tbl_ResidentData[[#This Row],[PRN Med Started]]&lt;=NOW(),Tbl_ResidentData[[#This Row],[PRN Med Started]]&lt;=BB$4,OR(Tbl_ResidentData[[#This Row],[PRN Med Discontinued]]&gt;BB$4,ISBLANK(Tbl_ResidentData[[#This Row],[PRN Med Discontinued]])))</f>
        <v>0</v>
      </c>
      <c r="CA55" s="121" t="b">
        <f ca="1">AND(Tbl_ResidentData[[#This Row],[PRN Med Started]]&lt;&gt;"",Tbl_ResidentData[[#This Row],[PRN Med Started]]&lt;=NOW(),Tbl_ResidentData[[#This Row],[PRN Med Started]]&lt;=BC$4,OR(Tbl_ResidentData[[#This Row],[PRN Med Discontinued]]&gt;BC$4,ISBLANK(Tbl_ResidentData[[#This Row],[PRN Med Discontinued]])))</f>
        <v>0</v>
      </c>
      <c r="CB55" s="121" t="b">
        <f ca="1">AND(Tbl_ResidentData[[#This Row],[PRN Med Started]]&lt;&gt;"",Tbl_ResidentData[[#This Row],[PRN Med Started]]&lt;=NOW(),Tbl_ResidentData[[#This Row],[PRN Med Started]]&lt;=BD$4,OR(Tbl_ResidentData[[#This Row],[PRN Med Discontinued]]&gt;BD$4,ISBLANK(Tbl_ResidentData[[#This Row],[PRN Med Discontinued]])))</f>
        <v>0</v>
      </c>
      <c r="CC55" s="121" t="b">
        <f ca="1">AND(Tbl_ResidentData[[#This Row],[PRN Med Started]]&lt;&gt;"",Tbl_ResidentData[[#This Row],[PRN Med Started]]&lt;=NOW(),Tbl_ResidentData[[#This Row],[PRN Med Started]]&lt;=BE$4,OR(Tbl_ResidentData[[#This Row],[PRN Med Discontinued]]&gt;BE$4,ISBLANK(Tbl_ResidentData[[#This Row],[PRN Med Discontinued]])))</f>
        <v>0</v>
      </c>
      <c r="CD55" s="121" t="b">
        <f ca="1">AND(Tbl_ResidentData[[#This Row],[PRN Med Started]]&lt;&gt;"",Tbl_ResidentData[[#This Row],[PRN Med Started]]&lt;=NOW(),Tbl_ResidentData[[#This Row],[PRN Med Started]]&lt;=BF$4,OR(Tbl_ResidentData[[#This Row],[PRN Med Discontinued]]&gt;BF$4,ISBLANK(Tbl_ResidentData[[#This Row],[PRN Med Discontinued]])))</f>
        <v>0</v>
      </c>
      <c r="CE55" s="121" t="b">
        <f ca="1">AND(Tbl_ResidentData[[#This Row],[PRN Med Started]]&lt;&gt;"",Tbl_ResidentData[[#This Row],[PRN Med Started]]&lt;=NOW(),Tbl_ResidentData[[#This Row],[PRN Med Started]]&lt;=BG$4,OR(Tbl_ResidentData[[#This Row],[PRN Med Discontinued]]&gt;BG$4,ISBLANK(Tbl_ResidentData[[#This Row],[PRN Med Discontinued]])))</f>
        <v>0</v>
      </c>
      <c r="CF55" s="121" t="b">
        <f ca="1">AND(Tbl_ResidentData[[#This Row],[PRN Med Started]]&lt;&gt;"",Tbl_ResidentData[[#This Row],[PRN Med Started]]&lt;=NOW(),Tbl_ResidentData[[#This Row],[PRN Med Started]]&lt;=BH$4,OR(Tbl_ResidentData[[#This Row],[PRN Med Discontinued]]&gt;BH$4,ISBLANK(Tbl_ResidentData[[#This Row],[PRN Med Discontinued]])))</f>
        <v>0</v>
      </c>
      <c r="CG55" s="121" t="b">
        <f ca="1">AND(Tbl_ResidentData[[#This Row],[PRN Med Started]]&lt;&gt;"",Tbl_ResidentData[[#This Row],[PRN Med Started]]&lt;=NOW(),Tbl_ResidentData[[#This Row],[PRN Med Started]]&lt;=BI$4,OR(Tbl_ResidentData[[#This Row],[PRN Med Discontinued]]&gt;BI$4,ISBLANK(Tbl_ResidentData[[#This Row],[PRN Med Discontinued]])))</f>
        <v>0</v>
      </c>
      <c r="CH55" s="121" t="b">
        <f ca="1">AND(Tbl_ResidentData[[#This Row],[PRN Med Started]]&lt;&gt;"",Tbl_ResidentData[[#This Row],[PRN Med Started]]&lt;=NOW(),Tbl_ResidentData[[#This Row],[PRN Med Started]]&lt;=BJ$4,OR(Tbl_ResidentData[[#This Row],[PRN Med Discontinued]]&gt;BJ$4,ISBLANK(Tbl_ResidentData[[#This Row],[PRN Med Discontinued]])))</f>
        <v>0</v>
      </c>
      <c r="CI55" s="121" t="b">
        <f ca="1">AND(Tbl_ResidentData[[#This Row],[PRN Med Started]]&lt;&gt;"",Tbl_ResidentData[[#This Row],[PRN Med Started]]&lt;=NOW(),Tbl_ResidentData[[#This Row],[PRN Med Started]]&lt;=BK$4,OR(Tbl_ResidentData[[#This Row],[PRN Med Discontinued]]&gt;BK$4,ISBLANK(Tbl_ResidentData[[#This Row],[PRN Med Discontinued]])))</f>
        <v>0</v>
      </c>
      <c r="CJ55" s="121" t="b">
        <f ca="1">AND(Tbl_ResidentData[[#This Row],[PRN Med Started]]&lt;&gt;"",Tbl_ResidentData[[#This Row],[PRN Med Started]]&lt;=NOW(),Tbl_ResidentData[[#This Row],[PRN Med Started]]&lt;=BL$4,OR(Tbl_ResidentData[[#This Row],[PRN Med Discontinued]]&gt;BL$4,ISBLANK(Tbl_ResidentData[[#This Row],[PRN Med Discontinued]])))</f>
        <v>0</v>
      </c>
      <c r="CK55" s="121" t="b">
        <f ca="1">AND(Tbl_ResidentData[[#This Row],[PRN Med Started]]&lt;&gt;"",Tbl_ResidentData[[#This Row],[PRN Med Started]]&lt;=NOW(),Tbl_ResidentData[[#This Row],[PRN Med Started]]&lt;=BM$4,OR(Tbl_ResidentData[[#This Row],[PRN Med Discontinued]]&gt;BM$4,ISBLANK(Tbl_ResidentData[[#This Row],[PRN Med Discontinued]])))</f>
        <v>0</v>
      </c>
      <c r="CL55" s="121" t="b">
        <f ca="1">AND(Tbl_ResidentData[[#This Row],[PRN Med Started]]&lt;&gt;"",Tbl_ResidentData[[#This Row],[PRN Med Started]]&lt;=NOW(),Tbl_ResidentData[[#This Row],[PRN Med Started]]&lt;=BN$4,OR(Tbl_ResidentData[[#This Row],[PRN Med Discontinued]]&gt;BN$4,ISBLANK(Tbl_ResidentData[[#This Row],[PRN Med Discontinued]])))</f>
        <v>0</v>
      </c>
      <c r="CM55" s="121" t="b">
        <f ca="1">AND(Tbl_ResidentData[[#This Row],[PRN Med Started]]&lt;&gt;"",Tbl_ResidentData[[#This Row],[PRN Med Started]]&lt;=NOW(),Tbl_ResidentData[[#This Row],[PRN Med Started]]&lt;=BO$4,OR(Tbl_ResidentData[[#This Row],[PRN Med Discontinued]]&gt;BO$4,ISBLANK(Tbl_ResidentData[[#This Row],[PRN Med Discontinued]])))</f>
        <v>0</v>
      </c>
      <c r="CN55" s="122" t="b">
        <f ca="1">AND(Tbl_ResidentData[[#This Row],[PRN Med Started]]&lt;&gt;"",Tbl_ResidentData[[#This Row],[PRN Med Started]]&lt;=NOW(),Tbl_ResidentData[[#This Row],[PRN Med Started]]&lt;=BP$4,OR(Tbl_ResidentData[[#This Row],[PRN Med Discontinued]]&gt;BP$4,ISBLANK(Tbl_ResidentData[[#This Row],[PRN Med Discontinued]])))</f>
        <v>0</v>
      </c>
      <c r="CO55" s="120">
        <f ca="1">IF(OR(Tbl_ResidentData[[#This Row],[S1]]=TRUE,Tbl_ResidentData[[#This Row],[P1]]=TRUE),1,0)</f>
        <v>0</v>
      </c>
      <c r="CP55" s="121">
        <f ca="1">IF(OR(Tbl_ResidentData[[#This Row],[S2]]=TRUE,Tbl_ResidentData[[#This Row],[P2]]=TRUE),1,0)</f>
        <v>0</v>
      </c>
      <c r="CQ55" s="121">
        <f ca="1">IF(OR(Tbl_ResidentData[[#This Row],[S3]]=TRUE,Tbl_ResidentData[[#This Row],[P3]]=TRUE),1,0)</f>
        <v>0</v>
      </c>
      <c r="CR55" s="120">
        <f ca="1">IF(OR(Tbl_ResidentData[[#This Row],[S4]]=TRUE,Tbl_ResidentData[[#This Row],[P4]]=TRUE),1,0)</f>
        <v>0</v>
      </c>
      <c r="CS55" s="120">
        <f ca="1">IF(OR(Tbl_ResidentData[[#This Row],[S5]]=TRUE,Tbl_ResidentData[[#This Row],[P5]]=TRUE),1,0)</f>
        <v>0</v>
      </c>
      <c r="CT55" s="120">
        <f ca="1">IF(OR(Tbl_ResidentData[[#This Row],[S6]]=TRUE,Tbl_ResidentData[[#This Row],[P6]]=TRUE),1,0)</f>
        <v>0</v>
      </c>
      <c r="CU55" s="120">
        <f ca="1">IF(OR(Tbl_ResidentData[[#This Row],[S7]]=TRUE,Tbl_ResidentData[[#This Row],[P7]]=TRUE),1,0)</f>
        <v>0</v>
      </c>
      <c r="CV55" s="120">
        <f ca="1">IF(OR(Tbl_ResidentData[[#This Row],[S8]]=TRUE,Tbl_ResidentData[[#This Row],[P8]]=TRUE),1,0)</f>
        <v>0</v>
      </c>
      <c r="CW55" s="120">
        <f ca="1">IF(OR(Tbl_ResidentData[[#This Row],[S9]]=TRUE,Tbl_ResidentData[[#This Row],[P9]]=TRUE),1,0)</f>
        <v>0</v>
      </c>
      <c r="CX55" s="120">
        <f ca="1">IF(OR(Tbl_ResidentData[[#This Row],[S10]]=TRUE,Tbl_ResidentData[[#This Row],[P10]]=TRUE),1,0)</f>
        <v>0</v>
      </c>
      <c r="CY55" s="120">
        <f ca="1">IF(OR(Tbl_ResidentData[[#This Row],[S11]]=TRUE,Tbl_ResidentData[[#This Row],[P11]]=TRUE),1,0)</f>
        <v>0</v>
      </c>
      <c r="CZ55" s="120">
        <f ca="1">IF(OR(Tbl_ResidentData[[#This Row],[S12]]=TRUE,Tbl_ResidentData[[#This Row],[P12]]=TRUE),1,0)</f>
        <v>0</v>
      </c>
      <c r="DA55" s="120">
        <f ca="1">IF(OR(Tbl_ResidentData[[#This Row],[S13]]=TRUE,Tbl_ResidentData[[#This Row],[P13]]=TRUE),1,0)</f>
        <v>0</v>
      </c>
      <c r="DB55" s="120">
        <f ca="1">IF(OR(Tbl_ResidentData[[#This Row],[S14]]=TRUE,Tbl_ResidentData[[#This Row],[P14]]=TRUE),1,0)</f>
        <v>0</v>
      </c>
      <c r="DC55" s="120">
        <f ca="1">IF(OR(Tbl_ResidentData[[#This Row],[S15]]=TRUE,Tbl_ResidentData[[#This Row],[P15]]=TRUE),1,0)</f>
        <v>0</v>
      </c>
      <c r="DD55" s="120">
        <f ca="1">IF(OR(Tbl_ResidentData[[#This Row],[S16]]=TRUE,Tbl_ResidentData[[#This Row],[P16]]=TRUE),1,0)</f>
        <v>0</v>
      </c>
      <c r="DE55" s="120">
        <f ca="1">IF(OR(Tbl_ResidentData[[#This Row],[S17]]=TRUE,Tbl_ResidentData[[#This Row],[P17]]=TRUE),1,0)</f>
        <v>0</v>
      </c>
      <c r="DF55" s="120">
        <f ca="1">IF(OR(Tbl_ResidentData[[#This Row],[S18]]=TRUE,Tbl_ResidentData[[#This Row],[P18]]=TRUE),1,0)</f>
        <v>0</v>
      </c>
      <c r="DG55" s="120">
        <f ca="1">IF(OR(Tbl_ResidentData[[#This Row],[S19]]=TRUE,Tbl_ResidentData[[#This Row],[P19]]=TRUE),1,0)</f>
        <v>0</v>
      </c>
      <c r="DH55" s="120">
        <f ca="1">IF(OR(Tbl_ResidentData[[#This Row],[S20]]=TRUE,Tbl_ResidentData[[#This Row],[P20]]=TRUE),1,0)</f>
        <v>0</v>
      </c>
      <c r="DI55" s="120">
        <f ca="1">IF(OR(Tbl_ResidentData[[#This Row],[S21]]=TRUE,Tbl_ResidentData[[#This Row],[P21]]=TRUE),1,0)</f>
        <v>0</v>
      </c>
      <c r="DJ55" s="120">
        <f ca="1">IF(OR(Tbl_ResidentData[[#This Row],[S22]]=TRUE,Tbl_ResidentData[[#This Row],[P22]]=TRUE),1,0)</f>
        <v>0</v>
      </c>
      <c r="DK55" s="120">
        <f ca="1">IF(OR(Tbl_ResidentData[[#This Row],[S23]]=TRUE,Tbl_ResidentData[[#This Row],[P23]]=TRUE),1,0)</f>
        <v>0</v>
      </c>
      <c r="DL55" s="120">
        <f ca="1">IF(OR(Tbl_ResidentData[[#This Row],[S24]]=TRUE,Tbl_ResidentData[[#This Row],[P24]]=TRUE),1,0)</f>
        <v>0</v>
      </c>
      <c r="DM55" s="123" t="str">
        <f ca="1">IFERROR(INDEX($CO$4:$DL$4,MATCH(TRUE,INDEX((Tbl_ResidentData[[#This Row],[Over1]:[Over24]]&lt;&gt;0),0),0)),"")</f>
        <v/>
      </c>
      <c r="DN55" s="133" t="str">
        <f>IFERROR(INDEX(Tbl_PDSAData[Last DRT],MATCH(Tbl_ResidentData[Resident Name '[last, first']],Tbl_PDSAData[Resident Name (last, first)],0)),"")</f>
        <v/>
      </c>
      <c r="DO55" s="222" t="str">
        <f>IFERROR(INDEX(Tbl_PDSAData[Last MR],MATCH(Tbl_ResidentData[Resident Name '[last, first']],Tbl_PDSAData[Resident Name (last, first)],0)),"")</f>
        <v/>
      </c>
    </row>
    <row r="56" spans="1:119" x14ac:dyDescent="0.25">
      <c r="A56" s="179"/>
      <c r="B56" s="180"/>
      <c r="C56" s="180"/>
      <c r="D56" s="218"/>
      <c r="E56" s="179"/>
      <c r="F56" s="181"/>
      <c r="G56" s="181"/>
      <c r="H56" s="375"/>
      <c r="I56" s="185"/>
      <c r="J56" s="387"/>
      <c r="K56" s="178"/>
      <c r="L56" s="388"/>
      <c r="M56" s="185"/>
      <c r="N56" s="386"/>
      <c r="O56" s="178"/>
      <c r="P56" s="388"/>
      <c r="Q56" s="394"/>
      <c r="R56" s="388"/>
      <c r="S56" s="131" t="str">
        <f>IF(ISBLANK(Tbl_ResidentData[[#This Row],[Discharge '[mmm-yyyy']]]),IF(ISBLANK(Tbl_ResidentData[[#This Row],[Enrollment '[mmm-yyyy']]]),"","In Care Home"),"Discharged")</f>
        <v/>
      </c>
      <c r="T56" s="119" t="str">
        <f>IF(ISBLANK(Tbl_ResidentData[[#This Row],[Diagnosis (RAI)]]),IF(ISBLANK(Tbl_ResidentData[[#This Row],[Resident Name '[last, first']]]),"",0),IF(Tbl_ResidentData[[#This Row],[Diagnosis (RAI)]]="Other (see clinical notes)",0,1))</f>
        <v/>
      </c>
      <c r="U56" s="120" t="str">
        <f ca="1">IF(U$4&gt;NOW(),"-",IF(ISBLANK(Tbl_ResidentData[[#This Row],[Enrollment '[mmm-yyyy']]]),"-",AND((Tbl_ResidentData[[#This Row],[Enrollment '[mmm-yyyy']]]&lt;=U$4),IF(ISBLANK(Tbl_ResidentData[[#This Row],[Discharge '[mmm-yyyy']]]),TRUE,(Tbl_ResidentData[[#This Row],[Discharge '[mmm-yyyy']]]&gt;=U$4)))))</f>
        <v>-</v>
      </c>
      <c r="V56" s="121" t="str">
        <f ca="1">IF(V$4&gt;NOW(),"-",IF(ISBLANK(Tbl_ResidentData[[#This Row],[Enrollment '[mmm-yyyy']]]),"-",AND((Tbl_ResidentData[[#This Row],[Enrollment '[mmm-yyyy']]]&lt;=V$4),IF(ISBLANK(Tbl_ResidentData[[#This Row],[Discharge '[mmm-yyyy']]]),TRUE,(Tbl_ResidentData[[#This Row],[Discharge '[mmm-yyyy']]]&gt;=V$4)))))</f>
        <v>-</v>
      </c>
      <c r="W56" s="121" t="str">
        <f ca="1">IF(W$4&gt;NOW(),"-",IF(ISBLANK(Tbl_ResidentData[[#This Row],[Enrollment '[mmm-yyyy']]]),"-",AND((Tbl_ResidentData[[#This Row],[Enrollment '[mmm-yyyy']]]&lt;=W$4),IF(ISBLANK(Tbl_ResidentData[[#This Row],[Discharge '[mmm-yyyy']]]),TRUE,(Tbl_ResidentData[[#This Row],[Discharge '[mmm-yyyy']]]&gt;=W$4)))))</f>
        <v>-</v>
      </c>
      <c r="X56" s="121" t="str">
        <f ca="1">IF(X$4&gt;NOW(),"-",IF(ISBLANK(Tbl_ResidentData[[#This Row],[Enrollment '[mmm-yyyy']]]),"-",AND((Tbl_ResidentData[[#This Row],[Enrollment '[mmm-yyyy']]]&lt;=X$4),IF(ISBLANK(Tbl_ResidentData[[#This Row],[Discharge '[mmm-yyyy']]]),TRUE,(Tbl_ResidentData[[#This Row],[Discharge '[mmm-yyyy']]]&gt;=X$4)))))</f>
        <v>-</v>
      </c>
      <c r="Y56" s="121" t="str">
        <f ca="1">IF(Y$4&gt;NOW(),"-",IF(ISBLANK(Tbl_ResidentData[[#This Row],[Enrollment '[mmm-yyyy']]]),"-",AND((Tbl_ResidentData[[#This Row],[Enrollment '[mmm-yyyy']]]&lt;=Y$4),IF(ISBLANK(Tbl_ResidentData[[#This Row],[Discharge '[mmm-yyyy']]]),TRUE,(Tbl_ResidentData[[#This Row],[Discharge '[mmm-yyyy']]]&gt;=Y$4)))))</f>
        <v>-</v>
      </c>
      <c r="Z56" s="121" t="str">
        <f ca="1">IF(Z$4&gt;NOW(),"-",IF(ISBLANK(Tbl_ResidentData[[#This Row],[Enrollment '[mmm-yyyy']]]),"-",AND((Tbl_ResidentData[[#This Row],[Enrollment '[mmm-yyyy']]]&lt;=Z$4),IF(ISBLANK(Tbl_ResidentData[[#This Row],[Discharge '[mmm-yyyy']]]),TRUE,(Tbl_ResidentData[[#This Row],[Discharge '[mmm-yyyy']]]&gt;=Z$4)))))</f>
        <v>-</v>
      </c>
      <c r="AA56" s="121" t="str">
        <f ca="1">IF(AA$4&gt;NOW(),"-",IF(ISBLANK(Tbl_ResidentData[[#This Row],[Enrollment '[mmm-yyyy']]]),"-",AND((Tbl_ResidentData[[#This Row],[Enrollment '[mmm-yyyy']]]&lt;=AA$4),IF(ISBLANK(Tbl_ResidentData[[#This Row],[Discharge '[mmm-yyyy']]]),TRUE,(Tbl_ResidentData[[#This Row],[Discharge '[mmm-yyyy']]]&gt;=AA$4)))))</f>
        <v>-</v>
      </c>
      <c r="AB56" s="121" t="str">
        <f ca="1">IF(AB$4&gt;NOW(),"-",IF(ISBLANK(Tbl_ResidentData[[#This Row],[Enrollment '[mmm-yyyy']]]),"-",AND((Tbl_ResidentData[[#This Row],[Enrollment '[mmm-yyyy']]]&lt;=AB$4),IF(ISBLANK(Tbl_ResidentData[[#This Row],[Discharge '[mmm-yyyy']]]),TRUE,(Tbl_ResidentData[[#This Row],[Discharge '[mmm-yyyy']]]&gt;=AB$4)))))</f>
        <v>-</v>
      </c>
      <c r="AC56" s="121" t="str">
        <f ca="1">IF(AC$4&gt;NOW(),"-",IF(ISBLANK(Tbl_ResidentData[[#This Row],[Enrollment '[mmm-yyyy']]]),"-",AND((Tbl_ResidentData[[#This Row],[Enrollment '[mmm-yyyy']]]&lt;=AC$4),IF(ISBLANK(Tbl_ResidentData[[#This Row],[Discharge '[mmm-yyyy']]]),TRUE,(Tbl_ResidentData[[#This Row],[Discharge '[mmm-yyyy']]]&gt;=AC$4)))))</f>
        <v>-</v>
      </c>
      <c r="AD56" s="121" t="str">
        <f ca="1">IF(AD$4&gt;NOW(),"-",IF(ISBLANK(Tbl_ResidentData[[#This Row],[Enrollment '[mmm-yyyy']]]),"-",AND((Tbl_ResidentData[[#This Row],[Enrollment '[mmm-yyyy']]]&lt;=AD$4),IF(ISBLANK(Tbl_ResidentData[[#This Row],[Discharge '[mmm-yyyy']]]),TRUE,(Tbl_ResidentData[[#This Row],[Discharge '[mmm-yyyy']]]&gt;=AD$4)))))</f>
        <v>-</v>
      </c>
      <c r="AE56" s="121" t="str">
        <f ca="1">IF(AE$4&gt;NOW(),"-",IF(ISBLANK(Tbl_ResidentData[[#This Row],[Enrollment '[mmm-yyyy']]]),"-",AND((Tbl_ResidentData[[#This Row],[Enrollment '[mmm-yyyy']]]&lt;=AE$4),IF(ISBLANK(Tbl_ResidentData[[#This Row],[Discharge '[mmm-yyyy']]]),TRUE,(Tbl_ResidentData[[#This Row],[Discharge '[mmm-yyyy']]]&gt;=AE$4)))))</f>
        <v>-</v>
      </c>
      <c r="AF56" s="121" t="str">
        <f ca="1">IF(AF$4&gt;NOW(),"-",IF(ISBLANK(Tbl_ResidentData[[#This Row],[Enrollment '[mmm-yyyy']]]),"-",AND((Tbl_ResidentData[[#This Row],[Enrollment '[mmm-yyyy']]]&lt;=AF$4),IF(ISBLANK(Tbl_ResidentData[[#This Row],[Discharge '[mmm-yyyy']]]),TRUE,(Tbl_ResidentData[[#This Row],[Discharge '[mmm-yyyy']]]&gt;=AF$4)))))</f>
        <v>-</v>
      </c>
      <c r="AG56" s="121" t="str">
        <f ca="1">IF(AG$4&gt;NOW(),"-",IF(ISBLANK(Tbl_ResidentData[[#This Row],[Enrollment '[mmm-yyyy']]]),"-",AND((Tbl_ResidentData[[#This Row],[Enrollment '[mmm-yyyy']]]&lt;=AG$4),IF(ISBLANK(Tbl_ResidentData[[#This Row],[Discharge '[mmm-yyyy']]]),TRUE,(Tbl_ResidentData[[#This Row],[Discharge '[mmm-yyyy']]]&gt;=AG$4)))))</f>
        <v>-</v>
      </c>
      <c r="AH56" s="121" t="str">
        <f ca="1">IF(AH$4&gt;NOW(),"-",IF(ISBLANK(Tbl_ResidentData[[#This Row],[Enrollment '[mmm-yyyy']]]),"-",AND((Tbl_ResidentData[[#This Row],[Enrollment '[mmm-yyyy']]]&lt;=AH$4),IF(ISBLANK(Tbl_ResidentData[[#This Row],[Discharge '[mmm-yyyy']]]),TRUE,(Tbl_ResidentData[[#This Row],[Discharge '[mmm-yyyy']]]&gt;=AH$4)))))</f>
        <v>-</v>
      </c>
      <c r="AI56" s="121" t="str">
        <f ca="1">IF(AI$4&gt;NOW(),"-",IF(ISBLANK(Tbl_ResidentData[[#This Row],[Enrollment '[mmm-yyyy']]]),"-",AND((Tbl_ResidentData[[#This Row],[Enrollment '[mmm-yyyy']]]&lt;=AI$4),IF(ISBLANK(Tbl_ResidentData[[#This Row],[Discharge '[mmm-yyyy']]]),TRUE,(Tbl_ResidentData[[#This Row],[Discharge '[mmm-yyyy']]]&gt;=AI$4)))))</f>
        <v>-</v>
      </c>
      <c r="AJ56" s="121" t="str">
        <f ca="1">IF(AJ$4&gt;NOW(),"-",IF(ISBLANK(Tbl_ResidentData[[#This Row],[Enrollment '[mmm-yyyy']]]),"-",AND((Tbl_ResidentData[[#This Row],[Enrollment '[mmm-yyyy']]]&lt;=AJ$4),IF(ISBLANK(Tbl_ResidentData[[#This Row],[Discharge '[mmm-yyyy']]]),TRUE,(Tbl_ResidentData[[#This Row],[Discharge '[mmm-yyyy']]]&gt;=AJ$4)))))</f>
        <v>-</v>
      </c>
      <c r="AK56" s="121" t="str">
        <f ca="1">IF(AK$4&gt;NOW(),"-",IF(ISBLANK(Tbl_ResidentData[[#This Row],[Enrollment '[mmm-yyyy']]]),"-",AND((Tbl_ResidentData[[#This Row],[Enrollment '[mmm-yyyy']]]&lt;=AK$4),IF(ISBLANK(Tbl_ResidentData[[#This Row],[Discharge '[mmm-yyyy']]]),TRUE,(Tbl_ResidentData[[#This Row],[Discharge '[mmm-yyyy']]]&gt;=AK$4)))))</f>
        <v>-</v>
      </c>
      <c r="AL56" s="121" t="str">
        <f ca="1">IF(AL$4&gt;NOW(),"-",IF(ISBLANK(Tbl_ResidentData[[#This Row],[Enrollment '[mmm-yyyy']]]),"-",AND((Tbl_ResidentData[[#This Row],[Enrollment '[mmm-yyyy']]]&lt;=AL$4),IF(ISBLANK(Tbl_ResidentData[[#This Row],[Discharge '[mmm-yyyy']]]),TRUE,(Tbl_ResidentData[[#This Row],[Discharge '[mmm-yyyy']]]&gt;=AL$4)))))</f>
        <v>-</v>
      </c>
      <c r="AM56" s="121" t="str">
        <f ca="1">IF(AM$4&gt;NOW(),"-",IF(ISBLANK(Tbl_ResidentData[[#This Row],[Enrollment '[mmm-yyyy']]]),"-",AND((Tbl_ResidentData[[#This Row],[Enrollment '[mmm-yyyy']]]&lt;=AM$4),IF(ISBLANK(Tbl_ResidentData[[#This Row],[Discharge '[mmm-yyyy']]]),TRUE,(Tbl_ResidentData[[#This Row],[Discharge '[mmm-yyyy']]]&gt;=AM$4)))))</f>
        <v>-</v>
      </c>
      <c r="AN56" s="121" t="str">
        <f ca="1">IF(AN$4&gt;NOW(),"-",IF(ISBLANK(Tbl_ResidentData[[#This Row],[Enrollment '[mmm-yyyy']]]),"-",AND((Tbl_ResidentData[[#This Row],[Enrollment '[mmm-yyyy']]]&lt;=AN$4),IF(ISBLANK(Tbl_ResidentData[[#This Row],[Discharge '[mmm-yyyy']]]),TRUE,(Tbl_ResidentData[[#This Row],[Discharge '[mmm-yyyy']]]&gt;=AN$4)))))</f>
        <v>-</v>
      </c>
      <c r="AO56" s="121" t="str">
        <f ca="1">IF(AO$4&gt;NOW(),"-",IF(ISBLANK(Tbl_ResidentData[[#This Row],[Enrollment '[mmm-yyyy']]]),"-",AND((Tbl_ResidentData[[#This Row],[Enrollment '[mmm-yyyy']]]&lt;=AO$4),IF(ISBLANK(Tbl_ResidentData[[#This Row],[Discharge '[mmm-yyyy']]]),TRUE,(Tbl_ResidentData[[#This Row],[Discharge '[mmm-yyyy']]]&gt;=AO$4)))))</f>
        <v>-</v>
      </c>
      <c r="AP56" s="121" t="str">
        <f ca="1">IF(AP$4&gt;NOW(),"-",IF(ISBLANK(Tbl_ResidentData[[#This Row],[Enrollment '[mmm-yyyy']]]),"-",AND((Tbl_ResidentData[[#This Row],[Enrollment '[mmm-yyyy']]]&lt;=AP$4),IF(ISBLANK(Tbl_ResidentData[[#This Row],[Discharge '[mmm-yyyy']]]),TRUE,(Tbl_ResidentData[[#This Row],[Discharge '[mmm-yyyy']]]&gt;=AP$4)))))</f>
        <v>-</v>
      </c>
      <c r="AQ56" s="121" t="str">
        <f ca="1">IF(AQ$4&gt;NOW(),"-",IF(ISBLANK(Tbl_ResidentData[[#This Row],[Enrollment '[mmm-yyyy']]]),"-",AND((Tbl_ResidentData[[#This Row],[Enrollment '[mmm-yyyy']]]&lt;=AQ$4),IF(ISBLANK(Tbl_ResidentData[[#This Row],[Discharge '[mmm-yyyy']]]),TRUE,(Tbl_ResidentData[[#This Row],[Discharge '[mmm-yyyy']]]&gt;=AQ$4)))))</f>
        <v>-</v>
      </c>
      <c r="AR56" s="122" t="str">
        <f ca="1">IF(AR$4&gt;NOW(),"-",IF(ISBLANK(Tbl_ResidentData[[#This Row],[Enrollment '[mmm-yyyy']]]),"-",AND((Tbl_ResidentData[[#This Row],[Enrollment '[mmm-yyyy']]]&lt;=AR$4),IF(ISBLANK(Tbl_ResidentData[[#This Row],[Discharge '[mmm-yyyy']]]),TRUE,(Tbl_ResidentData[[#This Row],[Discharge '[mmm-yyyy']]]&gt;=AR$4)))))</f>
        <v>-</v>
      </c>
      <c r="AS5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5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5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5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5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5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5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5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5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5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5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5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5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5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5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5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5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5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5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5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5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5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5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5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56" s="120" t="b">
        <f ca="1">AND(Tbl_ResidentData[[#This Row],[PRN Med Started]]&lt;&gt;"",Tbl_ResidentData[[#This Row],[PRN Med Started]]&lt;=NOW(),Tbl_ResidentData[[#This Row],[PRN Med Started]]&lt;=AS$4,OR(Tbl_ResidentData[[#This Row],[PRN Med Discontinued]]&gt;AS$4,ISBLANK(Tbl_ResidentData[[#This Row],[PRN Med Discontinued]])))</f>
        <v>0</v>
      </c>
      <c r="BR56" s="121" t="b">
        <f ca="1">AND(Tbl_ResidentData[[#This Row],[PRN Med Started]]&lt;&gt;"",Tbl_ResidentData[[#This Row],[PRN Med Started]]&lt;=NOW(),Tbl_ResidentData[[#This Row],[PRN Med Started]]&lt;=AT$4,OR(Tbl_ResidentData[[#This Row],[PRN Med Discontinued]]&gt;AT$4,ISBLANK(Tbl_ResidentData[[#This Row],[PRN Med Discontinued]])))</f>
        <v>0</v>
      </c>
      <c r="BS56" s="121" t="b">
        <f ca="1">AND(Tbl_ResidentData[[#This Row],[PRN Med Started]]&lt;&gt;"",Tbl_ResidentData[[#This Row],[PRN Med Started]]&lt;=NOW(),Tbl_ResidentData[[#This Row],[PRN Med Started]]&lt;=AU$4,OR(Tbl_ResidentData[[#This Row],[PRN Med Discontinued]]&gt;AU$4,ISBLANK(Tbl_ResidentData[[#This Row],[PRN Med Discontinued]])))</f>
        <v>0</v>
      </c>
      <c r="BT56" s="121" t="b">
        <f ca="1">AND(Tbl_ResidentData[[#This Row],[PRN Med Started]]&lt;&gt;"",Tbl_ResidentData[[#This Row],[PRN Med Started]]&lt;=NOW(),Tbl_ResidentData[[#This Row],[PRN Med Started]]&lt;=AV$4,OR(Tbl_ResidentData[[#This Row],[PRN Med Discontinued]]&gt;AV$4,ISBLANK(Tbl_ResidentData[[#This Row],[PRN Med Discontinued]])))</f>
        <v>0</v>
      </c>
      <c r="BU56" s="121" t="b">
        <f ca="1">AND(Tbl_ResidentData[[#This Row],[PRN Med Started]]&lt;&gt;"",Tbl_ResidentData[[#This Row],[PRN Med Started]]&lt;=NOW(),Tbl_ResidentData[[#This Row],[PRN Med Started]]&lt;=AW$4,OR(Tbl_ResidentData[[#This Row],[PRN Med Discontinued]]&gt;AW$4,ISBLANK(Tbl_ResidentData[[#This Row],[PRN Med Discontinued]])))</f>
        <v>0</v>
      </c>
      <c r="BV56" s="121" t="b">
        <f ca="1">AND(Tbl_ResidentData[[#This Row],[PRN Med Started]]&lt;&gt;"",Tbl_ResidentData[[#This Row],[PRN Med Started]]&lt;=NOW(),Tbl_ResidentData[[#This Row],[PRN Med Started]]&lt;=AX$4,OR(Tbl_ResidentData[[#This Row],[PRN Med Discontinued]]&gt;AX$4,ISBLANK(Tbl_ResidentData[[#This Row],[PRN Med Discontinued]])))</f>
        <v>0</v>
      </c>
      <c r="BW56" s="121" t="b">
        <f ca="1">AND(Tbl_ResidentData[[#This Row],[PRN Med Started]]&lt;&gt;"",Tbl_ResidentData[[#This Row],[PRN Med Started]]&lt;=NOW(),Tbl_ResidentData[[#This Row],[PRN Med Started]]&lt;=AY$4,OR(Tbl_ResidentData[[#This Row],[PRN Med Discontinued]]&gt;AY$4,ISBLANK(Tbl_ResidentData[[#This Row],[PRN Med Discontinued]])))</f>
        <v>0</v>
      </c>
      <c r="BX56" s="121" t="b">
        <f ca="1">AND(Tbl_ResidentData[[#This Row],[PRN Med Started]]&lt;&gt;"",Tbl_ResidentData[[#This Row],[PRN Med Started]]&lt;=NOW(),Tbl_ResidentData[[#This Row],[PRN Med Started]]&lt;=AZ$4,OR(Tbl_ResidentData[[#This Row],[PRN Med Discontinued]]&gt;AZ$4,ISBLANK(Tbl_ResidentData[[#This Row],[PRN Med Discontinued]])))</f>
        <v>0</v>
      </c>
      <c r="BY56" s="121" t="b">
        <f ca="1">AND(Tbl_ResidentData[[#This Row],[PRN Med Started]]&lt;&gt;"",Tbl_ResidentData[[#This Row],[PRN Med Started]]&lt;=NOW(),Tbl_ResidentData[[#This Row],[PRN Med Started]]&lt;=BA$4,OR(Tbl_ResidentData[[#This Row],[PRN Med Discontinued]]&gt;BA$4,ISBLANK(Tbl_ResidentData[[#This Row],[PRN Med Discontinued]])))</f>
        <v>0</v>
      </c>
      <c r="BZ56" s="121" t="b">
        <f ca="1">AND(Tbl_ResidentData[[#This Row],[PRN Med Started]]&lt;&gt;"",Tbl_ResidentData[[#This Row],[PRN Med Started]]&lt;=NOW(),Tbl_ResidentData[[#This Row],[PRN Med Started]]&lt;=BB$4,OR(Tbl_ResidentData[[#This Row],[PRN Med Discontinued]]&gt;BB$4,ISBLANK(Tbl_ResidentData[[#This Row],[PRN Med Discontinued]])))</f>
        <v>0</v>
      </c>
      <c r="CA56" s="121" t="b">
        <f ca="1">AND(Tbl_ResidentData[[#This Row],[PRN Med Started]]&lt;&gt;"",Tbl_ResidentData[[#This Row],[PRN Med Started]]&lt;=NOW(),Tbl_ResidentData[[#This Row],[PRN Med Started]]&lt;=BC$4,OR(Tbl_ResidentData[[#This Row],[PRN Med Discontinued]]&gt;BC$4,ISBLANK(Tbl_ResidentData[[#This Row],[PRN Med Discontinued]])))</f>
        <v>0</v>
      </c>
      <c r="CB56" s="121" t="b">
        <f ca="1">AND(Tbl_ResidentData[[#This Row],[PRN Med Started]]&lt;&gt;"",Tbl_ResidentData[[#This Row],[PRN Med Started]]&lt;=NOW(),Tbl_ResidentData[[#This Row],[PRN Med Started]]&lt;=BD$4,OR(Tbl_ResidentData[[#This Row],[PRN Med Discontinued]]&gt;BD$4,ISBLANK(Tbl_ResidentData[[#This Row],[PRN Med Discontinued]])))</f>
        <v>0</v>
      </c>
      <c r="CC56" s="121" t="b">
        <f ca="1">AND(Tbl_ResidentData[[#This Row],[PRN Med Started]]&lt;&gt;"",Tbl_ResidentData[[#This Row],[PRN Med Started]]&lt;=NOW(),Tbl_ResidentData[[#This Row],[PRN Med Started]]&lt;=BE$4,OR(Tbl_ResidentData[[#This Row],[PRN Med Discontinued]]&gt;BE$4,ISBLANK(Tbl_ResidentData[[#This Row],[PRN Med Discontinued]])))</f>
        <v>0</v>
      </c>
      <c r="CD56" s="121" t="b">
        <f ca="1">AND(Tbl_ResidentData[[#This Row],[PRN Med Started]]&lt;&gt;"",Tbl_ResidentData[[#This Row],[PRN Med Started]]&lt;=NOW(),Tbl_ResidentData[[#This Row],[PRN Med Started]]&lt;=BF$4,OR(Tbl_ResidentData[[#This Row],[PRN Med Discontinued]]&gt;BF$4,ISBLANK(Tbl_ResidentData[[#This Row],[PRN Med Discontinued]])))</f>
        <v>0</v>
      </c>
      <c r="CE56" s="121" t="b">
        <f ca="1">AND(Tbl_ResidentData[[#This Row],[PRN Med Started]]&lt;&gt;"",Tbl_ResidentData[[#This Row],[PRN Med Started]]&lt;=NOW(),Tbl_ResidentData[[#This Row],[PRN Med Started]]&lt;=BG$4,OR(Tbl_ResidentData[[#This Row],[PRN Med Discontinued]]&gt;BG$4,ISBLANK(Tbl_ResidentData[[#This Row],[PRN Med Discontinued]])))</f>
        <v>0</v>
      </c>
      <c r="CF56" s="121" t="b">
        <f ca="1">AND(Tbl_ResidentData[[#This Row],[PRN Med Started]]&lt;&gt;"",Tbl_ResidentData[[#This Row],[PRN Med Started]]&lt;=NOW(),Tbl_ResidentData[[#This Row],[PRN Med Started]]&lt;=BH$4,OR(Tbl_ResidentData[[#This Row],[PRN Med Discontinued]]&gt;BH$4,ISBLANK(Tbl_ResidentData[[#This Row],[PRN Med Discontinued]])))</f>
        <v>0</v>
      </c>
      <c r="CG56" s="121" t="b">
        <f ca="1">AND(Tbl_ResidentData[[#This Row],[PRN Med Started]]&lt;&gt;"",Tbl_ResidentData[[#This Row],[PRN Med Started]]&lt;=NOW(),Tbl_ResidentData[[#This Row],[PRN Med Started]]&lt;=BI$4,OR(Tbl_ResidentData[[#This Row],[PRN Med Discontinued]]&gt;BI$4,ISBLANK(Tbl_ResidentData[[#This Row],[PRN Med Discontinued]])))</f>
        <v>0</v>
      </c>
      <c r="CH56" s="121" t="b">
        <f ca="1">AND(Tbl_ResidentData[[#This Row],[PRN Med Started]]&lt;&gt;"",Tbl_ResidentData[[#This Row],[PRN Med Started]]&lt;=NOW(),Tbl_ResidentData[[#This Row],[PRN Med Started]]&lt;=BJ$4,OR(Tbl_ResidentData[[#This Row],[PRN Med Discontinued]]&gt;BJ$4,ISBLANK(Tbl_ResidentData[[#This Row],[PRN Med Discontinued]])))</f>
        <v>0</v>
      </c>
      <c r="CI56" s="121" t="b">
        <f ca="1">AND(Tbl_ResidentData[[#This Row],[PRN Med Started]]&lt;&gt;"",Tbl_ResidentData[[#This Row],[PRN Med Started]]&lt;=NOW(),Tbl_ResidentData[[#This Row],[PRN Med Started]]&lt;=BK$4,OR(Tbl_ResidentData[[#This Row],[PRN Med Discontinued]]&gt;BK$4,ISBLANK(Tbl_ResidentData[[#This Row],[PRN Med Discontinued]])))</f>
        <v>0</v>
      </c>
      <c r="CJ56" s="121" t="b">
        <f ca="1">AND(Tbl_ResidentData[[#This Row],[PRN Med Started]]&lt;&gt;"",Tbl_ResidentData[[#This Row],[PRN Med Started]]&lt;=NOW(),Tbl_ResidentData[[#This Row],[PRN Med Started]]&lt;=BL$4,OR(Tbl_ResidentData[[#This Row],[PRN Med Discontinued]]&gt;BL$4,ISBLANK(Tbl_ResidentData[[#This Row],[PRN Med Discontinued]])))</f>
        <v>0</v>
      </c>
      <c r="CK56" s="121" t="b">
        <f ca="1">AND(Tbl_ResidentData[[#This Row],[PRN Med Started]]&lt;&gt;"",Tbl_ResidentData[[#This Row],[PRN Med Started]]&lt;=NOW(),Tbl_ResidentData[[#This Row],[PRN Med Started]]&lt;=BM$4,OR(Tbl_ResidentData[[#This Row],[PRN Med Discontinued]]&gt;BM$4,ISBLANK(Tbl_ResidentData[[#This Row],[PRN Med Discontinued]])))</f>
        <v>0</v>
      </c>
      <c r="CL56" s="121" t="b">
        <f ca="1">AND(Tbl_ResidentData[[#This Row],[PRN Med Started]]&lt;&gt;"",Tbl_ResidentData[[#This Row],[PRN Med Started]]&lt;=NOW(),Tbl_ResidentData[[#This Row],[PRN Med Started]]&lt;=BN$4,OR(Tbl_ResidentData[[#This Row],[PRN Med Discontinued]]&gt;BN$4,ISBLANK(Tbl_ResidentData[[#This Row],[PRN Med Discontinued]])))</f>
        <v>0</v>
      </c>
      <c r="CM56" s="121" t="b">
        <f ca="1">AND(Tbl_ResidentData[[#This Row],[PRN Med Started]]&lt;&gt;"",Tbl_ResidentData[[#This Row],[PRN Med Started]]&lt;=NOW(),Tbl_ResidentData[[#This Row],[PRN Med Started]]&lt;=BO$4,OR(Tbl_ResidentData[[#This Row],[PRN Med Discontinued]]&gt;BO$4,ISBLANK(Tbl_ResidentData[[#This Row],[PRN Med Discontinued]])))</f>
        <v>0</v>
      </c>
      <c r="CN56" s="122" t="b">
        <f ca="1">AND(Tbl_ResidentData[[#This Row],[PRN Med Started]]&lt;&gt;"",Tbl_ResidentData[[#This Row],[PRN Med Started]]&lt;=NOW(),Tbl_ResidentData[[#This Row],[PRN Med Started]]&lt;=BP$4,OR(Tbl_ResidentData[[#This Row],[PRN Med Discontinued]]&gt;BP$4,ISBLANK(Tbl_ResidentData[[#This Row],[PRN Med Discontinued]])))</f>
        <v>0</v>
      </c>
      <c r="CO56" s="120">
        <f ca="1">IF(OR(Tbl_ResidentData[[#This Row],[S1]]=TRUE,Tbl_ResidentData[[#This Row],[P1]]=TRUE),1,0)</f>
        <v>0</v>
      </c>
      <c r="CP56" s="121">
        <f ca="1">IF(OR(Tbl_ResidentData[[#This Row],[S2]]=TRUE,Tbl_ResidentData[[#This Row],[P2]]=TRUE),1,0)</f>
        <v>0</v>
      </c>
      <c r="CQ56" s="121">
        <f ca="1">IF(OR(Tbl_ResidentData[[#This Row],[S3]]=TRUE,Tbl_ResidentData[[#This Row],[P3]]=TRUE),1,0)</f>
        <v>0</v>
      </c>
      <c r="CR56" s="120">
        <f ca="1">IF(OR(Tbl_ResidentData[[#This Row],[S4]]=TRUE,Tbl_ResidentData[[#This Row],[P4]]=TRUE),1,0)</f>
        <v>0</v>
      </c>
      <c r="CS56" s="120">
        <f ca="1">IF(OR(Tbl_ResidentData[[#This Row],[S5]]=TRUE,Tbl_ResidentData[[#This Row],[P5]]=TRUE),1,0)</f>
        <v>0</v>
      </c>
      <c r="CT56" s="120">
        <f ca="1">IF(OR(Tbl_ResidentData[[#This Row],[S6]]=TRUE,Tbl_ResidentData[[#This Row],[P6]]=TRUE),1,0)</f>
        <v>0</v>
      </c>
      <c r="CU56" s="120">
        <f ca="1">IF(OR(Tbl_ResidentData[[#This Row],[S7]]=TRUE,Tbl_ResidentData[[#This Row],[P7]]=TRUE),1,0)</f>
        <v>0</v>
      </c>
      <c r="CV56" s="120">
        <f ca="1">IF(OR(Tbl_ResidentData[[#This Row],[S8]]=TRUE,Tbl_ResidentData[[#This Row],[P8]]=TRUE),1,0)</f>
        <v>0</v>
      </c>
      <c r="CW56" s="120">
        <f ca="1">IF(OR(Tbl_ResidentData[[#This Row],[S9]]=TRUE,Tbl_ResidentData[[#This Row],[P9]]=TRUE),1,0)</f>
        <v>0</v>
      </c>
      <c r="CX56" s="120">
        <f ca="1">IF(OR(Tbl_ResidentData[[#This Row],[S10]]=TRUE,Tbl_ResidentData[[#This Row],[P10]]=TRUE),1,0)</f>
        <v>0</v>
      </c>
      <c r="CY56" s="120">
        <f ca="1">IF(OR(Tbl_ResidentData[[#This Row],[S11]]=TRUE,Tbl_ResidentData[[#This Row],[P11]]=TRUE),1,0)</f>
        <v>0</v>
      </c>
      <c r="CZ56" s="120">
        <f ca="1">IF(OR(Tbl_ResidentData[[#This Row],[S12]]=TRUE,Tbl_ResidentData[[#This Row],[P12]]=TRUE),1,0)</f>
        <v>0</v>
      </c>
      <c r="DA56" s="120">
        <f ca="1">IF(OR(Tbl_ResidentData[[#This Row],[S13]]=TRUE,Tbl_ResidentData[[#This Row],[P13]]=TRUE),1,0)</f>
        <v>0</v>
      </c>
      <c r="DB56" s="120">
        <f ca="1">IF(OR(Tbl_ResidentData[[#This Row],[S14]]=TRUE,Tbl_ResidentData[[#This Row],[P14]]=TRUE),1,0)</f>
        <v>0</v>
      </c>
      <c r="DC56" s="120">
        <f ca="1">IF(OR(Tbl_ResidentData[[#This Row],[S15]]=TRUE,Tbl_ResidentData[[#This Row],[P15]]=TRUE),1,0)</f>
        <v>0</v>
      </c>
      <c r="DD56" s="120">
        <f ca="1">IF(OR(Tbl_ResidentData[[#This Row],[S16]]=TRUE,Tbl_ResidentData[[#This Row],[P16]]=TRUE),1,0)</f>
        <v>0</v>
      </c>
      <c r="DE56" s="120">
        <f ca="1">IF(OR(Tbl_ResidentData[[#This Row],[S17]]=TRUE,Tbl_ResidentData[[#This Row],[P17]]=TRUE),1,0)</f>
        <v>0</v>
      </c>
      <c r="DF56" s="120">
        <f ca="1">IF(OR(Tbl_ResidentData[[#This Row],[S18]]=TRUE,Tbl_ResidentData[[#This Row],[P18]]=TRUE),1,0)</f>
        <v>0</v>
      </c>
      <c r="DG56" s="120">
        <f ca="1">IF(OR(Tbl_ResidentData[[#This Row],[S19]]=TRUE,Tbl_ResidentData[[#This Row],[P19]]=TRUE),1,0)</f>
        <v>0</v>
      </c>
      <c r="DH56" s="120">
        <f ca="1">IF(OR(Tbl_ResidentData[[#This Row],[S20]]=TRUE,Tbl_ResidentData[[#This Row],[P20]]=TRUE),1,0)</f>
        <v>0</v>
      </c>
      <c r="DI56" s="120">
        <f ca="1">IF(OR(Tbl_ResidentData[[#This Row],[S21]]=TRUE,Tbl_ResidentData[[#This Row],[P21]]=TRUE),1,0)</f>
        <v>0</v>
      </c>
      <c r="DJ56" s="120">
        <f ca="1">IF(OR(Tbl_ResidentData[[#This Row],[S22]]=TRUE,Tbl_ResidentData[[#This Row],[P22]]=TRUE),1,0)</f>
        <v>0</v>
      </c>
      <c r="DK56" s="120">
        <f ca="1">IF(OR(Tbl_ResidentData[[#This Row],[S23]]=TRUE,Tbl_ResidentData[[#This Row],[P23]]=TRUE),1,0)</f>
        <v>0</v>
      </c>
      <c r="DL56" s="120">
        <f ca="1">IF(OR(Tbl_ResidentData[[#This Row],[S24]]=TRUE,Tbl_ResidentData[[#This Row],[P24]]=TRUE),1,0)</f>
        <v>0</v>
      </c>
      <c r="DM56" s="123" t="str">
        <f ca="1">IFERROR(INDEX($CO$4:$DL$4,MATCH(TRUE,INDEX((Tbl_ResidentData[[#This Row],[Over1]:[Over24]]&lt;&gt;0),0),0)),"")</f>
        <v/>
      </c>
      <c r="DN56" s="133" t="str">
        <f>IFERROR(INDEX(Tbl_PDSAData[Last DRT],MATCH(Tbl_ResidentData[Resident Name '[last, first']],Tbl_PDSAData[Resident Name (last, first)],0)),"")</f>
        <v/>
      </c>
      <c r="DO56" s="222" t="str">
        <f>IFERROR(INDEX(Tbl_PDSAData[Last MR],MATCH(Tbl_ResidentData[Resident Name '[last, first']],Tbl_PDSAData[Resident Name (last, first)],0)),"")</f>
        <v/>
      </c>
    </row>
    <row r="57" spans="1:119" x14ac:dyDescent="0.25">
      <c r="A57" s="179"/>
      <c r="B57" s="180"/>
      <c r="C57" s="180"/>
      <c r="D57" s="218"/>
      <c r="E57" s="179"/>
      <c r="F57" s="181"/>
      <c r="G57" s="181"/>
      <c r="H57" s="182"/>
      <c r="I57" s="185"/>
      <c r="J57" s="387"/>
      <c r="K57" s="178"/>
      <c r="L57" s="388"/>
      <c r="M57" s="185"/>
      <c r="N57" s="386"/>
      <c r="O57" s="178"/>
      <c r="P57" s="388"/>
      <c r="Q57" s="395"/>
      <c r="R57" s="396"/>
      <c r="S57" s="131" t="str">
        <f>IF(ISBLANK(Tbl_ResidentData[[#This Row],[Discharge '[mmm-yyyy']]]),IF(ISBLANK(Tbl_ResidentData[[#This Row],[Enrollment '[mmm-yyyy']]]),"","In Care Home"),"Discharged")</f>
        <v/>
      </c>
      <c r="T57" s="119" t="str">
        <f>IF(ISBLANK(Tbl_ResidentData[[#This Row],[Diagnosis (RAI)]]),IF(ISBLANK(Tbl_ResidentData[[#This Row],[Resident Name '[last, first']]]),"",0),IF(Tbl_ResidentData[[#This Row],[Diagnosis (RAI)]]="Other (see clinical notes)",0,1))</f>
        <v/>
      </c>
      <c r="U57" s="120" t="str">
        <f ca="1">IF(U$4&gt;NOW(),"-",IF(ISBLANK(Tbl_ResidentData[[#This Row],[Enrollment '[mmm-yyyy']]]),"-",AND((Tbl_ResidentData[[#This Row],[Enrollment '[mmm-yyyy']]]&lt;=U$4),IF(ISBLANK(Tbl_ResidentData[[#This Row],[Discharge '[mmm-yyyy']]]),TRUE,(Tbl_ResidentData[[#This Row],[Discharge '[mmm-yyyy']]]&gt;=U$4)))))</f>
        <v>-</v>
      </c>
      <c r="V57" s="121" t="str">
        <f ca="1">IF(V$4&gt;NOW(),"-",IF(ISBLANK(Tbl_ResidentData[[#This Row],[Enrollment '[mmm-yyyy']]]),"-",AND((Tbl_ResidentData[[#This Row],[Enrollment '[mmm-yyyy']]]&lt;=V$4),IF(ISBLANK(Tbl_ResidentData[[#This Row],[Discharge '[mmm-yyyy']]]),TRUE,(Tbl_ResidentData[[#This Row],[Discharge '[mmm-yyyy']]]&gt;=V$4)))))</f>
        <v>-</v>
      </c>
      <c r="W57" s="121" t="str">
        <f ca="1">IF(W$4&gt;NOW(),"-",IF(ISBLANK(Tbl_ResidentData[[#This Row],[Enrollment '[mmm-yyyy']]]),"-",AND((Tbl_ResidentData[[#This Row],[Enrollment '[mmm-yyyy']]]&lt;=W$4),IF(ISBLANK(Tbl_ResidentData[[#This Row],[Discharge '[mmm-yyyy']]]),TRUE,(Tbl_ResidentData[[#This Row],[Discharge '[mmm-yyyy']]]&gt;=W$4)))))</f>
        <v>-</v>
      </c>
      <c r="X57" s="121" t="str">
        <f ca="1">IF(X$4&gt;NOW(),"-",IF(ISBLANK(Tbl_ResidentData[[#This Row],[Enrollment '[mmm-yyyy']]]),"-",AND((Tbl_ResidentData[[#This Row],[Enrollment '[mmm-yyyy']]]&lt;=X$4),IF(ISBLANK(Tbl_ResidentData[[#This Row],[Discharge '[mmm-yyyy']]]),TRUE,(Tbl_ResidentData[[#This Row],[Discharge '[mmm-yyyy']]]&gt;=X$4)))))</f>
        <v>-</v>
      </c>
      <c r="Y57" s="121" t="str">
        <f ca="1">IF(Y$4&gt;NOW(),"-",IF(ISBLANK(Tbl_ResidentData[[#This Row],[Enrollment '[mmm-yyyy']]]),"-",AND((Tbl_ResidentData[[#This Row],[Enrollment '[mmm-yyyy']]]&lt;=Y$4),IF(ISBLANK(Tbl_ResidentData[[#This Row],[Discharge '[mmm-yyyy']]]),TRUE,(Tbl_ResidentData[[#This Row],[Discharge '[mmm-yyyy']]]&gt;=Y$4)))))</f>
        <v>-</v>
      </c>
      <c r="Z57" s="121" t="str">
        <f ca="1">IF(Z$4&gt;NOW(),"-",IF(ISBLANK(Tbl_ResidentData[[#This Row],[Enrollment '[mmm-yyyy']]]),"-",AND((Tbl_ResidentData[[#This Row],[Enrollment '[mmm-yyyy']]]&lt;=Z$4),IF(ISBLANK(Tbl_ResidentData[[#This Row],[Discharge '[mmm-yyyy']]]),TRUE,(Tbl_ResidentData[[#This Row],[Discharge '[mmm-yyyy']]]&gt;=Z$4)))))</f>
        <v>-</v>
      </c>
      <c r="AA57" s="121" t="str">
        <f ca="1">IF(AA$4&gt;NOW(),"-",IF(ISBLANK(Tbl_ResidentData[[#This Row],[Enrollment '[mmm-yyyy']]]),"-",AND((Tbl_ResidentData[[#This Row],[Enrollment '[mmm-yyyy']]]&lt;=AA$4),IF(ISBLANK(Tbl_ResidentData[[#This Row],[Discharge '[mmm-yyyy']]]),TRUE,(Tbl_ResidentData[[#This Row],[Discharge '[mmm-yyyy']]]&gt;=AA$4)))))</f>
        <v>-</v>
      </c>
      <c r="AB57" s="121" t="str">
        <f ca="1">IF(AB$4&gt;NOW(),"-",IF(ISBLANK(Tbl_ResidentData[[#This Row],[Enrollment '[mmm-yyyy']]]),"-",AND((Tbl_ResidentData[[#This Row],[Enrollment '[mmm-yyyy']]]&lt;=AB$4),IF(ISBLANK(Tbl_ResidentData[[#This Row],[Discharge '[mmm-yyyy']]]),TRUE,(Tbl_ResidentData[[#This Row],[Discharge '[mmm-yyyy']]]&gt;=AB$4)))))</f>
        <v>-</v>
      </c>
      <c r="AC57" s="121" t="str">
        <f ca="1">IF(AC$4&gt;NOW(),"-",IF(ISBLANK(Tbl_ResidentData[[#This Row],[Enrollment '[mmm-yyyy']]]),"-",AND((Tbl_ResidentData[[#This Row],[Enrollment '[mmm-yyyy']]]&lt;=AC$4),IF(ISBLANK(Tbl_ResidentData[[#This Row],[Discharge '[mmm-yyyy']]]),TRUE,(Tbl_ResidentData[[#This Row],[Discharge '[mmm-yyyy']]]&gt;=AC$4)))))</f>
        <v>-</v>
      </c>
      <c r="AD57" s="121" t="str">
        <f ca="1">IF(AD$4&gt;NOW(),"-",IF(ISBLANK(Tbl_ResidentData[[#This Row],[Enrollment '[mmm-yyyy']]]),"-",AND((Tbl_ResidentData[[#This Row],[Enrollment '[mmm-yyyy']]]&lt;=AD$4),IF(ISBLANK(Tbl_ResidentData[[#This Row],[Discharge '[mmm-yyyy']]]),TRUE,(Tbl_ResidentData[[#This Row],[Discharge '[mmm-yyyy']]]&gt;=AD$4)))))</f>
        <v>-</v>
      </c>
      <c r="AE57" s="121" t="str">
        <f ca="1">IF(AE$4&gt;NOW(),"-",IF(ISBLANK(Tbl_ResidentData[[#This Row],[Enrollment '[mmm-yyyy']]]),"-",AND((Tbl_ResidentData[[#This Row],[Enrollment '[mmm-yyyy']]]&lt;=AE$4),IF(ISBLANK(Tbl_ResidentData[[#This Row],[Discharge '[mmm-yyyy']]]),TRUE,(Tbl_ResidentData[[#This Row],[Discharge '[mmm-yyyy']]]&gt;=AE$4)))))</f>
        <v>-</v>
      </c>
      <c r="AF57" s="121" t="str">
        <f ca="1">IF(AF$4&gt;NOW(),"-",IF(ISBLANK(Tbl_ResidentData[[#This Row],[Enrollment '[mmm-yyyy']]]),"-",AND((Tbl_ResidentData[[#This Row],[Enrollment '[mmm-yyyy']]]&lt;=AF$4),IF(ISBLANK(Tbl_ResidentData[[#This Row],[Discharge '[mmm-yyyy']]]),TRUE,(Tbl_ResidentData[[#This Row],[Discharge '[mmm-yyyy']]]&gt;=AF$4)))))</f>
        <v>-</v>
      </c>
      <c r="AG57" s="121" t="str">
        <f ca="1">IF(AG$4&gt;NOW(),"-",IF(ISBLANK(Tbl_ResidentData[[#This Row],[Enrollment '[mmm-yyyy']]]),"-",AND((Tbl_ResidentData[[#This Row],[Enrollment '[mmm-yyyy']]]&lt;=AG$4),IF(ISBLANK(Tbl_ResidentData[[#This Row],[Discharge '[mmm-yyyy']]]),TRUE,(Tbl_ResidentData[[#This Row],[Discharge '[mmm-yyyy']]]&gt;=AG$4)))))</f>
        <v>-</v>
      </c>
      <c r="AH57" s="121" t="str">
        <f ca="1">IF(AH$4&gt;NOW(),"-",IF(ISBLANK(Tbl_ResidentData[[#This Row],[Enrollment '[mmm-yyyy']]]),"-",AND((Tbl_ResidentData[[#This Row],[Enrollment '[mmm-yyyy']]]&lt;=AH$4),IF(ISBLANK(Tbl_ResidentData[[#This Row],[Discharge '[mmm-yyyy']]]),TRUE,(Tbl_ResidentData[[#This Row],[Discharge '[mmm-yyyy']]]&gt;=AH$4)))))</f>
        <v>-</v>
      </c>
      <c r="AI57" s="121" t="str">
        <f ca="1">IF(AI$4&gt;NOW(),"-",IF(ISBLANK(Tbl_ResidentData[[#This Row],[Enrollment '[mmm-yyyy']]]),"-",AND((Tbl_ResidentData[[#This Row],[Enrollment '[mmm-yyyy']]]&lt;=AI$4),IF(ISBLANK(Tbl_ResidentData[[#This Row],[Discharge '[mmm-yyyy']]]),TRUE,(Tbl_ResidentData[[#This Row],[Discharge '[mmm-yyyy']]]&gt;=AI$4)))))</f>
        <v>-</v>
      </c>
      <c r="AJ57" s="121" t="str">
        <f ca="1">IF(AJ$4&gt;NOW(),"-",IF(ISBLANK(Tbl_ResidentData[[#This Row],[Enrollment '[mmm-yyyy']]]),"-",AND((Tbl_ResidentData[[#This Row],[Enrollment '[mmm-yyyy']]]&lt;=AJ$4),IF(ISBLANK(Tbl_ResidentData[[#This Row],[Discharge '[mmm-yyyy']]]),TRUE,(Tbl_ResidentData[[#This Row],[Discharge '[mmm-yyyy']]]&gt;=AJ$4)))))</f>
        <v>-</v>
      </c>
      <c r="AK57" s="121" t="str">
        <f ca="1">IF(AK$4&gt;NOW(),"-",IF(ISBLANK(Tbl_ResidentData[[#This Row],[Enrollment '[mmm-yyyy']]]),"-",AND((Tbl_ResidentData[[#This Row],[Enrollment '[mmm-yyyy']]]&lt;=AK$4),IF(ISBLANK(Tbl_ResidentData[[#This Row],[Discharge '[mmm-yyyy']]]),TRUE,(Tbl_ResidentData[[#This Row],[Discharge '[mmm-yyyy']]]&gt;=AK$4)))))</f>
        <v>-</v>
      </c>
      <c r="AL57" s="121" t="str">
        <f ca="1">IF(AL$4&gt;NOW(),"-",IF(ISBLANK(Tbl_ResidentData[[#This Row],[Enrollment '[mmm-yyyy']]]),"-",AND((Tbl_ResidentData[[#This Row],[Enrollment '[mmm-yyyy']]]&lt;=AL$4),IF(ISBLANK(Tbl_ResidentData[[#This Row],[Discharge '[mmm-yyyy']]]),TRUE,(Tbl_ResidentData[[#This Row],[Discharge '[mmm-yyyy']]]&gt;=AL$4)))))</f>
        <v>-</v>
      </c>
      <c r="AM57" s="121" t="str">
        <f ca="1">IF(AM$4&gt;NOW(),"-",IF(ISBLANK(Tbl_ResidentData[[#This Row],[Enrollment '[mmm-yyyy']]]),"-",AND((Tbl_ResidentData[[#This Row],[Enrollment '[mmm-yyyy']]]&lt;=AM$4),IF(ISBLANK(Tbl_ResidentData[[#This Row],[Discharge '[mmm-yyyy']]]),TRUE,(Tbl_ResidentData[[#This Row],[Discharge '[mmm-yyyy']]]&gt;=AM$4)))))</f>
        <v>-</v>
      </c>
      <c r="AN57" s="121" t="str">
        <f ca="1">IF(AN$4&gt;NOW(),"-",IF(ISBLANK(Tbl_ResidentData[[#This Row],[Enrollment '[mmm-yyyy']]]),"-",AND((Tbl_ResidentData[[#This Row],[Enrollment '[mmm-yyyy']]]&lt;=AN$4),IF(ISBLANK(Tbl_ResidentData[[#This Row],[Discharge '[mmm-yyyy']]]),TRUE,(Tbl_ResidentData[[#This Row],[Discharge '[mmm-yyyy']]]&gt;=AN$4)))))</f>
        <v>-</v>
      </c>
      <c r="AO57" s="121" t="str">
        <f ca="1">IF(AO$4&gt;NOW(),"-",IF(ISBLANK(Tbl_ResidentData[[#This Row],[Enrollment '[mmm-yyyy']]]),"-",AND((Tbl_ResidentData[[#This Row],[Enrollment '[mmm-yyyy']]]&lt;=AO$4),IF(ISBLANK(Tbl_ResidentData[[#This Row],[Discharge '[mmm-yyyy']]]),TRUE,(Tbl_ResidentData[[#This Row],[Discharge '[mmm-yyyy']]]&gt;=AO$4)))))</f>
        <v>-</v>
      </c>
      <c r="AP57" s="121" t="str">
        <f ca="1">IF(AP$4&gt;NOW(),"-",IF(ISBLANK(Tbl_ResidentData[[#This Row],[Enrollment '[mmm-yyyy']]]),"-",AND((Tbl_ResidentData[[#This Row],[Enrollment '[mmm-yyyy']]]&lt;=AP$4),IF(ISBLANK(Tbl_ResidentData[[#This Row],[Discharge '[mmm-yyyy']]]),TRUE,(Tbl_ResidentData[[#This Row],[Discharge '[mmm-yyyy']]]&gt;=AP$4)))))</f>
        <v>-</v>
      </c>
      <c r="AQ57" s="121" t="str">
        <f ca="1">IF(AQ$4&gt;NOW(),"-",IF(ISBLANK(Tbl_ResidentData[[#This Row],[Enrollment '[mmm-yyyy']]]),"-",AND((Tbl_ResidentData[[#This Row],[Enrollment '[mmm-yyyy']]]&lt;=AQ$4),IF(ISBLANK(Tbl_ResidentData[[#This Row],[Discharge '[mmm-yyyy']]]),TRUE,(Tbl_ResidentData[[#This Row],[Discharge '[mmm-yyyy']]]&gt;=AQ$4)))))</f>
        <v>-</v>
      </c>
      <c r="AR57" s="122" t="str">
        <f ca="1">IF(AR$4&gt;NOW(),"-",IF(ISBLANK(Tbl_ResidentData[[#This Row],[Enrollment '[mmm-yyyy']]]),"-",AND((Tbl_ResidentData[[#This Row],[Enrollment '[mmm-yyyy']]]&lt;=AR$4),IF(ISBLANK(Tbl_ResidentData[[#This Row],[Discharge '[mmm-yyyy']]]),TRUE,(Tbl_ResidentData[[#This Row],[Discharge '[mmm-yyyy']]]&gt;=AR$4)))))</f>
        <v>-</v>
      </c>
      <c r="AS5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5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5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5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5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5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5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5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5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5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5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5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5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5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5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5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5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5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5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5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5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5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5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5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57" s="120" t="b">
        <f ca="1">AND(Tbl_ResidentData[[#This Row],[PRN Med Started]]&lt;&gt;"",Tbl_ResidentData[[#This Row],[PRN Med Started]]&lt;=NOW(),Tbl_ResidentData[[#This Row],[PRN Med Started]]&lt;=AS$4,OR(Tbl_ResidentData[[#This Row],[PRN Med Discontinued]]&gt;AS$4,ISBLANK(Tbl_ResidentData[[#This Row],[PRN Med Discontinued]])))</f>
        <v>0</v>
      </c>
      <c r="BR57" s="121" t="b">
        <f ca="1">AND(Tbl_ResidentData[[#This Row],[PRN Med Started]]&lt;&gt;"",Tbl_ResidentData[[#This Row],[PRN Med Started]]&lt;=NOW(),Tbl_ResidentData[[#This Row],[PRN Med Started]]&lt;=AT$4,OR(Tbl_ResidentData[[#This Row],[PRN Med Discontinued]]&gt;AT$4,ISBLANK(Tbl_ResidentData[[#This Row],[PRN Med Discontinued]])))</f>
        <v>0</v>
      </c>
      <c r="BS57" s="121" t="b">
        <f ca="1">AND(Tbl_ResidentData[[#This Row],[PRN Med Started]]&lt;&gt;"",Tbl_ResidentData[[#This Row],[PRN Med Started]]&lt;=NOW(),Tbl_ResidentData[[#This Row],[PRN Med Started]]&lt;=AU$4,OR(Tbl_ResidentData[[#This Row],[PRN Med Discontinued]]&gt;AU$4,ISBLANK(Tbl_ResidentData[[#This Row],[PRN Med Discontinued]])))</f>
        <v>0</v>
      </c>
      <c r="BT57" s="121" t="b">
        <f ca="1">AND(Tbl_ResidentData[[#This Row],[PRN Med Started]]&lt;&gt;"",Tbl_ResidentData[[#This Row],[PRN Med Started]]&lt;=NOW(),Tbl_ResidentData[[#This Row],[PRN Med Started]]&lt;=AV$4,OR(Tbl_ResidentData[[#This Row],[PRN Med Discontinued]]&gt;AV$4,ISBLANK(Tbl_ResidentData[[#This Row],[PRN Med Discontinued]])))</f>
        <v>0</v>
      </c>
      <c r="BU57" s="121" t="b">
        <f ca="1">AND(Tbl_ResidentData[[#This Row],[PRN Med Started]]&lt;&gt;"",Tbl_ResidentData[[#This Row],[PRN Med Started]]&lt;=NOW(),Tbl_ResidentData[[#This Row],[PRN Med Started]]&lt;=AW$4,OR(Tbl_ResidentData[[#This Row],[PRN Med Discontinued]]&gt;AW$4,ISBLANK(Tbl_ResidentData[[#This Row],[PRN Med Discontinued]])))</f>
        <v>0</v>
      </c>
      <c r="BV57" s="121" t="b">
        <f ca="1">AND(Tbl_ResidentData[[#This Row],[PRN Med Started]]&lt;&gt;"",Tbl_ResidentData[[#This Row],[PRN Med Started]]&lt;=NOW(),Tbl_ResidentData[[#This Row],[PRN Med Started]]&lt;=AX$4,OR(Tbl_ResidentData[[#This Row],[PRN Med Discontinued]]&gt;AX$4,ISBLANK(Tbl_ResidentData[[#This Row],[PRN Med Discontinued]])))</f>
        <v>0</v>
      </c>
      <c r="BW57" s="121" t="b">
        <f ca="1">AND(Tbl_ResidentData[[#This Row],[PRN Med Started]]&lt;&gt;"",Tbl_ResidentData[[#This Row],[PRN Med Started]]&lt;=NOW(),Tbl_ResidentData[[#This Row],[PRN Med Started]]&lt;=AY$4,OR(Tbl_ResidentData[[#This Row],[PRN Med Discontinued]]&gt;AY$4,ISBLANK(Tbl_ResidentData[[#This Row],[PRN Med Discontinued]])))</f>
        <v>0</v>
      </c>
      <c r="BX57" s="121" t="b">
        <f ca="1">AND(Tbl_ResidentData[[#This Row],[PRN Med Started]]&lt;&gt;"",Tbl_ResidentData[[#This Row],[PRN Med Started]]&lt;=NOW(),Tbl_ResidentData[[#This Row],[PRN Med Started]]&lt;=AZ$4,OR(Tbl_ResidentData[[#This Row],[PRN Med Discontinued]]&gt;AZ$4,ISBLANK(Tbl_ResidentData[[#This Row],[PRN Med Discontinued]])))</f>
        <v>0</v>
      </c>
      <c r="BY57" s="121" t="b">
        <f ca="1">AND(Tbl_ResidentData[[#This Row],[PRN Med Started]]&lt;&gt;"",Tbl_ResidentData[[#This Row],[PRN Med Started]]&lt;=NOW(),Tbl_ResidentData[[#This Row],[PRN Med Started]]&lt;=BA$4,OR(Tbl_ResidentData[[#This Row],[PRN Med Discontinued]]&gt;BA$4,ISBLANK(Tbl_ResidentData[[#This Row],[PRN Med Discontinued]])))</f>
        <v>0</v>
      </c>
      <c r="BZ57" s="121" t="b">
        <f ca="1">AND(Tbl_ResidentData[[#This Row],[PRN Med Started]]&lt;&gt;"",Tbl_ResidentData[[#This Row],[PRN Med Started]]&lt;=NOW(),Tbl_ResidentData[[#This Row],[PRN Med Started]]&lt;=BB$4,OR(Tbl_ResidentData[[#This Row],[PRN Med Discontinued]]&gt;BB$4,ISBLANK(Tbl_ResidentData[[#This Row],[PRN Med Discontinued]])))</f>
        <v>0</v>
      </c>
      <c r="CA57" s="121" t="b">
        <f ca="1">AND(Tbl_ResidentData[[#This Row],[PRN Med Started]]&lt;&gt;"",Tbl_ResidentData[[#This Row],[PRN Med Started]]&lt;=NOW(),Tbl_ResidentData[[#This Row],[PRN Med Started]]&lt;=BC$4,OR(Tbl_ResidentData[[#This Row],[PRN Med Discontinued]]&gt;BC$4,ISBLANK(Tbl_ResidentData[[#This Row],[PRN Med Discontinued]])))</f>
        <v>0</v>
      </c>
      <c r="CB57" s="121" t="b">
        <f ca="1">AND(Tbl_ResidentData[[#This Row],[PRN Med Started]]&lt;&gt;"",Tbl_ResidentData[[#This Row],[PRN Med Started]]&lt;=NOW(),Tbl_ResidentData[[#This Row],[PRN Med Started]]&lt;=BD$4,OR(Tbl_ResidentData[[#This Row],[PRN Med Discontinued]]&gt;BD$4,ISBLANK(Tbl_ResidentData[[#This Row],[PRN Med Discontinued]])))</f>
        <v>0</v>
      </c>
      <c r="CC57" s="121" t="b">
        <f ca="1">AND(Tbl_ResidentData[[#This Row],[PRN Med Started]]&lt;&gt;"",Tbl_ResidentData[[#This Row],[PRN Med Started]]&lt;=NOW(),Tbl_ResidentData[[#This Row],[PRN Med Started]]&lt;=BE$4,OR(Tbl_ResidentData[[#This Row],[PRN Med Discontinued]]&gt;BE$4,ISBLANK(Tbl_ResidentData[[#This Row],[PRN Med Discontinued]])))</f>
        <v>0</v>
      </c>
      <c r="CD57" s="121" t="b">
        <f ca="1">AND(Tbl_ResidentData[[#This Row],[PRN Med Started]]&lt;&gt;"",Tbl_ResidentData[[#This Row],[PRN Med Started]]&lt;=NOW(),Tbl_ResidentData[[#This Row],[PRN Med Started]]&lt;=BF$4,OR(Tbl_ResidentData[[#This Row],[PRN Med Discontinued]]&gt;BF$4,ISBLANK(Tbl_ResidentData[[#This Row],[PRN Med Discontinued]])))</f>
        <v>0</v>
      </c>
      <c r="CE57" s="121" t="b">
        <f ca="1">AND(Tbl_ResidentData[[#This Row],[PRN Med Started]]&lt;&gt;"",Tbl_ResidentData[[#This Row],[PRN Med Started]]&lt;=NOW(),Tbl_ResidentData[[#This Row],[PRN Med Started]]&lt;=BG$4,OR(Tbl_ResidentData[[#This Row],[PRN Med Discontinued]]&gt;BG$4,ISBLANK(Tbl_ResidentData[[#This Row],[PRN Med Discontinued]])))</f>
        <v>0</v>
      </c>
      <c r="CF57" s="121" t="b">
        <f ca="1">AND(Tbl_ResidentData[[#This Row],[PRN Med Started]]&lt;&gt;"",Tbl_ResidentData[[#This Row],[PRN Med Started]]&lt;=NOW(),Tbl_ResidentData[[#This Row],[PRN Med Started]]&lt;=BH$4,OR(Tbl_ResidentData[[#This Row],[PRN Med Discontinued]]&gt;BH$4,ISBLANK(Tbl_ResidentData[[#This Row],[PRN Med Discontinued]])))</f>
        <v>0</v>
      </c>
      <c r="CG57" s="121" t="b">
        <f ca="1">AND(Tbl_ResidentData[[#This Row],[PRN Med Started]]&lt;&gt;"",Tbl_ResidentData[[#This Row],[PRN Med Started]]&lt;=NOW(),Tbl_ResidentData[[#This Row],[PRN Med Started]]&lt;=BI$4,OR(Tbl_ResidentData[[#This Row],[PRN Med Discontinued]]&gt;BI$4,ISBLANK(Tbl_ResidentData[[#This Row],[PRN Med Discontinued]])))</f>
        <v>0</v>
      </c>
      <c r="CH57" s="121" t="b">
        <f ca="1">AND(Tbl_ResidentData[[#This Row],[PRN Med Started]]&lt;&gt;"",Tbl_ResidentData[[#This Row],[PRN Med Started]]&lt;=NOW(),Tbl_ResidentData[[#This Row],[PRN Med Started]]&lt;=BJ$4,OR(Tbl_ResidentData[[#This Row],[PRN Med Discontinued]]&gt;BJ$4,ISBLANK(Tbl_ResidentData[[#This Row],[PRN Med Discontinued]])))</f>
        <v>0</v>
      </c>
      <c r="CI57" s="121" t="b">
        <f ca="1">AND(Tbl_ResidentData[[#This Row],[PRN Med Started]]&lt;&gt;"",Tbl_ResidentData[[#This Row],[PRN Med Started]]&lt;=NOW(),Tbl_ResidentData[[#This Row],[PRN Med Started]]&lt;=BK$4,OR(Tbl_ResidentData[[#This Row],[PRN Med Discontinued]]&gt;BK$4,ISBLANK(Tbl_ResidentData[[#This Row],[PRN Med Discontinued]])))</f>
        <v>0</v>
      </c>
      <c r="CJ57" s="121" t="b">
        <f ca="1">AND(Tbl_ResidentData[[#This Row],[PRN Med Started]]&lt;&gt;"",Tbl_ResidentData[[#This Row],[PRN Med Started]]&lt;=NOW(),Tbl_ResidentData[[#This Row],[PRN Med Started]]&lt;=BL$4,OR(Tbl_ResidentData[[#This Row],[PRN Med Discontinued]]&gt;BL$4,ISBLANK(Tbl_ResidentData[[#This Row],[PRN Med Discontinued]])))</f>
        <v>0</v>
      </c>
      <c r="CK57" s="121" t="b">
        <f ca="1">AND(Tbl_ResidentData[[#This Row],[PRN Med Started]]&lt;&gt;"",Tbl_ResidentData[[#This Row],[PRN Med Started]]&lt;=NOW(),Tbl_ResidentData[[#This Row],[PRN Med Started]]&lt;=BM$4,OR(Tbl_ResidentData[[#This Row],[PRN Med Discontinued]]&gt;BM$4,ISBLANK(Tbl_ResidentData[[#This Row],[PRN Med Discontinued]])))</f>
        <v>0</v>
      </c>
      <c r="CL57" s="121" t="b">
        <f ca="1">AND(Tbl_ResidentData[[#This Row],[PRN Med Started]]&lt;&gt;"",Tbl_ResidentData[[#This Row],[PRN Med Started]]&lt;=NOW(),Tbl_ResidentData[[#This Row],[PRN Med Started]]&lt;=BN$4,OR(Tbl_ResidentData[[#This Row],[PRN Med Discontinued]]&gt;BN$4,ISBLANK(Tbl_ResidentData[[#This Row],[PRN Med Discontinued]])))</f>
        <v>0</v>
      </c>
      <c r="CM57" s="121" t="b">
        <f ca="1">AND(Tbl_ResidentData[[#This Row],[PRN Med Started]]&lt;&gt;"",Tbl_ResidentData[[#This Row],[PRN Med Started]]&lt;=NOW(),Tbl_ResidentData[[#This Row],[PRN Med Started]]&lt;=BO$4,OR(Tbl_ResidentData[[#This Row],[PRN Med Discontinued]]&gt;BO$4,ISBLANK(Tbl_ResidentData[[#This Row],[PRN Med Discontinued]])))</f>
        <v>0</v>
      </c>
      <c r="CN57" s="122" t="b">
        <f ca="1">AND(Tbl_ResidentData[[#This Row],[PRN Med Started]]&lt;&gt;"",Tbl_ResidentData[[#This Row],[PRN Med Started]]&lt;=NOW(),Tbl_ResidentData[[#This Row],[PRN Med Started]]&lt;=BP$4,OR(Tbl_ResidentData[[#This Row],[PRN Med Discontinued]]&gt;BP$4,ISBLANK(Tbl_ResidentData[[#This Row],[PRN Med Discontinued]])))</f>
        <v>0</v>
      </c>
      <c r="CO57" s="120">
        <f ca="1">IF(OR(Tbl_ResidentData[[#This Row],[S1]]=TRUE,Tbl_ResidentData[[#This Row],[P1]]=TRUE),1,0)</f>
        <v>0</v>
      </c>
      <c r="CP57" s="121">
        <f ca="1">IF(OR(Tbl_ResidentData[[#This Row],[S2]]=TRUE,Tbl_ResidentData[[#This Row],[P2]]=TRUE),1,0)</f>
        <v>0</v>
      </c>
      <c r="CQ57" s="121">
        <f ca="1">IF(OR(Tbl_ResidentData[[#This Row],[S3]]=TRUE,Tbl_ResidentData[[#This Row],[P3]]=TRUE),1,0)</f>
        <v>0</v>
      </c>
      <c r="CR57" s="120">
        <f ca="1">IF(OR(Tbl_ResidentData[[#This Row],[S4]]=TRUE,Tbl_ResidentData[[#This Row],[P4]]=TRUE),1,0)</f>
        <v>0</v>
      </c>
      <c r="CS57" s="120">
        <f ca="1">IF(OR(Tbl_ResidentData[[#This Row],[S5]]=TRUE,Tbl_ResidentData[[#This Row],[P5]]=TRUE),1,0)</f>
        <v>0</v>
      </c>
      <c r="CT57" s="120">
        <f ca="1">IF(OR(Tbl_ResidentData[[#This Row],[S6]]=TRUE,Tbl_ResidentData[[#This Row],[P6]]=TRUE),1,0)</f>
        <v>0</v>
      </c>
      <c r="CU57" s="120">
        <f ca="1">IF(OR(Tbl_ResidentData[[#This Row],[S7]]=TRUE,Tbl_ResidentData[[#This Row],[P7]]=TRUE),1,0)</f>
        <v>0</v>
      </c>
      <c r="CV57" s="120">
        <f ca="1">IF(OR(Tbl_ResidentData[[#This Row],[S8]]=TRUE,Tbl_ResidentData[[#This Row],[P8]]=TRUE),1,0)</f>
        <v>0</v>
      </c>
      <c r="CW57" s="120">
        <f ca="1">IF(OR(Tbl_ResidentData[[#This Row],[S9]]=TRUE,Tbl_ResidentData[[#This Row],[P9]]=TRUE),1,0)</f>
        <v>0</v>
      </c>
      <c r="CX57" s="120">
        <f ca="1">IF(OR(Tbl_ResidentData[[#This Row],[S10]]=TRUE,Tbl_ResidentData[[#This Row],[P10]]=TRUE),1,0)</f>
        <v>0</v>
      </c>
      <c r="CY57" s="120">
        <f ca="1">IF(OR(Tbl_ResidentData[[#This Row],[S11]]=TRUE,Tbl_ResidentData[[#This Row],[P11]]=TRUE),1,0)</f>
        <v>0</v>
      </c>
      <c r="CZ57" s="120">
        <f ca="1">IF(OR(Tbl_ResidentData[[#This Row],[S12]]=TRUE,Tbl_ResidentData[[#This Row],[P12]]=TRUE),1,0)</f>
        <v>0</v>
      </c>
      <c r="DA57" s="120">
        <f ca="1">IF(OR(Tbl_ResidentData[[#This Row],[S13]]=TRUE,Tbl_ResidentData[[#This Row],[P13]]=TRUE),1,0)</f>
        <v>0</v>
      </c>
      <c r="DB57" s="120">
        <f ca="1">IF(OR(Tbl_ResidentData[[#This Row],[S14]]=TRUE,Tbl_ResidentData[[#This Row],[P14]]=TRUE),1,0)</f>
        <v>0</v>
      </c>
      <c r="DC57" s="120">
        <f ca="1">IF(OR(Tbl_ResidentData[[#This Row],[S15]]=TRUE,Tbl_ResidentData[[#This Row],[P15]]=TRUE),1,0)</f>
        <v>0</v>
      </c>
      <c r="DD57" s="120">
        <f ca="1">IF(OR(Tbl_ResidentData[[#This Row],[S16]]=TRUE,Tbl_ResidentData[[#This Row],[P16]]=TRUE),1,0)</f>
        <v>0</v>
      </c>
      <c r="DE57" s="120">
        <f ca="1">IF(OR(Tbl_ResidentData[[#This Row],[S17]]=TRUE,Tbl_ResidentData[[#This Row],[P17]]=TRUE),1,0)</f>
        <v>0</v>
      </c>
      <c r="DF57" s="120">
        <f ca="1">IF(OR(Tbl_ResidentData[[#This Row],[S18]]=TRUE,Tbl_ResidentData[[#This Row],[P18]]=TRUE),1,0)</f>
        <v>0</v>
      </c>
      <c r="DG57" s="120">
        <f ca="1">IF(OR(Tbl_ResidentData[[#This Row],[S19]]=TRUE,Tbl_ResidentData[[#This Row],[P19]]=TRUE),1,0)</f>
        <v>0</v>
      </c>
      <c r="DH57" s="120">
        <f ca="1">IF(OR(Tbl_ResidentData[[#This Row],[S20]]=TRUE,Tbl_ResidentData[[#This Row],[P20]]=TRUE),1,0)</f>
        <v>0</v>
      </c>
      <c r="DI57" s="120">
        <f ca="1">IF(OR(Tbl_ResidentData[[#This Row],[S21]]=TRUE,Tbl_ResidentData[[#This Row],[P21]]=TRUE),1,0)</f>
        <v>0</v>
      </c>
      <c r="DJ57" s="120">
        <f ca="1">IF(OR(Tbl_ResidentData[[#This Row],[S22]]=TRUE,Tbl_ResidentData[[#This Row],[P22]]=TRUE),1,0)</f>
        <v>0</v>
      </c>
      <c r="DK57" s="120">
        <f ca="1">IF(OR(Tbl_ResidentData[[#This Row],[S23]]=TRUE,Tbl_ResidentData[[#This Row],[P23]]=TRUE),1,0)</f>
        <v>0</v>
      </c>
      <c r="DL57" s="120">
        <f ca="1">IF(OR(Tbl_ResidentData[[#This Row],[S24]]=TRUE,Tbl_ResidentData[[#This Row],[P24]]=TRUE),1,0)</f>
        <v>0</v>
      </c>
      <c r="DM57" s="123" t="str">
        <f ca="1">IFERROR(INDEX($CO$4:$DL$4,MATCH(TRUE,INDEX((Tbl_ResidentData[[#This Row],[Over1]:[Over24]]&lt;&gt;0),0),0)),"")</f>
        <v/>
      </c>
      <c r="DN57" s="133" t="str">
        <f>IFERROR(INDEX(Tbl_PDSAData[Last DRT],MATCH(Tbl_ResidentData[Resident Name '[last, first']],Tbl_PDSAData[Resident Name (last, first)],0)),"")</f>
        <v/>
      </c>
      <c r="DO57" s="222" t="str">
        <f>IFERROR(INDEX(Tbl_PDSAData[Last MR],MATCH(Tbl_ResidentData[Resident Name '[last, first']],Tbl_PDSAData[Resident Name (last, first)],0)),"")</f>
        <v/>
      </c>
    </row>
    <row r="58" spans="1:119" x14ac:dyDescent="0.25">
      <c r="A58" s="179"/>
      <c r="B58" s="180"/>
      <c r="C58" s="180"/>
      <c r="D58" s="218"/>
      <c r="E58" s="179"/>
      <c r="F58" s="181"/>
      <c r="G58" s="181"/>
      <c r="H58" s="375"/>
      <c r="I58" s="185"/>
      <c r="J58" s="387"/>
      <c r="K58" s="178"/>
      <c r="L58" s="388"/>
      <c r="M58" s="185"/>
      <c r="N58" s="386"/>
      <c r="O58" s="178"/>
      <c r="P58" s="388"/>
      <c r="Q58" s="394"/>
      <c r="R58" s="388"/>
      <c r="S58" s="131" t="str">
        <f>IF(ISBLANK(Tbl_ResidentData[[#This Row],[Discharge '[mmm-yyyy']]]),IF(ISBLANK(Tbl_ResidentData[[#This Row],[Enrollment '[mmm-yyyy']]]),"","In Care Home"),"Discharged")</f>
        <v/>
      </c>
      <c r="T58" s="119" t="str">
        <f>IF(ISBLANK(Tbl_ResidentData[[#This Row],[Diagnosis (RAI)]]),IF(ISBLANK(Tbl_ResidentData[[#This Row],[Resident Name '[last, first']]]),"",0),IF(Tbl_ResidentData[[#This Row],[Diagnosis (RAI)]]="Other (see clinical notes)",0,1))</f>
        <v/>
      </c>
      <c r="U58" s="120" t="str">
        <f ca="1">IF(U$4&gt;NOW(),"-",IF(ISBLANK(Tbl_ResidentData[[#This Row],[Enrollment '[mmm-yyyy']]]),"-",AND((Tbl_ResidentData[[#This Row],[Enrollment '[mmm-yyyy']]]&lt;=U$4),IF(ISBLANK(Tbl_ResidentData[[#This Row],[Discharge '[mmm-yyyy']]]),TRUE,(Tbl_ResidentData[[#This Row],[Discharge '[mmm-yyyy']]]&gt;=U$4)))))</f>
        <v>-</v>
      </c>
      <c r="V58" s="121" t="str">
        <f ca="1">IF(V$4&gt;NOW(),"-",IF(ISBLANK(Tbl_ResidentData[[#This Row],[Enrollment '[mmm-yyyy']]]),"-",AND((Tbl_ResidentData[[#This Row],[Enrollment '[mmm-yyyy']]]&lt;=V$4),IF(ISBLANK(Tbl_ResidentData[[#This Row],[Discharge '[mmm-yyyy']]]),TRUE,(Tbl_ResidentData[[#This Row],[Discharge '[mmm-yyyy']]]&gt;=V$4)))))</f>
        <v>-</v>
      </c>
      <c r="W58" s="121" t="str">
        <f ca="1">IF(W$4&gt;NOW(),"-",IF(ISBLANK(Tbl_ResidentData[[#This Row],[Enrollment '[mmm-yyyy']]]),"-",AND((Tbl_ResidentData[[#This Row],[Enrollment '[mmm-yyyy']]]&lt;=W$4),IF(ISBLANK(Tbl_ResidentData[[#This Row],[Discharge '[mmm-yyyy']]]),TRUE,(Tbl_ResidentData[[#This Row],[Discharge '[mmm-yyyy']]]&gt;=W$4)))))</f>
        <v>-</v>
      </c>
      <c r="X58" s="121" t="str">
        <f ca="1">IF(X$4&gt;NOW(),"-",IF(ISBLANK(Tbl_ResidentData[[#This Row],[Enrollment '[mmm-yyyy']]]),"-",AND((Tbl_ResidentData[[#This Row],[Enrollment '[mmm-yyyy']]]&lt;=X$4),IF(ISBLANK(Tbl_ResidentData[[#This Row],[Discharge '[mmm-yyyy']]]),TRUE,(Tbl_ResidentData[[#This Row],[Discharge '[mmm-yyyy']]]&gt;=X$4)))))</f>
        <v>-</v>
      </c>
      <c r="Y58" s="121" t="str">
        <f ca="1">IF(Y$4&gt;NOW(),"-",IF(ISBLANK(Tbl_ResidentData[[#This Row],[Enrollment '[mmm-yyyy']]]),"-",AND((Tbl_ResidentData[[#This Row],[Enrollment '[mmm-yyyy']]]&lt;=Y$4),IF(ISBLANK(Tbl_ResidentData[[#This Row],[Discharge '[mmm-yyyy']]]),TRUE,(Tbl_ResidentData[[#This Row],[Discharge '[mmm-yyyy']]]&gt;=Y$4)))))</f>
        <v>-</v>
      </c>
      <c r="Z58" s="121" t="str">
        <f ca="1">IF(Z$4&gt;NOW(),"-",IF(ISBLANK(Tbl_ResidentData[[#This Row],[Enrollment '[mmm-yyyy']]]),"-",AND((Tbl_ResidentData[[#This Row],[Enrollment '[mmm-yyyy']]]&lt;=Z$4),IF(ISBLANK(Tbl_ResidentData[[#This Row],[Discharge '[mmm-yyyy']]]),TRUE,(Tbl_ResidentData[[#This Row],[Discharge '[mmm-yyyy']]]&gt;=Z$4)))))</f>
        <v>-</v>
      </c>
      <c r="AA58" s="121" t="str">
        <f ca="1">IF(AA$4&gt;NOW(),"-",IF(ISBLANK(Tbl_ResidentData[[#This Row],[Enrollment '[mmm-yyyy']]]),"-",AND((Tbl_ResidentData[[#This Row],[Enrollment '[mmm-yyyy']]]&lt;=AA$4),IF(ISBLANK(Tbl_ResidentData[[#This Row],[Discharge '[mmm-yyyy']]]),TRUE,(Tbl_ResidentData[[#This Row],[Discharge '[mmm-yyyy']]]&gt;=AA$4)))))</f>
        <v>-</v>
      </c>
      <c r="AB58" s="121" t="str">
        <f ca="1">IF(AB$4&gt;NOW(),"-",IF(ISBLANK(Tbl_ResidentData[[#This Row],[Enrollment '[mmm-yyyy']]]),"-",AND((Tbl_ResidentData[[#This Row],[Enrollment '[mmm-yyyy']]]&lt;=AB$4),IF(ISBLANK(Tbl_ResidentData[[#This Row],[Discharge '[mmm-yyyy']]]),TRUE,(Tbl_ResidentData[[#This Row],[Discharge '[mmm-yyyy']]]&gt;=AB$4)))))</f>
        <v>-</v>
      </c>
      <c r="AC58" s="121" t="str">
        <f ca="1">IF(AC$4&gt;NOW(),"-",IF(ISBLANK(Tbl_ResidentData[[#This Row],[Enrollment '[mmm-yyyy']]]),"-",AND((Tbl_ResidentData[[#This Row],[Enrollment '[mmm-yyyy']]]&lt;=AC$4),IF(ISBLANK(Tbl_ResidentData[[#This Row],[Discharge '[mmm-yyyy']]]),TRUE,(Tbl_ResidentData[[#This Row],[Discharge '[mmm-yyyy']]]&gt;=AC$4)))))</f>
        <v>-</v>
      </c>
      <c r="AD58" s="121" t="str">
        <f ca="1">IF(AD$4&gt;NOW(),"-",IF(ISBLANK(Tbl_ResidentData[[#This Row],[Enrollment '[mmm-yyyy']]]),"-",AND((Tbl_ResidentData[[#This Row],[Enrollment '[mmm-yyyy']]]&lt;=AD$4),IF(ISBLANK(Tbl_ResidentData[[#This Row],[Discharge '[mmm-yyyy']]]),TRUE,(Tbl_ResidentData[[#This Row],[Discharge '[mmm-yyyy']]]&gt;=AD$4)))))</f>
        <v>-</v>
      </c>
      <c r="AE58" s="121" t="str">
        <f ca="1">IF(AE$4&gt;NOW(),"-",IF(ISBLANK(Tbl_ResidentData[[#This Row],[Enrollment '[mmm-yyyy']]]),"-",AND((Tbl_ResidentData[[#This Row],[Enrollment '[mmm-yyyy']]]&lt;=AE$4),IF(ISBLANK(Tbl_ResidentData[[#This Row],[Discharge '[mmm-yyyy']]]),TRUE,(Tbl_ResidentData[[#This Row],[Discharge '[mmm-yyyy']]]&gt;=AE$4)))))</f>
        <v>-</v>
      </c>
      <c r="AF58" s="121" t="str">
        <f ca="1">IF(AF$4&gt;NOW(),"-",IF(ISBLANK(Tbl_ResidentData[[#This Row],[Enrollment '[mmm-yyyy']]]),"-",AND((Tbl_ResidentData[[#This Row],[Enrollment '[mmm-yyyy']]]&lt;=AF$4),IF(ISBLANK(Tbl_ResidentData[[#This Row],[Discharge '[mmm-yyyy']]]),TRUE,(Tbl_ResidentData[[#This Row],[Discharge '[mmm-yyyy']]]&gt;=AF$4)))))</f>
        <v>-</v>
      </c>
      <c r="AG58" s="121" t="str">
        <f ca="1">IF(AG$4&gt;NOW(),"-",IF(ISBLANK(Tbl_ResidentData[[#This Row],[Enrollment '[mmm-yyyy']]]),"-",AND((Tbl_ResidentData[[#This Row],[Enrollment '[mmm-yyyy']]]&lt;=AG$4),IF(ISBLANK(Tbl_ResidentData[[#This Row],[Discharge '[mmm-yyyy']]]),TRUE,(Tbl_ResidentData[[#This Row],[Discharge '[mmm-yyyy']]]&gt;=AG$4)))))</f>
        <v>-</v>
      </c>
      <c r="AH58" s="121" t="str">
        <f ca="1">IF(AH$4&gt;NOW(),"-",IF(ISBLANK(Tbl_ResidentData[[#This Row],[Enrollment '[mmm-yyyy']]]),"-",AND((Tbl_ResidentData[[#This Row],[Enrollment '[mmm-yyyy']]]&lt;=AH$4),IF(ISBLANK(Tbl_ResidentData[[#This Row],[Discharge '[mmm-yyyy']]]),TRUE,(Tbl_ResidentData[[#This Row],[Discharge '[mmm-yyyy']]]&gt;=AH$4)))))</f>
        <v>-</v>
      </c>
      <c r="AI58" s="121" t="str">
        <f ca="1">IF(AI$4&gt;NOW(),"-",IF(ISBLANK(Tbl_ResidentData[[#This Row],[Enrollment '[mmm-yyyy']]]),"-",AND((Tbl_ResidentData[[#This Row],[Enrollment '[mmm-yyyy']]]&lt;=AI$4),IF(ISBLANK(Tbl_ResidentData[[#This Row],[Discharge '[mmm-yyyy']]]),TRUE,(Tbl_ResidentData[[#This Row],[Discharge '[mmm-yyyy']]]&gt;=AI$4)))))</f>
        <v>-</v>
      </c>
      <c r="AJ58" s="121" t="str">
        <f ca="1">IF(AJ$4&gt;NOW(),"-",IF(ISBLANK(Tbl_ResidentData[[#This Row],[Enrollment '[mmm-yyyy']]]),"-",AND((Tbl_ResidentData[[#This Row],[Enrollment '[mmm-yyyy']]]&lt;=AJ$4),IF(ISBLANK(Tbl_ResidentData[[#This Row],[Discharge '[mmm-yyyy']]]),TRUE,(Tbl_ResidentData[[#This Row],[Discharge '[mmm-yyyy']]]&gt;=AJ$4)))))</f>
        <v>-</v>
      </c>
      <c r="AK58" s="121" t="str">
        <f ca="1">IF(AK$4&gt;NOW(),"-",IF(ISBLANK(Tbl_ResidentData[[#This Row],[Enrollment '[mmm-yyyy']]]),"-",AND((Tbl_ResidentData[[#This Row],[Enrollment '[mmm-yyyy']]]&lt;=AK$4),IF(ISBLANK(Tbl_ResidentData[[#This Row],[Discharge '[mmm-yyyy']]]),TRUE,(Tbl_ResidentData[[#This Row],[Discharge '[mmm-yyyy']]]&gt;=AK$4)))))</f>
        <v>-</v>
      </c>
      <c r="AL58" s="121" t="str">
        <f ca="1">IF(AL$4&gt;NOW(),"-",IF(ISBLANK(Tbl_ResidentData[[#This Row],[Enrollment '[mmm-yyyy']]]),"-",AND((Tbl_ResidentData[[#This Row],[Enrollment '[mmm-yyyy']]]&lt;=AL$4),IF(ISBLANK(Tbl_ResidentData[[#This Row],[Discharge '[mmm-yyyy']]]),TRUE,(Tbl_ResidentData[[#This Row],[Discharge '[mmm-yyyy']]]&gt;=AL$4)))))</f>
        <v>-</v>
      </c>
      <c r="AM58" s="121" t="str">
        <f ca="1">IF(AM$4&gt;NOW(),"-",IF(ISBLANK(Tbl_ResidentData[[#This Row],[Enrollment '[mmm-yyyy']]]),"-",AND((Tbl_ResidentData[[#This Row],[Enrollment '[mmm-yyyy']]]&lt;=AM$4),IF(ISBLANK(Tbl_ResidentData[[#This Row],[Discharge '[mmm-yyyy']]]),TRUE,(Tbl_ResidentData[[#This Row],[Discharge '[mmm-yyyy']]]&gt;=AM$4)))))</f>
        <v>-</v>
      </c>
      <c r="AN58" s="121" t="str">
        <f ca="1">IF(AN$4&gt;NOW(),"-",IF(ISBLANK(Tbl_ResidentData[[#This Row],[Enrollment '[mmm-yyyy']]]),"-",AND((Tbl_ResidentData[[#This Row],[Enrollment '[mmm-yyyy']]]&lt;=AN$4),IF(ISBLANK(Tbl_ResidentData[[#This Row],[Discharge '[mmm-yyyy']]]),TRUE,(Tbl_ResidentData[[#This Row],[Discharge '[mmm-yyyy']]]&gt;=AN$4)))))</f>
        <v>-</v>
      </c>
      <c r="AO58" s="121" t="str">
        <f ca="1">IF(AO$4&gt;NOW(),"-",IF(ISBLANK(Tbl_ResidentData[[#This Row],[Enrollment '[mmm-yyyy']]]),"-",AND((Tbl_ResidentData[[#This Row],[Enrollment '[mmm-yyyy']]]&lt;=AO$4),IF(ISBLANK(Tbl_ResidentData[[#This Row],[Discharge '[mmm-yyyy']]]),TRUE,(Tbl_ResidentData[[#This Row],[Discharge '[mmm-yyyy']]]&gt;=AO$4)))))</f>
        <v>-</v>
      </c>
      <c r="AP58" s="121" t="str">
        <f ca="1">IF(AP$4&gt;NOW(),"-",IF(ISBLANK(Tbl_ResidentData[[#This Row],[Enrollment '[mmm-yyyy']]]),"-",AND((Tbl_ResidentData[[#This Row],[Enrollment '[mmm-yyyy']]]&lt;=AP$4),IF(ISBLANK(Tbl_ResidentData[[#This Row],[Discharge '[mmm-yyyy']]]),TRUE,(Tbl_ResidentData[[#This Row],[Discharge '[mmm-yyyy']]]&gt;=AP$4)))))</f>
        <v>-</v>
      </c>
      <c r="AQ58" s="121" t="str">
        <f ca="1">IF(AQ$4&gt;NOW(),"-",IF(ISBLANK(Tbl_ResidentData[[#This Row],[Enrollment '[mmm-yyyy']]]),"-",AND((Tbl_ResidentData[[#This Row],[Enrollment '[mmm-yyyy']]]&lt;=AQ$4),IF(ISBLANK(Tbl_ResidentData[[#This Row],[Discharge '[mmm-yyyy']]]),TRUE,(Tbl_ResidentData[[#This Row],[Discharge '[mmm-yyyy']]]&gt;=AQ$4)))))</f>
        <v>-</v>
      </c>
      <c r="AR58" s="122" t="str">
        <f ca="1">IF(AR$4&gt;NOW(),"-",IF(ISBLANK(Tbl_ResidentData[[#This Row],[Enrollment '[mmm-yyyy']]]),"-",AND((Tbl_ResidentData[[#This Row],[Enrollment '[mmm-yyyy']]]&lt;=AR$4),IF(ISBLANK(Tbl_ResidentData[[#This Row],[Discharge '[mmm-yyyy']]]),TRUE,(Tbl_ResidentData[[#This Row],[Discharge '[mmm-yyyy']]]&gt;=AR$4)))))</f>
        <v>-</v>
      </c>
      <c r="AS5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5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5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5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5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5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5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5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5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5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5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5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5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5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5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5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5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5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5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5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5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5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5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5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58" s="120" t="b">
        <f ca="1">AND(Tbl_ResidentData[[#This Row],[PRN Med Started]]&lt;&gt;"",Tbl_ResidentData[[#This Row],[PRN Med Started]]&lt;=NOW(),Tbl_ResidentData[[#This Row],[PRN Med Started]]&lt;=AS$4,OR(Tbl_ResidentData[[#This Row],[PRN Med Discontinued]]&gt;AS$4,ISBLANK(Tbl_ResidentData[[#This Row],[PRN Med Discontinued]])))</f>
        <v>0</v>
      </c>
      <c r="BR58" s="121" t="b">
        <f ca="1">AND(Tbl_ResidentData[[#This Row],[PRN Med Started]]&lt;&gt;"",Tbl_ResidentData[[#This Row],[PRN Med Started]]&lt;=NOW(),Tbl_ResidentData[[#This Row],[PRN Med Started]]&lt;=AT$4,OR(Tbl_ResidentData[[#This Row],[PRN Med Discontinued]]&gt;AT$4,ISBLANK(Tbl_ResidentData[[#This Row],[PRN Med Discontinued]])))</f>
        <v>0</v>
      </c>
      <c r="BS58" s="121" t="b">
        <f ca="1">AND(Tbl_ResidentData[[#This Row],[PRN Med Started]]&lt;&gt;"",Tbl_ResidentData[[#This Row],[PRN Med Started]]&lt;=NOW(),Tbl_ResidentData[[#This Row],[PRN Med Started]]&lt;=AU$4,OR(Tbl_ResidentData[[#This Row],[PRN Med Discontinued]]&gt;AU$4,ISBLANK(Tbl_ResidentData[[#This Row],[PRN Med Discontinued]])))</f>
        <v>0</v>
      </c>
      <c r="BT58" s="121" t="b">
        <f ca="1">AND(Tbl_ResidentData[[#This Row],[PRN Med Started]]&lt;&gt;"",Tbl_ResidentData[[#This Row],[PRN Med Started]]&lt;=NOW(),Tbl_ResidentData[[#This Row],[PRN Med Started]]&lt;=AV$4,OR(Tbl_ResidentData[[#This Row],[PRN Med Discontinued]]&gt;AV$4,ISBLANK(Tbl_ResidentData[[#This Row],[PRN Med Discontinued]])))</f>
        <v>0</v>
      </c>
      <c r="BU58" s="121" t="b">
        <f ca="1">AND(Tbl_ResidentData[[#This Row],[PRN Med Started]]&lt;&gt;"",Tbl_ResidentData[[#This Row],[PRN Med Started]]&lt;=NOW(),Tbl_ResidentData[[#This Row],[PRN Med Started]]&lt;=AW$4,OR(Tbl_ResidentData[[#This Row],[PRN Med Discontinued]]&gt;AW$4,ISBLANK(Tbl_ResidentData[[#This Row],[PRN Med Discontinued]])))</f>
        <v>0</v>
      </c>
      <c r="BV58" s="121" t="b">
        <f ca="1">AND(Tbl_ResidentData[[#This Row],[PRN Med Started]]&lt;&gt;"",Tbl_ResidentData[[#This Row],[PRN Med Started]]&lt;=NOW(),Tbl_ResidentData[[#This Row],[PRN Med Started]]&lt;=AX$4,OR(Tbl_ResidentData[[#This Row],[PRN Med Discontinued]]&gt;AX$4,ISBLANK(Tbl_ResidentData[[#This Row],[PRN Med Discontinued]])))</f>
        <v>0</v>
      </c>
      <c r="BW58" s="121" t="b">
        <f ca="1">AND(Tbl_ResidentData[[#This Row],[PRN Med Started]]&lt;&gt;"",Tbl_ResidentData[[#This Row],[PRN Med Started]]&lt;=NOW(),Tbl_ResidentData[[#This Row],[PRN Med Started]]&lt;=AY$4,OR(Tbl_ResidentData[[#This Row],[PRN Med Discontinued]]&gt;AY$4,ISBLANK(Tbl_ResidentData[[#This Row],[PRN Med Discontinued]])))</f>
        <v>0</v>
      </c>
      <c r="BX58" s="121" t="b">
        <f ca="1">AND(Tbl_ResidentData[[#This Row],[PRN Med Started]]&lt;&gt;"",Tbl_ResidentData[[#This Row],[PRN Med Started]]&lt;=NOW(),Tbl_ResidentData[[#This Row],[PRN Med Started]]&lt;=AZ$4,OR(Tbl_ResidentData[[#This Row],[PRN Med Discontinued]]&gt;AZ$4,ISBLANK(Tbl_ResidentData[[#This Row],[PRN Med Discontinued]])))</f>
        <v>0</v>
      </c>
      <c r="BY58" s="121" t="b">
        <f ca="1">AND(Tbl_ResidentData[[#This Row],[PRN Med Started]]&lt;&gt;"",Tbl_ResidentData[[#This Row],[PRN Med Started]]&lt;=NOW(),Tbl_ResidentData[[#This Row],[PRN Med Started]]&lt;=BA$4,OR(Tbl_ResidentData[[#This Row],[PRN Med Discontinued]]&gt;BA$4,ISBLANK(Tbl_ResidentData[[#This Row],[PRN Med Discontinued]])))</f>
        <v>0</v>
      </c>
      <c r="BZ58" s="121" t="b">
        <f ca="1">AND(Tbl_ResidentData[[#This Row],[PRN Med Started]]&lt;&gt;"",Tbl_ResidentData[[#This Row],[PRN Med Started]]&lt;=NOW(),Tbl_ResidentData[[#This Row],[PRN Med Started]]&lt;=BB$4,OR(Tbl_ResidentData[[#This Row],[PRN Med Discontinued]]&gt;BB$4,ISBLANK(Tbl_ResidentData[[#This Row],[PRN Med Discontinued]])))</f>
        <v>0</v>
      </c>
      <c r="CA58" s="121" t="b">
        <f ca="1">AND(Tbl_ResidentData[[#This Row],[PRN Med Started]]&lt;&gt;"",Tbl_ResidentData[[#This Row],[PRN Med Started]]&lt;=NOW(),Tbl_ResidentData[[#This Row],[PRN Med Started]]&lt;=BC$4,OR(Tbl_ResidentData[[#This Row],[PRN Med Discontinued]]&gt;BC$4,ISBLANK(Tbl_ResidentData[[#This Row],[PRN Med Discontinued]])))</f>
        <v>0</v>
      </c>
      <c r="CB58" s="121" t="b">
        <f ca="1">AND(Tbl_ResidentData[[#This Row],[PRN Med Started]]&lt;&gt;"",Tbl_ResidentData[[#This Row],[PRN Med Started]]&lt;=NOW(),Tbl_ResidentData[[#This Row],[PRN Med Started]]&lt;=BD$4,OR(Tbl_ResidentData[[#This Row],[PRN Med Discontinued]]&gt;BD$4,ISBLANK(Tbl_ResidentData[[#This Row],[PRN Med Discontinued]])))</f>
        <v>0</v>
      </c>
      <c r="CC58" s="121" t="b">
        <f ca="1">AND(Tbl_ResidentData[[#This Row],[PRN Med Started]]&lt;&gt;"",Tbl_ResidentData[[#This Row],[PRN Med Started]]&lt;=NOW(),Tbl_ResidentData[[#This Row],[PRN Med Started]]&lt;=BE$4,OR(Tbl_ResidentData[[#This Row],[PRN Med Discontinued]]&gt;BE$4,ISBLANK(Tbl_ResidentData[[#This Row],[PRN Med Discontinued]])))</f>
        <v>0</v>
      </c>
      <c r="CD58" s="121" t="b">
        <f ca="1">AND(Tbl_ResidentData[[#This Row],[PRN Med Started]]&lt;&gt;"",Tbl_ResidentData[[#This Row],[PRN Med Started]]&lt;=NOW(),Tbl_ResidentData[[#This Row],[PRN Med Started]]&lt;=BF$4,OR(Tbl_ResidentData[[#This Row],[PRN Med Discontinued]]&gt;BF$4,ISBLANK(Tbl_ResidentData[[#This Row],[PRN Med Discontinued]])))</f>
        <v>0</v>
      </c>
      <c r="CE58" s="121" t="b">
        <f ca="1">AND(Tbl_ResidentData[[#This Row],[PRN Med Started]]&lt;&gt;"",Tbl_ResidentData[[#This Row],[PRN Med Started]]&lt;=NOW(),Tbl_ResidentData[[#This Row],[PRN Med Started]]&lt;=BG$4,OR(Tbl_ResidentData[[#This Row],[PRN Med Discontinued]]&gt;BG$4,ISBLANK(Tbl_ResidentData[[#This Row],[PRN Med Discontinued]])))</f>
        <v>0</v>
      </c>
      <c r="CF58" s="121" t="b">
        <f ca="1">AND(Tbl_ResidentData[[#This Row],[PRN Med Started]]&lt;&gt;"",Tbl_ResidentData[[#This Row],[PRN Med Started]]&lt;=NOW(),Tbl_ResidentData[[#This Row],[PRN Med Started]]&lt;=BH$4,OR(Tbl_ResidentData[[#This Row],[PRN Med Discontinued]]&gt;BH$4,ISBLANK(Tbl_ResidentData[[#This Row],[PRN Med Discontinued]])))</f>
        <v>0</v>
      </c>
      <c r="CG58" s="121" t="b">
        <f ca="1">AND(Tbl_ResidentData[[#This Row],[PRN Med Started]]&lt;&gt;"",Tbl_ResidentData[[#This Row],[PRN Med Started]]&lt;=NOW(),Tbl_ResidentData[[#This Row],[PRN Med Started]]&lt;=BI$4,OR(Tbl_ResidentData[[#This Row],[PRN Med Discontinued]]&gt;BI$4,ISBLANK(Tbl_ResidentData[[#This Row],[PRN Med Discontinued]])))</f>
        <v>0</v>
      </c>
      <c r="CH58" s="121" t="b">
        <f ca="1">AND(Tbl_ResidentData[[#This Row],[PRN Med Started]]&lt;&gt;"",Tbl_ResidentData[[#This Row],[PRN Med Started]]&lt;=NOW(),Tbl_ResidentData[[#This Row],[PRN Med Started]]&lt;=BJ$4,OR(Tbl_ResidentData[[#This Row],[PRN Med Discontinued]]&gt;BJ$4,ISBLANK(Tbl_ResidentData[[#This Row],[PRN Med Discontinued]])))</f>
        <v>0</v>
      </c>
      <c r="CI58" s="121" t="b">
        <f ca="1">AND(Tbl_ResidentData[[#This Row],[PRN Med Started]]&lt;&gt;"",Tbl_ResidentData[[#This Row],[PRN Med Started]]&lt;=NOW(),Tbl_ResidentData[[#This Row],[PRN Med Started]]&lt;=BK$4,OR(Tbl_ResidentData[[#This Row],[PRN Med Discontinued]]&gt;BK$4,ISBLANK(Tbl_ResidentData[[#This Row],[PRN Med Discontinued]])))</f>
        <v>0</v>
      </c>
      <c r="CJ58" s="121" t="b">
        <f ca="1">AND(Tbl_ResidentData[[#This Row],[PRN Med Started]]&lt;&gt;"",Tbl_ResidentData[[#This Row],[PRN Med Started]]&lt;=NOW(),Tbl_ResidentData[[#This Row],[PRN Med Started]]&lt;=BL$4,OR(Tbl_ResidentData[[#This Row],[PRN Med Discontinued]]&gt;BL$4,ISBLANK(Tbl_ResidentData[[#This Row],[PRN Med Discontinued]])))</f>
        <v>0</v>
      </c>
      <c r="CK58" s="121" t="b">
        <f ca="1">AND(Tbl_ResidentData[[#This Row],[PRN Med Started]]&lt;&gt;"",Tbl_ResidentData[[#This Row],[PRN Med Started]]&lt;=NOW(),Tbl_ResidentData[[#This Row],[PRN Med Started]]&lt;=BM$4,OR(Tbl_ResidentData[[#This Row],[PRN Med Discontinued]]&gt;BM$4,ISBLANK(Tbl_ResidentData[[#This Row],[PRN Med Discontinued]])))</f>
        <v>0</v>
      </c>
      <c r="CL58" s="121" t="b">
        <f ca="1">AND(Tbl_ResidentData[[#This Row],[PRN Med Started]]&lt;&gt;"",Tbl_ResidentData[[#This Row],[PRN Med Started]]&lt;=NOW(),Tbl_ResidentData[[#This Row],[PRN Med Started]]&lt;=BN$4,OR(Tbl_ResidentData[[#This Row],[PRN Med Discontinued]]&gt;BN$4,ISBLANK(Tbl_ResidentData[[#This Row],[PRN Med Discontinued]])))</f>
        <v>0</v>
      </c>
      <c r="CM58" s="121" t="b">
        <f ca="1">AND(Tbl_ResidentData[[#This Row],[PRN Med Started]]&lt;&gt;"",Tbl_ResidentData[[#This Row],[PRN Med Started]]&lt;=NOW(),Tbl_ResidentData[[#This Row],[PRN Med Started]]&lt;=BO$4,OR(Tbl_ResidentData[[#This Row],[PRN Med Discontinued]]&gt;BO$4,ISBLANK(Tbl_ResidentData[[#This Row],[PRN Med Discontinued]])))</f>
        <v>0</v>
      </c>
      <c r="CN58" s="122" t="b">
        <f ca="1">AND(Tbl_ResidentData[[#This Row],[PRN Med Started]]&lt;&gt;"",Tbl_ResidentData[[#This Row],[PRN Med Started]]&lt;=NOW(),Tbl_ResidentData[[#This Row],[PRN Med Started]]&lt;=BP$4,OR(Tbl_ResidentData[[#This Row],[PRN Med Discontinued]]&gt;BP$4,ISBLANK(Tbl_ResidentData[[#This Row],[PRN Med Discontinued]])))</f>
        <v>0</v>
      </c>
      <c r="CO58" s="120">
        <f ca="1">IF(OR(Tbl_ResidentData[[#This Row],[S1]]=TRUE,Tbl_ResidentData[[#This Row],[P1]]=TRUE),1,0)</f>
        <v>0</v>
      </c>
      <c r="CP58" s="121">
        <f ca="1">IF(OR(Tbl_ResidentData[[#This Row],[S2]]=TRUE,Tbl_ResidentData[[#This Row],[P2]]=TRUE),1,0)</f>
        <v>0</v>
      </c>
      <c r="CQ58" s="121">
        <f ca="1">IF(OR(Tbl_ResidentData[[#This Row],[S3]]=TRUE,Tbl_ResidentData[[#This Row],[P3]]=TRUE),1,0)</f>
        <v>0</v>
      </c>
      <c r="CR58" s="120">
        <f ca="1">IF(OR(Tbl_ResidentData[[#This Row],[S4]]=TRUE,Tbl_ResidentData[[#This Row],[P4]]=TRUE),1,0)</f>
        <v>0</v>
      </c>
      <c r="CS58" s="120">
        <f ca="1">IF(OR(Tbl_ResidentData[[#This Row],[S5]]=TRUE,Tbl_ResidentData[[#This Row],[P5]]=TRUE),1,0)</f>
        <v>0</v>
      </c>
      <c r="CT58" s="120">
        <f ca="1">IF(OR(Tbl_ResidentData[[#This Row],[S6]]=TRUE,Tbl_ResidentData[[#This Row],[P6]]=TRUE),1,0)</f>
        <v>0</v>
      </c>
      <c r="CU58" s="120">
        <f ca="1">IF(OR(Tbl_ResidentData[[#This Row],[S7]]=TRUE,Tbl_ResidentData[[#This Row],[P7]]=TRUE),1,0)</f>
        <v>0</v>
      </c>
      <c r="CV58" s="120">
        <f ca="1">IF(OR(Tbl_ResidentData[[#This Row],[S8]]=TRUE,Tbl_ResidentData[[#This Row],[P8]]=TRUE),1,0)</f>
        <v>0</v>
      </c>
      <c r="CW58" s="120">
        <f ca="1">IF(OR(Tbl_ResidentData[[#This Row],[S9]]=TRUE,Tbl_ResidentData[[#This Row],[P9]]=TRUE),1,0)</f>
        <v>0</v>
      </c>
      <c r="CX58" s="120">
        <f ca="1">IF(OR(Tbl_ResidentData[[#This Row],[S10]]=TRUE,Tbl_ResidentData[[#This Row],[P10]]=TRUE),1,0)</f>
        <v>0</v>
      </c>
      <c r="CY58" s="120">
        <f ca="1">IF(OR(Tbl_ResidentData[[#This Row],[S11]]=TRUE,Tbl_ResidentData[[#This Row],[P11]]=TRUE),1,0)</f>
        <v>0</v>
      </c>
      <c r="CZ58" s="120">
        <f ca="1">IF(OR(Tbl_ResidentData[[#This Row],[S12]]=TRUE,Tbl_ResidentData[[#This Row],[P12]]=TRUE),1,0)</f>
        <v>0</v>
      </c>
      <c r="DA58" s="120">
        <f ca="1">IF(OR(Tbl_ResidentData[[#This Row],[S13]]=TRUE,Tbl_ResidentData[[#This Row],[P13]]=TRUE),1,0)</f>
        <v>0</v>
      </c>
      <c r="DB58" s="120">
        <f ca="1">IF(OR(Tbl_ResidentData[[#This Row],[S14]]=TRUE,Tbl_ResidentData[[#This Row],[P14]]=TRUE),1,0)</f>
        <v>0</v>
      </c>
      <c r="DC58" s="120">
        <f ca="1">IF(OR(Tbl_ResidentData[[#This Row],[S15]]=TRUE,Tbl_ResidentData[[#This Row],[P15]]=TRUE),1,0)</f>
        <v>0</v>
      </c>
      <c r="DD58" s="120">
        <f ca="1">IF(OR(Tbl_ResidentData[[#This Row],[S16]]=TRUE,Tbl_ResidentData[[#This Row],[P16]]=TRUE),1,0)</f>
        <v>0</v>
      </c>
      <c r="DE58" s="120">
        <f ca="1">IF(OR(Tbl_ResidentData[[#This Row],[S17]]=TRUE,Tbl_ResidentData[[#This Row],[P17]]=TRUE),1,0)</f>
        <v>0</v>
      </c>
      <c r="DF58" s="120">
        <f ca="1">IF(OR(Tbl_ResidentData[[#This Row],[S18]]=TRUE,Tbl_ResidentData[[#This Row],[P18]]=TRUE),1,0)</f>
        <v>0</v>
      </c>
      <c r="DG58" s="120">
        <f ca="1">IF(OR(Tbl_ResidentData[[#This Row],[S19]]=TRUE,Tbl_ResidentData[[#This Row],[P19]]=TRUE),1,0)</f>
        <v>0</v>
      </c>
      <c r="DH58" s="120">
        <f ca="1">IF(OR(Tbl_ResidentData[[#This Row],[S20]]=TRUE,Tbl_ResidentData[[#This Row],[P20]]=TRUE),1,0)</f>
        <v>0</v>
      </c>
      <c r="DI58" s="120">
        <f ca="1">IF(OR(Tbl_ResidentData[[#This Row],[S21]]=TRUE,Tbl_ResidentData[[#This Row],[P21]]=TRUE),1,0)</f>
        <v>0</v>
      </c>
      <c r="DJ58" s="120">
        <f ca="1">IF(OR(Tbl_ResidentData[[#This Row],[S22]]=TRUE,Tbl_ResidentData[[#This Row],[P22]]=TRUE),1,0)</f>
        <v>0</v>
      </c>
      <c r="DK58" s="120">
        <f ca="1">IF(OR(Tbl_ResidentData[[#This Row],[S23]]=TRUE,Tbl_ResidentData[[#This Row],[P23]]=TRUE),1,0)</f>
        <v>0</v>
      </c>
      <c r="DL58" s="120">
        <f ca="1">IF(OR(Tbl_ResidentData[[#This Row],[S24]]=TRUE,Tbl_ResidentData[[#This Row],[P24]]=TRUE),1,0)</f>
        <v>0</v>
      </c>
      <c r="DM58" s="123" t="str">
        <f ca="1">IFERROR(INDEX($CO$4:$DL$4,MATCH(TRUE,INDEX((Tbl_ResidentData[[#This Row],[Over1]:[Over24]]&lt;&gt;0),0),0)),"")</f>
        <v/>
      </c>
      <c r="DN58" s="133" t="str">
        <f>IFERROR(INDEX(Tbl_PDSAData[Last DRT],MATCH(Tbl_ResidentData[Resident Name '[last, first']],Tbl_PDSAData[Resident Name (last, first)],0)),"")</f>
        <v/>
      </c>
      <c r="DO58" s="222" t="str">
        <f>IFERROR(INDEX(Tbl_PDSAData[Last MR],MATCH(Tbl_ResidentData[Resident Name '[last, first']],Tbl_PDSAData[Resident Name (last, first)],0)),"")</f>
        <v/>
      </c>
    </row>
    <row r="59" spans="1:119" x14ac:dyDescent="0.25">
      <c r="A59" s="179"/>
      <c r="B59" s="180"/>
      <c r="C59" s="180"/>
      <c r="D59" s="218"/>
      <c r="E59" s="179"/>
      <c r="F59" s="181"/>
      <c r="G59" s="181"/>
      <c r="H59" s="375"/>
      <c r="I59" s="185"/>
      <c r="J59" s="387"/>
      <c r="K59" s="178"/>
      <c r="L59" s="388"/>
      <c r="M59" s="185"/>
      <c r="N59" s="386"/>
      <c r="O59" s="178"/>
      <c r="P59" s="388"/>
      <c r="Q59" s="395"/>
      <c r="R59" s="396"/>
      <c r="S59" s="131" t="str">
        <f>IF(ISBLANK(Tbl_ResidentData[[#This Row],[Discharge '[mmm-yyyy']]]),IF(ISBLANK(Tbl_ResidentData[[#This Row],[Enrollment '[mmm-yyyy']]]),"","In Care Home"),"Discharged")</f>
        <v/>
      </c>
      <c r="T59" s="119" t="str">
        <f>IF(ISBLANK(Tbl_ResidentData[[#This Row],[Diagnosis (RAI)]]),IF(ISBLANK(Tbl_ResidentData[[#This Row],[Resident Name '[last, first']]]),"",0),IF(Tbl_ResidentData[[#This Row],[Diagnosis (RAI)]]="Other (see clinical notes)",0,1))</f>
        <v/>
      </c>
      <c r="U59" s="120" t="str">
        <f ca="1">IF(U$4&gt;NOW(),"-",IF(ISBLANK(Tbl_ResidentData[[#This Row],[Enrollment '[mmm-yyyy']]]),"-",AND((Tbl_ResidentData[[#This Row],[Enrollment '[mmm-yyyy']]]&lt;=U$4),IF(ISBLANK(Tbl_ResidentData[[#This Row],[Discharge '[mmm-yyyy']]]),TRUE,(Tbl_ResidentData[[#This Row],[Discharge '[mmm-yyyy']]]&gt;=U$4)))))</f>
        <v>-</v>
      </c>
      <c r="V59" s="121" t="str">
        <f ca="1">IF(V$4&gt;NOW(),"-",IF(ISBLANK(Tbl_ResidentData[[#This Row],[Enrollment '[mmm-yyyy']]]),"-",AND((Tbl_ResidentData[[#This Row],[Enrollment '[mmm-yyyy']]]&lt;=V$4),IF(ISBLANK(Tbl_ResidentData[[#This Row],[Discharge '[mmm-yyyy']]]),TRUE,(Tbl_ResidentData[[#This Row],[Discharge '[mmm-yyyy']]]&gt;=V$4)))))</f>
        <v>-</v>
      </c>
      <c r="W59" s="121" t="str">
        <f ca="1">IF(W$4&gt;NOW(),"-",IF(ISBLANK(Tbl_ResidentData[[#This Row],[Enrollment '[mmm-yyyy']]]),"-",AND((Tbl_ResidentData[[#This Row],[Enrollment '[mmm-yyyy']]]&lt;=W$4),IF(ISBLANK(Tbl_ResidentData[[#This Row],[Discharge '[mmm-yyyy']]]),TRUE,(Tbl_ResidentData[[#This Row],[Discharge '[mmm-yyyy']]]&gt;=W$4)))))</f>
        <v>-</v>
      </c>
      <c r="X59" s="121" t="str">
        <f ca="1">IF(X$4&gt;NOW(),"-",IF(ISBLANK(Tbl_ResidentData[[#This Row],[Enrollment '[mmm-yyyy']]]),"-",AND((Tbl_ResidentData[[#This Row],[Enrollment '[mmm-yyyy']]]&lt;=X$4),IF(ISBLANK(Tbl_ResidentData[[#This Row],[Discharge '[mmm-yyyy']]]),TRUE,(Tbl_ResidentData[[#This Row],[Discharge '[mmm-yyyy']]]&gt;=X$4)))))</f>
        <v>-</v>
      </c>
      <c r="Y59" s="121" t="str">
        <f ca="1">IF(Y$4&gt;NOW(),"-",IF(ISBLANK(Tbl_ResidentData[[#This Row],[Enrollment '[mmm-yyyy']]]),"-",AND((Tbl_ResidentData[[#This Row],[Enrollment '[mmm-yyyy']]]&lt;=Y$4),IF(ISBLANK(Tbl_ResidentData[[#This Row],[Discharge '[mmm-yyyy']]]),TRUE,(Tbl_ResidentData[[#This Row],[Discharge '[mmm-yyyy']]]&gt;=Y$4)))))</f>
        <v>-</v>
      </c>
      <c r="Z59" s="121" t="str">
        <f ca="1">IF(Z$4&gt;NOW(),"-",IF(ISBLANK(Tbl_ResidentData[[#This Row],[Enrollment '[mmm-yyyy']]]),"-",AND((Tbl_ResidentData[[#This Row],[Enrollment '[mmm-yyyy']]]&lt;=Z$4),IF(ISBLANK(Tbl_ResidentData[[#This Row],[Discharge '[mmm-yyyy']]]),TRUE,(Tbl_ResidentData[[#This Row],[Discharge '[mmm-yyyy']]]&gt;=Z$4)))))</f>
        <v>-</v>
      </c>
      <c r="AA59" s="121" t="str">
        <f ca="1">IF(AA$4&gt;NOW(),"-",IF(ISBLANK(Tbl_ResidentData[[#This Row],[Enrollment '[mmm-yyyy']]]),"-",AND((Tbl_ResidentData[[#This Row],[Enrollment '[mmm-yyyy']]]&lt;=AA$4),IF(ISBLANK(Tbl_ResidentData[[#This Row],[Discharge '[mmm-yyyy']]]),TRUE,(Tbl_ResidentData[[#This Row],[Discharge '[mmm-yyyy']]]&gt;=AA$4)))))</f>
        <v>-</v>
      </c>
      <c r="AB59" s="121" t="str">
        <f ca="1">IF(AB$4&gt;NOW(),"-",IF(ISBLANK(Tbl_ResidentData[[#This Row],[Enrollment '[mmm-yyyy']]]),"-",AND((Tbl_ResidentData[[#This Row],[Enrollment '[mmm-yyyy']]]&lt;=AB$4),IF(ISBLANK(Tbl_ResidentData[[#This Row],[Discharge '[mmm-yyyy']]]),TRUE,(Tbl_ResidentData[[#This Row],[Discharge '[mmm-yyyy']]]&gt;=AB$4)))))</f>
        <v>-</v>
      </c>
      <c r="AC59" s="121" t="str">
        <f ca="1">IF(AC$4&gt;NOW(),"-",IF(ISBLANK(Tbl_ResidentData[[#This Row],[Enrollment '[mmm-yyyy']]]),"-",AND((Tbl_ResidentData[[#This Row],[Enrollment '[mmm-yyyy']]]&lt;=AC$4),IF(ISBLANK(Tbl_ResidentData[[#This Row],[Discharge '[mmm-yyyy']]]),TRUE,(Tbl_ResidentData[[#This Row],[Discharge '[mmm-yyyy']]]&gt;=AC$4)))))</f>
        <v>-</v>
      </c>
      <c r="AD59" s="121" t="str">
        <f ca="1">IF(AD$4&gt;NOW(),"-",IF(ISBLANK(Tbl_ResidentData[[#This Row],[Enrollment '[mmm-yyyy']]]),"-",AND((Tbl_ResidentData[[#This Row],[Enrollment '[mmm-yyyy']]]&lt;=AD$4),IF(ISBLANK(Tbl_ResidentData[[#This Row],[Discharge '[mmm-yyyy']]]),TRUE,(Tbl_ResidentData[[#This Row],[Discharge '[mmm-yyyy']]]&gt;=AD$4)))))</f>
        <v>-</v>
      </c>
      <c r="AE59" s="121" t="str">
        <f ca="1">IF(AE$4&gt;NOW(),"-",IF(ISBLANK(Tbl_ResidentData[[#This Row],[Enrollment '[mmm-yyyy']]]),"-",AND((Tbl_ResidentData[[#This Row],[Enrollment '[mmm-yyyy']]]&lt;=AE$4),IF(ISBLANK(Tbl_ResidentData[[#This Row],[Discharge '[mmm-yyyy']]]),TRUE,(Tbl_ResidentData[[#This Row],[Discharge '[mmm-yyyy']]]&gt;=AE$4)))))</f>
        <v>-</v>
      </c>
      <c r="AF59" s="121" t="str">
        <f ca="1">IF(AF$4&gt;NOW(),"-",IF(ISBLANK(Tbl_ResidentData[[#This Row],[Enrollment '[mmm-yyyy']]]),"-",AND((Tbl_ResidentData[[#This Row],[Enrollment '[mmm-yyyy']]]&lt;=AF$4),IF(ISBLANK(Tbl_ResidentData[[#This Row],[Discharge '[mmm-yyyy']]]),TRUE,(Tbl_ResidentData[[#This Row],[Discharge '[mmm-yyyy']]]&gt;=AF$4)))))</f>
        <v>-</v>
      </c>
      <c r="AG59" s="121" t="str">
        <f ca="1">IF(AG$4&gt;NOW(),"-",IF(ISBLANK(Tbl_ResidentData[[#This Row],[Enrollment '[mmm-yyyy']]]),"-",AND((Tbl_ResidentData[[#This Row],[Enrollment '[mmm-yyyy']]]&lt;=AG$4),IF(ISBLANK(Tbl_ResidentData[[#This Row],[Discharge '[mmm-yyyy']]]),TRUE,(Tbl_ResidentData[[#This Row],[Discharge '[mmm-yyyy']]]&gt;=AG$4)))))</f>
        <v>-</v>
      </c>
      <c r="AH59" s="121" t="str">
        <f ca="1">IF(AH$4&gt;NOW(),"-",IF(ISBLANK(Tbl_ResidentData[[#This Row],[Enrollment '[mmm-yyyy']]]),"-",AND((Tbl_ResidentData[[#This Row],[Enrollment '[mmm-yyyy']]]&lt;=AH$4),IF(ISBLANK(Tbl_ResidentData[[#This Row],[Discharge '[mmm-yyyy']]]),TRUE,(Tbl_ResidentData[[#This Row],[Discharge '[mmm-yyyy']]]&gt;=AH$4)))))</f>
        <v>-</v>
      </c>
      <c r="AI59" s="121" t="str">
        <f ca="1">IF(AI$4&gt;NOW(),"-",IF(ISBLANK(Tbl_ResidentData[[#This Row],[Enrollment '[mmm-yyyy']]]),"-",AND((Tbl_ResidentData[[#This Row],[Enrollment '[mmm-yyyy']]]&lt;=AI$4),IF(ISBLANK(Tbl_ResidentData[[#This Row],[Discharge '[mmm-yyyy']]]),TRUE,(Tbl_ResidentData[[#This Row],[Discharge '[mmm-yyyy']]]&gt;=AI$4)))))</f>
        <v>-</v>
      </c>
      <c r="AJ59" s="121" t="str">
        <f ca="1">IF(AJ$4&gt;NOW(),"-",IF(ISBLANK(Tbl_ResidentData[[#This Row],[Enrollment '[mmm-yyyy']]]),"-",AND((Tbl_ResidentData[[#This Row],[Enrollment '[mmm-yyyy']]]&lt;=AJ$4),IF(ISBLANK(Tbl_ResidentData[[#This Row],[Discharge '[mmm-yyyy']]]),TRUE,(Tbl_ResidentData[[#This Row],[Discharge '[mmm-yyyy']]]&gt;=AJ$4)))))</f>
        <v>-</v>
      </c>
      <c r="AK59" s="121" t="str">
        <f ca="1">IF(AK$4&gt;NOW(),"-",IF(ISBLANK(Tbl_ResidentData[[#This Row],[Enrollment '[mmm-yyyy']]]),"-",AND((Tbl_ResidentData[[#This Row],[Enrollment '[mmm-yyyy']]]&lt;=AK$4),IF(ISBLANK(Tbl_ResidentData[[#This Row],[Discharge '[mmm-yyyy']]]),TRUE,(Tbl_ResidentData[[#This Row],[Discharge '[mmm-yyyy']]]&gt;=AK$4)))))</f>
        <v>-</v>
      </c>
      <c r="AL59" s="121" t="str">
        <f ca="1">IF(AL$4&gt;NOW(),"-",IF(ISBLANK(Tbl_ResidentData[[#This Row],[Enrollment '[mmm-yyyy']]]),"-",AND((Tbl_ResidentData[[#This Row],[Enrollment '[mmm-yyyy']]]&lt;=AL$4),IF(ISBLANK(Tbl_ResidentData[[#This Row],[Discharge '[mmm-yyyy']]]),TRUE,(Tbl_ResidentData[[#This Row],[Discharge '[mmm-yyyy']]]&gt;=AL$4)))))</f>
        <v>-</v>
      </c>
      <c r="AM59" s="121" t="str">
        <f ca="1">IF(AM$4&gt;NOW(),"-",IF(ISBLANK(Tbl_ResidentData[[#This Row],[Enrollment '[mmm-yyyy']]]),"-",AND((Tbl_ResidentData[[#This Row],[Enrollment '[mmm-yyyy']]]&lt;=AM$4),IF(ISBLANK(Tbl_ResidentData[[#This Row],[Discharge '[mmm-yyyy']]]),TRUE,(Tbl_ResidentData[[#This Row],[Discharge '[mmm-yyyy']]]&gt;=AM$4)))))</f>
        <v>-</v>
      </c>
      <c r="AN59" s="121" t="str">
        <f ca="1">IF(AN$4&gt;NOW(),"-",IF(ISBLANK(Tbl_ResidentData[[#This Row],[Enrollment '[mmm-yyyy']]]),"-",AND((Tbl_ResidentData[[#This Row],[Enrollment '[mmm-yyyy']]]&lt;=AN$4),IF(ISBLANK(Tbl_ResidentData[[#This Row],[Discharge '[mmm-yyyy']]]),TRUE,(Tbl_ResidentData[[#This Row],[Discharge '[mmm-yyyy']]]&gt;=AN$4)))))</f>
        <v>-</v>
      </c>
      <c r="AO59" s="121" t="str">
        <f ca="1">IF(AO$4&gt;NOW(),"-",IF(ISBLANK(Tbl_ResidentData[[#This Row],[Enrollment '[mmm-yyyy']]]),"-",AND((Tbl_ResidentData[[#This Row],[Enrollment '[mmm-yyyy']]]&lt;=AO$4),IF(ISBLANK(Tbl_ResidentData[[#This Row],[Discharge '[mmm-yyyy']]]),TRUE,(Tbl_ResidentData[[#This Row],[Discharge '[mmm-yyyy']]]&gt;=AO$4)))))</f>
        <v>-</v>
      </c>
      <c r="AP59" s="121" t="str">
        <f ca="1">IF(AP$4&gt;NOW(),"-",IF(ISBLANK(Tbl_ResidentData[[#This Row],[Enrollment '[mmm-yyyy']]]),"-",AND((Tbl_ResidentData[[#This Row],[Enrollment '[mmm-yyyy']]]&lt;=AP$4),IF(ISBLANK(Tbl_ResidentData[[#This Row],[Discharge '[mmm-yyyy']]]),TRUE,(Tbl_ResidentData[[#This Row],[Discharge '[mmm-yyyy']]]&gt;=AP$4)))))</f>
        <v>-</v>
      </c>
      <c r="AQ59" s="121" t="str">
        <f ca="1">IF(AQ$4&gt;NOW(),"-",IF(ISBLANK(Tbl_ResidentData[[#This Row],[Enrollment '[mmm-yyyy']]]),"-",AND((Tbl_ResidentData[[#This Row],[Enrollment '[mmm-yyyy']]]&lt;=AQ$4),IF(ISBLANK(Tbl_ResidentData[[#This Row],[Discharge '[mmm-yyyy']]]),TRUE,(Tbl_ResidentData[[#This Row],[Discharge '[mmm-yyyy']]]&gt;=AQ$4)))))</f>
        <v>-</v>
      </c>
      <c r="AR59" s="122" t="str">
        <f ca="1">IF(AR$4&gt;NOW(),"-",IF(ISBLANK(Tbl_ResidentData[[#This Row],[Enrollment '[mmm-yyyy']]]),"-",AND((Tbl_ResidentData[[#This Row],[Enrollment '[mmm-yyyy']]]&lt;=AR$4),IF(ISBLANK(Tbl_ResidentData[[#This Row],[Discharge '[mmm-yyyy']]]),TRUE,(Tbl_ResidentData[[#This Row],[Discharge '[mmm-yyyy']]]&gt;=AR$4)))))</f>
        <v>-</v>
      </c>
      <c r="AS5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5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5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5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5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5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5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5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5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5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5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5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5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5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5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5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5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5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5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5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5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5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5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5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59" s="120" t="b">
        <f ca="1">AND(Tbl_ResidentData[[#This Row],[PRN Med Started]]&lt;&gt;"",Tbl_ResidentData[[#This Row],[PRN Med Started]]&lt;=NOW(),Tbl_ResidentData[[#This Row],[PRN Med Started]]&lt;=AS$4,OR(Tbl_ResidentData[[#This Row],[PRN Med Discontinued]]&gt;AS$4,ISBLANK(Tbl_ResidentData[[#This Row],[PRN Med Discontinued]])))</f>
        <v>0</v>
      </c>
      <c r="BR59" s="121" t="b">
        <f ca="1">AND(Tbl_ResidentData[[#This Row],[PRN Med Started]]&lt;&gt;"",Tbl_ResidentData[[#This Row],[PRN Med Started]]&lt;=NOW(),Tbl_ResidentData[[#This Row],[PRN Med Started]]&lt;=AT$4,OR(Tbl_ResidentData[[#This Row],[PRN Med Discontinued]]&gt;AT$4,ISBLANK(Tbl_ResidentData[[#This Row],[PRN Med Discontinued]])))</f>
        <v>0</v>
      </c>
      <c r="BS59" s="121" t="b">
        <f ca="1">AND(Tbl_ResidentData[[#This Row],[PRN Med Started]]&lt;&gt;"",Tbl_ResidentData[[#This Row],[PRN Med Started]]&lt;=NOW(),Tbl_ResidentData[[#This Row],[PRN Med Started]]&lt;=AU$4,OR(Tbl_ResidentData[[#This Row],[PRN Med Discontinued]]&gt;AU$4,ISBLANK(Tbl_ResidentData[[#This Row],[PRN Med Discontinued]])))</f>
        <v>0</v>
      </c>
      <c r="BT59" s="121" t="b">
        <f ca="1">AND(Tbl_ResidentData[[#This Row],[PRN Med Started]]&lt;&gt;"",Tbl_ResidentData[[#This Row],[PRN Med Started]]&lt;=NOW(),Tbl_ResidentData[[#This Row],[PRN Med Started]]&lt;=AV$4,OR(Tbl_ResidentData[[#This Row],[PRN Med Discontinued]]&gt;AV$4,ISBLANK(Tbl_ResidentData[[#This Row],[PRN Med Discontinued]])))</f>
        <v>0</v>
      </c>
      <c r="BU59" s="121" t="b">
        <f ca="1">AND(Tbl_ResidentData[[#This Row],[PRN Med Started]]&lt;&gt;"",Tbl_ResidentData[[#This Row],[PRN Med Started]]&lt;=NOW(),Tbl_ResidentData[[#This Row],[PRN Med Started]]&lt;=AW$4,OR(Tbl_ResidentData[[#This Row],[PRN Med Discontinued]]&gt;AW$4,ISBLANK(Tbl_ResidentData[[#This Row],[PRN Med Discontinued]])))</f>
        <v>0</v>
      </c>
      <c r="BV59" s="121" t="b">
        <f ca="1">AND(Tbl_ResidentData[[#This Row],[PRN Med Started]]&lt;&gt;"",Tbl_ResidentData[[#This Row],[PRN Med Started]]&lt;=NOW(),Tbl_ResidentData[[#This Row],[PRN Med Started]]&lt;=AX$4,OR(Tbl_ResidentData[[#This Row],[PRN Med Discontinued]]&gt;AX$4,ISBLANK(Tbl_ResidentData[[#This Row],[PRN Med Discontinued]])))</f>
        <v>0</v>
      </c>
      <c r="BW59" s="121" t="b">
        <f ca="1">AND(Tbl_ResidentData[[#This Row],[PRN Med Started]]&lt;&gt;"",Tbl_ResidentData[[#This Row],[PRN Med Started]]&lt;=NOW(),Tbl_ResidentData[[#This Row],[PRN Med Started]]&lt;=AY$4,OR(Tbl_ResidentData[[#This Row],[PRN Med Discontinued]]&gt;AY$4,ISBLANK(Tbl_ResidentData[[#This Row],[PRN Med Discontinued]])))</f>
        <v>0</v>
      </c>
      <c r="BX59" s="121" t="b">
        <f ca="1">AND(Tbl_ResidentData[[#This Row],[PRN Med Started]]&lt;&gt;"",Tbl_ResidentData[[#This Row],[PRN Med Started]]&lt;=NOW(),Tbl_ResidentData[[#This Row],[PRN Med Started]]&lt;=AZ$4,OR(Tbl_ResidentData[[#This Row],[PRN Med Discontinued]]&gt;AZ$4,ISBLANK(Tbl_ResidentData[[#This Row],[PRN Med Discontinued]])))</f>
        <v>0</v>
      </c>
      <c r="BY59" s="121" t="b">
        <f ca="1">AND(Tbl_ResidentData[[#This Row],[PRN Med Started]]&lt;&gt;"",Tbl_ResidentData[[#This Row],[PRN Med Started]]&lt;=NOW(),Tbl_ResidentData[[#This Row],[PRN Med Started]]&lt;=BA$4,OR(Tbl_ResidentData[[#This Row],[PRN Med Discontinued]]&gt;BA$4,ISBLANK(Tbl_ResidentData[[#This Row],[PRN Med Discontinued]])))</f>
        <v>0</v>
      </c>
      <c r="BZ59" s="121" t="b">
        <f ca="1">AND(Tbl_ResidentData[[#This Row],[PRN Med Started]]&lt;&gt;"",Tbl_ResidentData[[#This Row],[PRN Med Started]]&lt;=NOW(),Tbl_ResidentData[[#This Row],[PRN Med Started]]&lt;=BB$4,OR(Tbl_ResidentData[[#This Row],[PRN Med Discontinued]]&gt;BB$4,ISBLANK(Tbl_ResidentData[[#This Row],[PRN Med Discontinued]])))</f>
        <v>0</v>
      </c>
      <c r="CA59" s="121" t="b">
        <f ca="1">AND(Tbl_ResidentData[[#This Row],[PRN Med Started]]&lt;&gt;"",Tbl_ResidentData[[#This Row],[PRN Med Started]]&lt;=NOW(),Tbl_ResidentData[[#This Row],[PRN Med Started]]&lt;=BC$4,OR(Tbl_ResidentData[[#This Row],[PRN Med Discontinued]]&gt;BC$4,ISBLANK(Tbl_ResidentData[[#This Row],[PRN Med Discontinued]])))</f>
        <v>0</v>
      </c>
      <c r="CB59" s="121" t="b">
        <f ca="1">AND(Tbl_ResidentData[[#This Row],[PRN Med Started]]&lt;&gt;"",Tbl_ResidentData[[#This Row],[PRN Med Started]]&lt;=NOW(),Tbl_ResidentData[[#This Row],[PRN Med Started]]&lt;=BD$4,OR(Tbl_ResidentData[[#This Row],[PRN Med Discontinued]]&gt;BD$4,ISBLANK(Tbl_ResidentData[[#This Row],[PRN Med Discontinued]])))</f>
        <v>0</v>
      </c>
      <c r="CC59" s="121" t="b">
        <f ca="1">AND(Tbl_ResidentData[[#This Row],[PRN Med Started]]&lt;&gt;"",Tbl_ResidentData[[#This Row],[PRN Med Started]]&lt;=NOW(),Tbl_ResidentData[[#This Row],[PRN Med Started]]&lt;=BE$4,OR(Tbl_ResidentData[[#This Row],[PRN Med Discontinued]]&gt;BE$4,ISBLANK(Tbl_ResidentData[[#This Row],[PRN Med Discontinued]])))</f>
        <v>0</v>
      </c>
      <c r="CD59" s="121" t="b">
        <f ca="1">AND(Tbl_ResidentData[[#This Row],[PRN Med Started]]&lt;&gt;"",Tbl_ResidentData[[#This Row],[PRN Med Started]]&lt;=NOW(),Tbl_ResidentData[[#This Row],[PRN Med Started]]&lt;=BF$4,OR(Tbl_ResidentData[[#This Row],[PRN Med Discontinued]]&gt;BF$4,ISBLANK(Tbl_ResidentData[[#This Row],[PRN Med Discontinued]])))</f>
        <v>0</v>
      </c>
      <c r="CE59" s="121" t="b">
        <f ca="1">AND(Tbl_ResidentData[[#This Row],[PRN Med Started]]&lt;&gt;"",Tbl_ResidentData[[#This Row],[PRN Med Started]]&lt;=NOW(),Tbl_ResidentData[[#This Row],[PRN Med Started]]&lt;=BG$4,OR(Tbl_ResidentData[[#This Row],[PRN Med Discontinued]]&gt;BG$4,ISBLANK(Tbl_ResidentData[[#This Row],[PRN Med Discontinued]])))</f>
        <v>0</v>
      </c>
      <c r="CF59" s="121" t="b">
        <f ca="1">AND(Tbl_ResidentData[[#This Row],[PRN Med Started]]&lt;&gt;"",Tbl_ResidentData[[#This Row],[PRN Med Started]]&lt;=NOW(),Tbl_ResidentData[[#This Row],[PRN Med Started]]&lt;=BH$4,OR(Tbl_ResidentData[[#This Row],[PRN Med Discontinued]]&gt;BH$4,ISBLANK(Tbl_ResidentData[[#This Row],[PRN Med Discontinued]])))</f>
        <v>0</v>
      </c>
      <c r="CG59" s="121" t="b">
        <f ca="1">AND(Tbl_ResidentData[[#This Row],[PRN Med Started]]&lt;&gt;"",Tbl_ResidentData[[#This Row],[PRN Med Started]]&lt;=NOW(),Tbl_ResidentData[[#This Row],[PRN Med Started]]&lt;=BI$4,OR(Tbl_ResidentData[[#This Row],[PRN Med Discontinued]]&gt;BI$4,ISBLANK(Tbl_ResidentData[[#This Row],[PRN Med Discontinued]])))</f>
        <v>0</v>
      </c>
      <c r="CH59" s="121" t="b">
        <f ca="1">AND(Tbl_ResidentData[[#This Row],[PRN Med Started]]&lt;&gt;"",Tbl_ResidentData[[#This Row],[PRN Med Started]]&lt;=NOW(),Tbl_ResidentData[[#This Row],[PRN Med Started]]&lt;=BJ$4,OR(Tbl_ResidentData[[#This Row],[PRN Med Discontinued]]&gt;BJ$4,ISBLANK(Tbl_ResidentData[[#This Row],[PRN Med Discontinued]])))</f>
        <v>0</v>
      </c>
      <c r="CI59" s="121" t="b">
        <f ca="1">AND(Tbl_ResidentData[[#This Row],[PRN Med Started]]&lt;&gt;"",Tbl_ResidentData[[#This Row],[PRN Med Started]]&lt;=NOW(),Tbl_ResidentData[[#This Row],[PRN Med Started]]&lt;=BK$4,OR(Tbl_ResidentData[[#This Row],[PRN Med Discontinued]]&gt;BK$4,ISBLANK(Tbl_ResidentData[[#This Row],[PRN Med Discontinued]])))</f>
        <v>0</v>
      </c>
      <c r="CJ59" s="121" t="b">
        <f ca="1">AND(Tbl_ResidentData[[#This Row],[PRN Med Started]]&lt;&gt;"",Tbl_ResidentData[[#This Row],[PRN Med Started]]&lt;=NOW(),Tbl_ResidentData[[#This Row],[PRN Med Started]]&lt;=BL$4,OR(Tbl_ResidentData[[#This Row],[PRN Med Discontinued]]&gt;BL$4,ISBLANK(Tbl_ResidentData[[#This Row],[PRN Med Discontinued]])))</f>
        <v>0</v>
      </c>
      <c r="CK59" s="121" t="b">
        <f ca="1">AND(Tbl_ResidentData[[#This Row],[PRN Med Started]]&lt;&gt;"",Tbl_ResidentData[[#This Row],[PRN Med Started]]&lt;=NOW(),Tbl_ResidentData[[#This Row],[PRN Med Started]]&lt;=BM$4,OR(Tbl_ResidentData[[#This Row],[PRN Med Discontinued]]&gt;BM$4,ISBLANK(Tbl_ResidentData[[#This Row],[PRN Med Discontinued]])))</f>
        <v>0</v>
      </c>
      <c r="CL59" s="121" t="b">
        <f ca="1">AND(Tbl_ResidentData[[#This Row],[PRN Med Started]]&lt;&gt;"",Tbl_ResidentData[[#This Row],[PRN Med Started]]&lt;=NOW(),Tbl_ResidentData[[#This Row],[PRN Med Started]]&lt;=BN$4,OR(Tbl_ResidentData[[#This Row],[PRN Med Discontinued]]&gt;BN$4,ISBLANK(Tbl_ResidentData[[#This Row],[PRN Med Discontinued]])))</f>
        <v>0</v>
      </c>
      <c r="CM59" s="121" t="b">
        <f ca="1">AND(Tbl_ResidentData[[#This Row],[PRN Med Started]]&lt;&gt;"",Tbl_ResidentData[[#This Row],[PRN Med Started]]&lt;=NOW(),Tbl_ResidentData[[#This Row],[PRN Med Started]]&lt;=BO$4,OR(Tbl_ResidentData[[#This Row],[PRN Med Discontinued]]&gt;BO$4,ISBLANK(Tbl_ResidentData[[#This Row],[PRN Med Discontinued]])))</f>
        <v>0</v>
      </c>
      <c r="CN59" s="122" t="b">
        <f ca="1">AND(Tbl_ResidentData[[#This Row],[PRN Med Started]]&lt;&gt;"",Tbl_ResidentData[[#This Row],[PRN Med Started]]&lt;=NOW(),Tbl_ResidentData[[#This Row],[PRN Med Started]]&lt;=BP$4,OR(Tbl_ResidentData[[#This Row],[PRN Med Discontinued]]&gt;BP$4,ISBLANK(Tbl_ResidentData[[#This Row],[PRN Med Discontinued]])))</f>
        <v>0</v>
      </c>
      <c r="CO59" s="120">
        <f ca="1">IF(OR(Tbl_ResidentData[[#This Row],[S1]]=TRUE,Tbl_ResidentData[[#This Row],[P1]]=TRUE),1,0)</f>
        <v>0</v>
      </c>
      <c r="CP59" s="121">
        <f ca="1">IF(OR(Tbl_ResidentData[[#This Row],[S2]]=TRUE,Tbl_ResidentData[[#This Row],[P2]]=TRUE),1,0)</f>
        <v>0</v>
      </c>
      <c r="CQ59" s="121">
        <f ca="1">IF(OR(Tbl_ResidentData[[#This Row],[S3]]=TRUE,Tbl_ResidentData[[#This Row],[P3]]=TRUE),1,0)</f>
        <v>0</v>
      </c>
      <c r="CR59" s="120">
        <f ca="1">IF(OR(Tbl_ResidentData[[#This Row],[S4]]=TRUE,Tbl_ResidentData[[#This Row],[P4]]=TRUE),1,0)</f>
        <v>0</v>
      </c>
      <c r="CS59" s="120">
        <f ca="1">IF(OR(Tbl_ResidentData[[#This Row],[S5]]=TRUE,Tbl_ResidentData[[#This Row],[P5]]=TRUE),1,0)</f>
        <v>0</v>
      </c>
      <c r="CT59" s="120">
        <f ca="1">IF(OR(Tbl_ResidentData[[#This Row],[S6]]=TRUE,Tbl_ResidentData[[#This Row],[P6]]=TRUE),1,0)</f>
        <v>0</v>
      </c>
      <c r="CU59" s="120">
        <f ca="1">IF(OR(Tbl_ResidentData[[#This Row],[S7]]=TRUE,Tbl_ResidentData[[#This Row],[P7]]=TRUE),1,0)</f>
        <v>0</v>
      </c>
      <c r="CV59" s="120">
        <f ca="1">IF(OR(Tbl_ResidentData[[#This Row],[S8]]=TRUE,Tbl_ResidentData[[#This Row],[P8]]=TRUE),1,0)</f>
        <v>0</v>
      </c>
      <c r="CW59" s="120">
        <f ca="1">IF(OR(Tbl_ResidentData[[#This Row],[S9]]=TRUE,Tbl_ResidentData[[#This Row],[P9]]=TRUE),1,0)</f>
        <v>0</v>
      </c>
      <c r="CX59" s="120">
        <f ca="1">IF(OR(Tbl_ResidentData[[#This Row],[S10]]=TRUE,Tbl_ResidentData[[#This Row],[P10]]=TRUE),1,0)</f>
        <v>0</v>
      </c>
      <c r="CY59" s="120">
        <f ca="1">IF(OR(Tbl_ResidentData[[#This Row],[S11]]=TRUE,Tbl_ResidentData[[#This Row],[P11]]=TRUE),1,0)</f>
        <v>0</v>
      </c>
      <c r="CZ59" s="120">
        <f ca="1">IF(OR(Tbl_ResidentData[[#This Row],[S12]]=TRUE,Tbl_ResidentData[[#This Row],[P12]]=TRUE),1,0)</f>
        <v>0</v>
      </c>
      <c r="DA59" s="120">
        <f ca="1">IF(OR(Tbl_ResidentData[[#This Row],[S13]]=TRUE,Tbl_ResidentData[[#This Row],[P13]]=TRUE),1,0)</f>
        <v>0</v>
      </c>
      <c r="DB59" s="120">
        <f ca="1">IF(OR(Tbl_ResidentData[[#This Row],[S14]]=TRUE,Tbl_ResidentData[[#This Row],[P14]]=TRUE),1,0)</f>
        <v>0</v>
      </c>
      <c r="DC59" s="120">
        <f ca="1">IF(OR(Tbl_ResidentData[[#This Row],[S15]]=TRUE,Tbl_ResidentData[[#This Row],[P15]]=TRUE),1,0)</f>
        <v>0</v>
      </c>
      <c r="DD59" s="120">
        <f ca="1">IF(OR(Tbl_ResidentData[[#This Row],[S16]]=TRUE,Tbl_ResidentData[[#This Row],[P16]]=TRUE),1,0)</f>
        <v>0</v>
      </c>
      <c r="DE59" s="120">
        <f ca="1">IF(OR(Tbl_ResidentData[[#This Row],[S17]]=TRUE,Tbl_ResidentData[[#This Row],[P17]]=TRUE),1,0)</f>
        <v>0</v>
      </c>
      <c r="DF59" s="120">
        <f ca="1">IF(OR(Tbl_ResidentData[[#This Row],[S18]]=TRUE,Tbl_ResidentData[[#This Row],[P18]]=TRUE),1,0)</f>
        <v>0</v>
      </c>
      <c r="DG59" s="120">
        <f ca="1">IF(OR(Tbl_ResidentData[[#This Row],[S19]]=TRUE,Tbl_ResidentData[[#This Row],[P19]]=TRUE),1,0)</f>
        <v>0</v>
      </c>
      <c r="DH59" s="120">
        <f ca="1">IF(OR(Tbl_ResidentData[[#This Row],[S20]]=TRUE,Tbl_ResidentData[[#This Row],[P20]]=TRUE),1,0)</f>
        <v>0</v>
      </c>
      <c r="DI59" s="120">
        <f ca="1">IF(OR(Tbl_ResidentData[[#This Row],[S21]]=TRUE,Tbl_ResidentData[[#This Row],[P21]]=TRUE),1,0)</f>
        <v>0</v>
      </c>
      <c r="DJ59" s="120">
        <f ca="1">IF(OR(Tbl_ResidentData[[#This Row],[S22]]=TRUE,Tbl_ResidentData[[#This Row],[P22]]=TRUE),1,0)</f>
        <v>0</v>
      </c>
      <c r="DK59" s="120">
        <f ca="1">IF(OR(Tbl_ResidentData[[#This Row],[S23]]=TRUE,Tbl_ResidentData[[#This Row],[P23]]=TRUE),1,0)</f>
        <v>0</v>
      </c>
      <c r="DL59" s="120">
        <f ca="1">IF(OR(Tbl_ResidentData[[#This Row],[S24]]=TRUE,Tbl_ResidentData[[#This Row],[P24]]=TRUE),1,0)</f>
        <v>0</v>
      </c>
      <c r="DM59" s="123" t="str">
        <f ca="1">IFERROR(INDEX($CO$4:$DL$4,MATCH(TRUE,INDEX((Tbl_ResidentData[[#This Row],[Over1]:[Over24]]&lt;&gt;0),0),0)),"")</f>
        <v/>
      </c>
      <c r="DN59" s="133" t="str">
        <f>IFERROR(INDEX(Tbl_PDSAData[Last DRT],MATCH(Tbl_ResidentData[Resident Name '[last, first']],Tbl_PDSAData[Resident Name (last, first)],0)),"")</f>
        <v/>
      </c>
      <c r="DO59" s="222" t="str">
        <f>IFERROR(INDEX(Tbl_PDSAData[Last MR],MATCH(Tbl_ResidentData[Resident Name '[last, first']],Tbl_PDSAData[Resident Name (last, first)],0)),"")</f>
        <v/>
      </c>
    </row>
    <row r="60" spans="1:119" x14ac:dyDescent="0.25">
      <c r="A60" s="179"/>
      <c r="B60" s="180"/>
      <c r="C60" s="180"/>
      <c r="D60" s="218"/>
      <c r="E60" s="179"/>
      <c r="F60" s="181"/>
      <c r="G60" s="181"/>
      <c r="H60" s="182"/>
      <c r="I60" s="185"/>
      <c r="J60" s="387"/>
      <c r="K60" s="178"/>
      <c r="L60" s="388"/>
      <c r="M60" s="185"/>
      <c r="N60" s="386"/>
      <c r="O60" s="178"/>
      <c r="P60" s="388"/>
      <c r="Q60" s="394"/>
      <c r="R60" s="388"/>
      <c r="S60" s="131" t="str">
        <f>IF(ISBLANK(Tbl_ResidentData[[#This Row],[Discharge '[mmm-yyyy']]]),IF(ISBLANK(Tbl_ResidentData[[#This Row],[Enrollment '[mmm-yyyy']]]),"","In Care Home"),"Discharged")</f>
        <v/>
      </c>
      <c r="T60" s="119" t="str">
        <f>IF(ISBLANK(Tbl_ResidentData[[#This Row],[Diagnosis (RAI)]]),IF(ISBLANK(Tbl_ResidentData[[#This Row],[Resident Name '[last, first']]]),"",0),IF(Tbl_ResidentData[[#This Row],[Diagnosis (RAI)]]="Other (see clinical notes)",0,1))</f>
        <v/>
      </c>
      <c r="U60" s="120" t="str">
        <f ca="1">IF(U$4&gt;NOW(),"-",IF(ISBLANK(Tbl_ResidentData[[#This Row],[Enrollment '[mmm-yyyy']]]),"-",AND((Tbl_ResidentData[[#This Row],[Enrollment '[mmm-yyyy']]]&lt;=U$4),IF(ISBLANK(Tbl_ResidentData[[#This Row],[Discharge '[mmm-yyyy']]]),TRUE,(Tbl_ResidentData[[#This Row],[Discharge '[mmm-yyyy']]]&gt;=U$4)))))</f>
        <v>-</v>
      </c>
      <c r="V60" s="121" t="str">
        <f ca="1">IF(V$4&gt;NOW(),"-",IF(ISBLANK(Tbl_ResidentData[[#This Row],[Enrollment '[mmm-yyyy']]]),"-",AND((Tbl_ResidentData[[#This Row],[Enrollment '[mmm-yyyy']]]&lt;=V$4),IF(ISBLANK(Tbl_ResidentData[[#This Row],[Discharge '[mmm-yyyy']]]),TRUE,(Tbl_ResidentData[[#This Row],[Discharge '[mmm-yyyy']]]&gt;=V$4)))))</f>
        <v>-</v>
      </c>
      <c r="W60" s="121" t="str">
        <f ca="1">IF(W$4&gt;NOW(),"-",IF(ISBLANK(Tbl_ResidentData[[#This Row],[Enrollment '[mmm-yyyy']]]),"-",AND((Tbl_ResidentData[[#This Row],[Enrollment '[mmm-yyyy']]]&lt;=W$4),IF(ISBLANK(Tbl_ResidentData[[#This Row],[Discharge '[mmm-yyyy']]]),TRUE,(Tbl_ResidentData[[#This Row],[Discharge '[mmm-yyyy']]]&gt;=W$4)))))</f>
        <v>-</v>
      </c>
      <c r="X60" s="121" t="str">
        <f ca="1">IF(X$4&gt;NOW(),"-",IF(ISBLANK(Tbl_ResidentData[[#This Row],[Enrollment '[mmm-yyyy']]]),"-",AND((Tbl_ResidentData[[#This Row],[Enrollment '[mmm-yyyy']]]&lt;=X$4),IF(ISBLANK(Tbl_ResidentData[[#This Row],[Discharge '[mmm-yyyy']]]),TRUE,(Tbl_ResidentData[[#This Row],[Discharge '[mmm-yyyy']]]&gt;=X$4)))))</f>
        <v>-</v>
      </c>
      <c r="Y60" s="121" t="str">
        <f ca="1">IF(Y$4&gt;NOW(),"-",IF(ISBLANK(Tbl_ResidentData[[#This Row],[Enrollment '[mmm-yyyy']]]),"-",AND((Tbl_ResidentData[[#This Row],[Enrollment '[mmm-yyyy']]]&lt;=Y$4),IF(ISBLANK(Tbl_ResidentData[[#This Row],[Discharge '[mmm-yyyy']]]),TRUE,(Tbl_ResidentData[[#This Row],[Discharge '[mmm-yyyy']]]&gt;=Y$4)))))</f>
        <v>-</v>
      </c>
      <c r="Z60" s="121" t="str">
        <f ca="1">IF(Z$4&gt;NOW(),"-",IF(ISBLANK(Tbl_ResidentData[[#This Row],[Enrollment '[mmm-yyyy']]]),"-",AND((Tbl_ResidentData[[#This Row],[Enrollment '[mmm-yyyy']]]&lt;=Z$4),IF(ISBLANK(Tbl_ResidentData[[#This Row],[Discharge '[mmm-yyyy']]]),TRUE,(Tbl_ResidentData[[#This Row],[Discharge '[mmm-yyyy']]]&gt;=Z$4)))))</f>
        <v>-</v>
      </c>
      <c r="AA60" s="121" t="str">
        <f ca="1">IF(AA$4&gt;NOW(),"-",IF(ISBLANK(Tbl_ResidentData[[#This Row],[Enrollment '[mmm-yyyy']]]),"-",AND((Tbl_ResidentData[[#This Row],[Enrollment '[mmm-yyyy']]]&lt;=AA$4),IF(ISBLANK(Tbl_ResidentData[[#This Row],[Discharge '[mmm-yyyy']]]),TRUE,(Tbl_ResidentData[[#This Row],[Discharge '[mmm-yyyy']]]&gt;=AA$4)))))</f>
        <v>-</v>
      </c>
      <c r="AB60" s="121" t="str">
        <f ca="1">IF(AB$4&gt;NOW(),"-",IF(ISBLANK(Tbl_ResidentData[[#This Row],[Enrollment '[mmm-yyyy']]]),"-",AND((Tbl_ResidentData[[#This Row],[Enrollment '[mmm-yyyy']]]&lt;=AB$4),IF(ISBLANK(Tbl_ResidentData[[#This Row],[Discharge '[mmm-yyyy']]]),TRUE,(Tbl_ResidentData[[#This Row],[Discharge '[mmm-yyyy']]]&gt;=AB$4)))))</f>
        <v>-</v>
      </c>
      <c r="AC60" s="121" t="str">
        <f ca="1">IF(AC$4&gt;NOW(),"-",IF(ISBLANK(Tbl_ResidentData[[#This Row],[Enrollment '[mmm-yyyy']]]),"-",AND((Tbl_ResidentData[[#This Row],[Enrollment '[mmm-yyyy']]]&lt;=AC$4),IF(ISBLANK(Tbl_ResidentData[[#This Row],[Discharge '[mmm-yyyy']]]),TRUE,(Tbl_ResidentData[[#This Row],[Discharge '[mmm-yyyy']]]&gt;=AC$4)))))</f>
        <v>-</v>
      </c>
      <c r="AD60" s="121" t="str">
        <f ca="1">IF(AD$4&gt;NOW(),"-",IF(ISBLANK(Tbl_ResidentData[[#This Row],[Enrollment '[mmm-yyyy']]]),"-",AND((Tbl_ResidentData[[#This Row],[Enrollment '[mmm-yyyy']]]&lt;=AD$4),IF(ISBLANK(Tbl_ResidentData[[#This Row],[Discharge '[mmm-yyyy']]]),TRUE,(Tbl_ResidentData[[#This Row],[Discharge '[mmm-yyyy']]]&gt;=AD$4)))))</f>
        <v>-</v>
      </c>
      <c r="AE60" s="121" t="str">
        <f ca="1">IF(AE$4&gt;NOW(),"-",IF(ISBLANK(Tbl_ResidentData[[#This Row],[Enrollment '[mmm-yyyy']]]),"-",AND((Tbl_ResidentData[[#This Row],[Enrollment '[mmm-yyyy']]]&lt;=AE$4),IF(ISBLANK(Tbl_ResidentData[[#This Row],[Discharge '[mmm-yyyy']]]),TRUE,(Tbl_ResidentData[[#This Row],[Discharge '[mmm-yyyy']]]&gt;=AE$4)))))</f>
        <v>-</v>
      </c>
      <c r="AF60" s="121" t="str">
        <f ca="1">IF(AF$4&gt;NOW(),"-",IF(ISBLANK(Tbl_ResidentData[[#This Row],[Enrollment '[mmm-yyyy']]]),"-",AND((Tbl_ResidentData[[#This Row],[Enrollment '[mmm-yyyy']]]&lt;=AF$4),IF(ISBLANK(Tbl_ResidentData[[#This Row],[Discharge '[mmm-yyyy']]]),TRUE,(Tbl_ResidentData[[#This Row],[Discharge '[mmm-yyyy']]]&gt;=AF$4)))))</f>
        <v>-</v>
      </c>
      <c r="AG60" s="121" t="str">
        <f ca="1">IF(AG$4&gt;NOW(),"-",IF(ISBLANK(Tbl_ResidentData[[#This Row],[Enrollment '[mmm-yyyy']]]),"-",AND((Tbl_ResidentData[[#This Row],[Enrollment '[mmm-yyyy']]]&lt;=AG$4),IF(ISBLANK(Tbl_ResidentData[[#This Row],[Discharge '[mmm-yyyy']]]),TRUE,(Tbl_ResidentData[[#This Row],[Discharge '[mmm-yyyy']]]&gt;=AG$4)))))</f>
        <v>-</v>
      </c>
      <c r="AH60" s="121" t="str">
        <f ca="1">IF(AH$4&gt;NOW(),"-",IF(ISBLANK(Tbl_ResidentData[[#This Row],[Enrollment '[mmm-yyyy']]]),"-",AND((Tbl_ResidentData[[#This Row],[Enrollment '[mmm-yyyy']]]&lt;=AH$4),IF(ISBLANK(Tbl_ResidentData[[#This Row],[Discharge '[mmm-yyyy']]]),TRUE,(Tbl_ResidentData[[#This Row],[Discharge '[mmm-yyyy']]]&gt;=AH$4)))))</f>
        <v>-</v>
      </c>
      <c r="AI60" s="121" t="str">
        <f ca="1">IF(AI$4&gt;NOW(),"-",IF(ISBLANK(Tbl_ResidentData[[#This Row],[Enrollment '[mmm-yyyy']]]),"-",AND((Tbl_ResidentData[[#This Row],[Enrollment '[mmm-yyyy']]]&lt;=AI$4),IF(ISBLANK(Tbl_ResidentData[[#This Row],[Discharge '[mmm-yyyy']]]),TRUE,(Tbl_ResidentData[[#This Row],[Discharge '[mmm-yyyy']]]&gt;=AI$4)))))</f>
        <v>-</v>
      </c>
      <c r="AJ60" s="121" t="str">
        <f ca="1">IF(AJ$4&gt;NOW(),"-",IF(ISBLANK(Tbl_ResidentData[[#This Row],[Enrollment '[mmm-yyyy']]]),"-",AND((Tbl_ResidentData[[#This Row],[Enrollment '[mmm-yyyy']]]&lt;=AJ$4),IF(ISBLANK(Tbl_ResidentData[[#This Row],[Discharge '[mmm-yyyy']]]),TRUE,(Tbl_ResidentData[[#This Row],[Discharge '[mmm-yyyy']]]&gt;=AJ$4)))))</f>
        <v>-</v>
      </c>
      <c r="AK60" s="121" t="str">
        <f ca="1">IF(AK$4&gt;NOW(),"-",IF(ISBLANK(Tbl_ResidentData[[#This Row],[Enrollment '[mmm-yyyy']]]),"-",AND((Tbl_ResidentData[[#This Row],[Enrollment '[mmm-yyyy']]]&lt;=AK$4),IF(ISBLANK(Tbl_ResidentData[[#This Row],[Discharge '[mmm-yyyy']]]),TRUE,(Tbl_ResidentData[[#This Row],[Discharge '[mmm-yyyy']]]&gt;=AK$4)))))</f>
        <v>-</v>
      </c>
      <c r="AL60" s="121" t="str">
        <f ca="1">IF(AL$4&gt;NOW(),"-",IF(ISBLANK(Tbl_ResidentData[[#This Row],[Enrollment '[mmm-yyyy']]]),"-",AND((Tbl_ResidentData[[#This Row],[Enrollment '[mmm-yyyy']]]&lt;=AL$4),IF(ISBLANK(Tbl_ResidentData[[#This Row],[Discharge '[mmm-yyyy']]]),TRUE,(Tbl_ResidentData[[#This Row],[Discharge '[mmm-yyyy']]]&gt;=AL$4)))))</f>
        <v>-</v>
      </c>
      <c r="AM60" s="121" t="str">
        <f ca="1">IF(AM$4&gt;NOW(),"-",IF(ISBLANK(Tbl_ResidentData[[#This Row],[Enrollment '[mmm-yyyy']]]),"-",AND((Tbl_ResidentData[[#This Row],[Enrollment '[mmm-yyyy']]]&lt;=AM$4),IF(ISBLANK(Tbl_ResidentData[[#This Row],[Discharge '[mmm-yyyy']]]),TRUE,(Tbl_ResidentData[[#This Row],[Discharge '[mmm-yyyy']]]&gt;=AM$4)))))</f>
        <v>-</v>
      </c>
      <c r="AN60" s="121" t="str">
        <f ca="1">IF(AN$4&gt;NOW(),"-",IF(ISBLANK(Tbl_ResidentData[[#This Row],[Enrollment '[mmm-yyyy']]]),"-",AND((Tbl_ResidentData[[#This Row],[Enrollment '[mmm-yyyy']]]&lt;=AN$4),IF(ISBLANK(Tbl_ResidentData[[#This Row],[Discharge '[mmm-yyyy']]]),TRUE,(Tbl_ResidentData[[#This Row],[Discharge '[mmm-yyyy']]]&gt;=AN$4)))))</f>
        <v>-</v>
      </c>
      <c r="AO60" s="121" t="str">
        <f ca="1">IF(AO$4&gt;NOW(),"-",IF(ISBLANK(Tbl_ResidentData[[#This Row],[Enrollment '[mmm-yyyy']]]),"-",AND((Tbl_ResidentData[[#This Row],[Enrollment '[mmm-yyyy']]]&lt;=AO$4),IF(ISBLANK(Tbl_ResidentData[[#This Row],[Discharge '[mmm-yyyy']]]),TRUE,(Tbl_ResidentData[[#This Row],[Discharge '[mmm-yyyy']]]&gt;=AO$4)))))</f>
        <v>-</v>
      </c>
      <c r="AP60" s="121" t="str">
        <f ca="1">IF(AP$4&gt;NOW(),"-",IF(ISBLANK(Tbl_ResidentData[[#This Row],[Enrollment '[mmm-yyyy']]]),"-",AND((Tbl_ResidentData[[#This Row],[Enrollment '[mmm-yyyy']]]&lt;=AP$4),IF(ISBLANK(Tbl_ResidentData[[#This Row],[Discharge '[mmm-yyyy']]]),TRUE,(Tbl_ResidentData[[#This Row],[Discharge '[mmm-yyyy']]]&gt;=AP$4)))))</f>
        <v>-</v>
      </c>
      <c r="AQ60" s="121" t="str">
        <f ca="1">IF(AQ$4&gt;NOW(),"-",IF(ISBLANK(Tbl_ResidentData[[#This Row],[Enrollment '[mmm-yyyy']]]),"-",AND((Tbl_ResidentData[[#This Row],[Enrollment '[mmm-yyyy']]]&lt;=AQ$4),IF(ISBLANK(Tbl_ResidentData[[#This Row],[Discharge '[mmm-yyyy']]]),TRUE,(Tbl_ResidentData[[#This Row],[Discharge '[mmm-yyyy']]]&gt;=AQ$4)))))</f>
        <v>-</v>
      </c>
      <c r="AR60" s="122" t="str">
        <f ca="1">IF(AR$4&gt;NOW(),"-",IF(ISBLANK(Tbl_ResidentData[[#This Row],[Enrollment '[mmm-yyyy']]]),"-",AND((Tbl_ResidentData[[#This Row],[Enrollment '[mmm-yyyy']]]&lt;=AR$4),IF(ISBLANK(Tbl_ResidentData[[#This Row],[Discharge '[mmm-yyyy']]]),TRUE,(Tbl_ResidentData[[#This Row],[Discharge '[mmm-yyyy']]]&gt;=AR$4)))))</f>
        <v>-</v>
      </c>
      <c r="AS6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0" s="120" t="b">
        <f ca="1">AND(Tbl_ResidentData[[#This Row],[PRN Med Started]]&lt;&gt;"",Tbl_ResidentData[[#This Row],[PRN Med Started]]&lt;=NOW(),Tbl_ResidentData[[#This Row],[PRN Med Started]]&lt;=AS$4,OR(Tbl_ResidentData[[#This Row],[PRN Med Discontinued]]&gt;AS$4,ISBLANK(Tbl_ResidentData[[#This Row],[PRN Med Discontinued]])))</f>
        <v>0</v>
      </c>
      <c r="BR60" s="121" t="b">
        <f ca="1">AND(Tbl_ResidentData[[#This Row],[PRN Med Started]]&lt;&gt;"",Tbl_ResidentData[[#This Row],[PRN Med Started]]&lt;=NOW(),Tbl_ResidentData[[#This Row],[PRN Med Started]]&lt;=AT$4,OR(Tbl_ResidentData[[#This Row],[PRN Med Discontinued]]&gt;AT$4,ISBLANK(Tbl_ResidentData[[#This Row],[PRN Med Discontinued]])))</f>
        <v>0</v>
      </c>
      <c r="BS60" s="121" t="b">
        <f ca="1">AND(Tbl_ResidentData[[#This Row],[PRN Med Started]]&lt;&gt;"",Tbl_ResidentData[[#This Row],[PRN Med Started]]&lt;=NOW(),Tbl_ResidentData[[#This Row],[PRN Med Started]]&lt;=AU$4,OR(Tbl_ResidentData[[#This Row],[PRN Med Discontinued]]&gt;AU$4,ISBLANK(Tbl_ResidentData[[#This Row],[PRN Med Discontinued]])))</f>
        <v>0</v>
      </c>
      <c r="BT60" s="121" t="b">
        <f ca="1">AND(Tbl_ResidentData[[#This Row],[PRN Med Started]]&lt;&gt;"",Tbl_ResidentData[[#This Row],[PRN Med Started]]&lt;=NOW(),Tbl_ResidentData[[#This Row],[PRN Med Started]]&lt;=AV$4,OR(Tbl_ResidentData[[#This Row],[PRN Med Discontinued]]&gt;AV$4,ISBLANK(Tbl_ResidentData[[#This Row],[PRN Med Discontinued]])))</f>
        <v>0</v>
      </c>
      <c r="BU60" s="121" t="b">
        <f ca="1">AND(Tbl_ResidentData[[#This Row],[PRN Med Started]]&lt;&gt;"",Tbl_ResidentData[[#This Row],[PRN Med Started]]&lt;=NOW(),Tbl_ResidentData[[#This Row],[PRN Med Started]]&lt;=AW$4,OR(Tbl_ResidentData[[#This Row],[PRN Med Discontinued]]&gt;AW$4,ISBLANK(Tbl_ResidentData[[#This Row],[PRN Med Discontinued]])))</f>
        <v>0</v>
      </c>
      <c r="BV60" s="121" t="b">
        <f ca="1">AND(Tbl_ResidentData[[#This Row],[PRN Med Started]]&lt;&gt;"",Tbl_ResidentData[[#This Row],[PRN Med Started]]&lt;=NOW(),Tbl_ResidentData[[#This Row],[PRN Med Started]]&lt;=AX$4,OR(Tbl_ResidentData[[#This Row],[PRN Med Discontinued]]&gt;AX$4,ISBLANK(Tbl_ResidentData[[#This Row],[PRN Med Discontinued]])))</f>
        <v>0</v>
      </c>
      <c r="BW60" s="121" t="b">
        <f ca="1">AND(Tbl_ResidentData[[#This Row],[PRN Med Started]]&lt;&gt;"",Tbl_ResidentData[[#This Row],[PRN Med Started]]&lt;=NOW(),Tbl_ResidentData[[#This Row],[PRN Med Started]]&lt;=AY$4,OR(Tbl_ResidentData[[#This Row],[PRN Med Discontinued]]&gt;AY$4,ISBLANK(Tbl_ResidentData[[#This Row],[PRN Med Discontinued]])))</f>
        <v>0</v>
      </c>
      <c r="BX60" s="121" t="b">
        <f ca="1">AND(Tbl_ResidentData[[#This Row],[PRN Med Started]]&lt;&gt;"",Tbl_ResidentData[[#This Row],[PRN Med Started]]&lt;=NOW(),Tbl_ResidentData[[#This Row],[PRN Med Started]]&lt;=AZ$4,OR(Tbl_ResidentData[[#This Row],[PRN Med Discontinued]]&gt;AZ$4,ISBLANK(Tbl_ResidentData[[#This Row],[PRN Med Discontinued]])))</f>
        <v>0</v>
      </c>
      <c r="BY60" s="121" t="b">
        <f ca="1">AND(Tbl_ResidentData[[#This Row],[PRN Med Started]]&lt;&gt;"",Tbl_ResidentData[[#This Row],[PRN Med Started]]&lt;=NOW(),Tbl_ResidentData[[#This Row],[PRN Med Started]]&lt;=BA$4,OR(Tbl_ResidentData[[#This Row],[PRN Med Discontinued]]&gt;BA$4,ISBLANK(Tbl_ResidentData[[#This Row],[PRN Med Discontinued]])))</f>
        <v>0</v>
      </c>
      <c r="BZ60" s="121" t="b">
        <f ca="1">AND(Tbl_ResidentData[[#This Row],[PRN Med Started]]&lt;&gt;"",Tbl_ResidentData[[#This Row],[PRN Med Started]]&lt;=NOW(),Tbl_ResidentData[[#This Row],[PRN Med Started]]&lt;=BB$4,OR(Tbl_ResidentData[[#This Row],[PRN Med Discontinued]]&gt;BB$4,ISBLANK(Tbl_ResidentData[[#This Row],[PRN Med Discontinued]])))</f>
        <v>0</v>
      </c>
      <c r="CA60" s="121" t="b">
        <f ca="1">AND(Tbl_ResidentData[[#This Row],[PRN Med Started]]&lt;&gt;"",Tbl_ResidentData[[#This Row],[PRN Med Started]]&lt;=NOW(),Tbl_ResidentData[[#This Row],[PRN Med Started]]&lt;=BC$4,OR(Tbl_ResidentData[[#This Row],[PRN Med Discontinued]]&gt;BC$4,ISBLANK(Tbl_ResidentData[[#This Row],[PRN Med Discontinued]])))</f>
        <v>0</v>
      </c>
      <c r="CB60" s="121" t="b">
        <f ca="1">AND(Tbl_ResidentData[[#This Row],[PRN Med Started]]&lt;&gt;"",Tbl_ResidentData[[#This Row],[PRN Med Started]]&lt;=NOW(),Tbl_ResidentData[[#This Row],[PRN Med Started]]&lt;=BD$4,OR(Tbl_ResidentData[[#This Row],[PRN Med Discontinued]]&gt;BD$4,ISBLANK(Tbl_ResidentData[[#This Row],[PRN Med Discontinued]])))</f>
        <v>0</v>
      </c>
      <c r="CC60" s="121" t="b">
        <f ca="1">AND(Tbl_ResidentData[[#This Row],[PRN Med Started]]&lt;&gt;"",Tbl_ResidentData[[#This Row],[PRN Med Started]]&lt;=NOW(),Tbl_ResidentData[[#This Row],[PRN Med Started]]&lt;=BE$4,OR(Tbl_ResidentData[[#This Row],[PRN Med Discontinued]]&gt;BE$4,ISBLANK(Tbl_ResidentData[[#This Row],[PRN Med Discontinued]])))</f>
        <v>0</v>
      </c>
      <c r="CD60" s="121" t="b">
        <f ca="1">AND(Tbl_ResidentData[[#This Row],[PRN Med Started]]&lt;&gt;"",Tbl_ResidentData[[#This Row],[PRN Med Started]]&lt;=NOW(),Tbl_ResidentData[[#This Row],[PRN Med Started]]&lt;=BF$4,OR(Tbl_ResidentData[[#This Row],[PRN Med Discontinued]]&gt;BF$4,ISBLANK(Tbl_ResidentData[[#This Row],[PRN Med Discontinued]])))</f>
        <v>0</v>
      </c>
      <c r="CE60" s="121" t="b">
        <f ca="1">AND(Tbl_ResidentData[[#This Row],[PRN Med Started]]&lt;&gt;"",Tbl_ResidentData[[#This Row],[PRN Med Started]]&lt;=NOW(),Tbl_ResidentData[[#This Row],[PRN Med Started]]&lt;=BG$4,OR(Tbl_ResidentData[[#This Row],[PRN Med Discontinued]]&gt;BG$4,ISBLANK(Tbl_ResidentData[[#This Row],[PRN Med Discontinued]])))</f>
        <v>0</v>
      </c>
      <c r="CF60" s="121" t="b">
        <f ca="1">AND(Tbl_ResidentData[[#This Row],[PRN Med Started]]&lt;&gt;"",Tbl_ResidentData[[#This Row],[PRN Med Started]]&lt;=NOW(),Tbl_ResidentData[[#This Row],[PRN Med Started]]&lt;=BH$4,OR(Tbl_ResidentData[[#This Row],[PRN Med Discontinued]]&gt;BH$4,ISBLANK(Tbl_ResidentData[[#This Row],[PRN Med Discontinued]])))</f>
        <v>0</v>
      </c>
      <c r="CG60" s="121" t="b">
        <f ca="1">AND(Tbl_ResidentData[[#This Row],[PRN Med Started]]&lt;&gt;"",Tbl_ResidentData[[#This Row],[PRN Med Started]]&lt;=NOW(),Tbl_ResidentData[[#This Row],[PRN Med Started]]&lt;=BI$4,OR(Tbl_ResidentData[[#This Row],[PRN Med Discontinued]]&gt;BI$4,ISBLANK(Tbl_ResidentData[[#This Row],[PRN Med Discontinued]])))</f>
        <v>0</v>
      </c>
      <c r="CH60" s="121" t="b">
        <f ca="1">AND(Tbl_ResidentData[[#This Row],[PRN Med Started]]&lt;&gt;"",Tbl_ResidentData[[#This Row],[PRN Med Started]]&lt;=NOW(),Tbl_ResidentData[[#This Row],[PRN Med Started]]&lt;=BJ$4,OR(Tbl_ResidentData[[#This Row],[PRN Med Discontinued]]&gt;BJ$4,ISBLANK(Tbl_ResidentData[[#This Row],[PRN Med Discontinued]])))</f>
        <v>0</v>
      </c>
      <c r="CI60" s="121" t="b">
        <f ca="1">AND(Tbl_ResidentData[[#This Row],[PRN Med Started]]&lt;&gt;"",Tbl_ResidentData[[#This Row],[PRN Med Started]]&lt;=NOW(),Tbl_ResidentData[[#This Row],[PRN Med Started]]&lt;=BK$4,OR(Tbl_ResidentData[[#This Row],[PRN Med Discontinued]]&gt;BK$4,ISBLANK(Tbl_ResidentData[[#This Row],[PRN Med Discontinued]])))</f>
        <v>0</v>
      </c>
      <c r="CJ60" s="121" t="b">
        <f ca="1">AND(Tbl_ResidentData[[#This Row],[PRN Med Started]]&lt;&gt;"",Tbl_ResidentData[[#This Row],[PRN Med Started]]&lt;=NOW(),Tbl_ResidentData[[#This Row],[PRN Med Started]]&lt;=BL$4,OR(Tbl_ResidentData[[#This Row],[PRN Med Discontinued]]&gt;BL$4,ISBLANK(Tbl_ResidentData[[#This Row],[PRN Med Discontinued]])))</f>
        <v>0</v>
      </c>
      <c r="CK60" s="121" t="b">
        <f ca="1">AND(Tbl_ResidentData[[#This Row],[PRN Med Started]]&lt;&gt;"",Tbl_ResidentData[[#This Row],[PRN Med Started]]&lt;=NOW(),Tbl_ResidentData[[#This Row],[PRN Med Started]]&lt;=BM$4,OR(Tbl_ResidentData[[#This Row],[PRN Med Discontinued]]&gt;BM$4,ISBLANK(Tbl_ResidentData[[#This Row],[PRN Med Discontinued]])))</f>
        <v>0</v>
      </c>
      <c r="CL60" s="121" t="b">
        <f ca="1">AND(Tbl_ResidentData[[#This Row],[PRN Med Started]]&lt;&gt;"",Tbl_ResidentData[[#This Row],[PRN Med Started]]&lt;=NOW(),Tbl_ResidentData[[#This Row],[PRN Med Started]]&lt;=BN$4,OR(Tbl_ResidentData[[#This Row],[PRN Med Discontinued]]&gt;BN$4,ISBLANK(Tbl_ResidentData[[#This Row],[PRN Med Discontinued]])))</f>
        <v>0</v>
      </c>
      <c r="CM60" s="121" t="b">
        <f ca="1">AND(Tbl_ResidentData[[#This Row],[PRN Med Started]]&lt;&gt;"",Tbl_ResidentData[[#This Row],[PRN Med Started]]&lt;=NOW(),Tbl_ResidentData[[#This Row],[PRN Med Started]]&lt;=BO$4,OR(Tbl_ResidentData[[#This Row],[PRN Med Discontinued]]&gt;BO$4,ISBLANK(Tbl_ResidentData[[#This Row],[PRN Med Discontinued]])))</f>
        <v>0</v>
      </c>
      <c r="CN60" s="122" t="b">
        <f ca="1">AND(Tbl_ResidentData[[#This Row],[PRN Med Started]]&lt;&gt;"",Tbl_ResidentData[[#This Row],[PRN Med Started]]&lt;=NOW(),Tbl_ResidentData[[#This Row],[PRN Med Started]]&lt;=BP$4,OR(Tbl_ResidentData[[#This Row],[PRN Med Discontinued]]&gt;BP$4,ISBLANK(Tbl_ResidentData[[#This Row],[PRN Med Discontinued]])))</f>
        <v>0</v>
      </c>
      <c r="CO60" s="120">
        <f ca="1">IF(OR(Tbl_ResidentData[[#This Row],[S1]]=TRUE,Tbl_ResidentData[[#This Row],[P1]]=TRUE),1,0)</f>
        <v>0</v>
      </c>
      <c r="CP60" s="121">
        <f ca="1">IF(OR(Tbl_ResidentData[[#This Row],[S2]]=TRUE,Tbl_ResidentData[[#This Row],[P2]]=TRUE),1,0)</f>
        <v>0</v>
      </c>
      <c r="CQ60" s="121">
        <f ca="1">IF(OR(Tbl_ResidentData[[#This Row],[S3]]=TRUE,Tbl_ResidentData[[#This Row],[P3]]=TRUE),1,0)</f>
        <v>0</v>
      </c>
      <c r="CR60" s="120">
        <f ca="1">IF(OR(Tbl_ResidentData[[#This Row],[S4]]=TRUE,Tbl_ResidentData[[#This Row],[P4]]=TRUE),1,0)</f>
        <v>0</v>
      </c>
      <c r="CS60" s="120">
        <f ca="1">IF(OR(Tbl_ResidentData[[#This Row],[S5]]=TRUE,Tbl_ResidentData[[#This Row],[P5]]=TRUE),1,0)</f>
        <v>0</v>
      </c>
      <c r="CT60" s="120">
        <f ca="1">IF(OR(Tbl_ResidentData[[#This Row],[S6]]=TRUE,Tbl_ResidentData[[#This Row],[P6]]=TRUE),1,0)</f>
        <v>0</v>
      </c>
      <c r="CU60" s="120">
        <f ca="1">IF(OR(Tbl_ResidentData[[#This Row],[S7]]=TRUE,Tbl_ResidentData[[#This Row],[P7]]=TRUE),1,0)</f>
        <v>0</v>
      </c>
      <c r="CV60" s="120">
        <f ca="1">IF(OR(Tbl_ResidentData[[#This Row],[S8]]=TRUE,Tbl_ResidentData[[#This Row],[P8]]=TRUE),1,0)</f>
        <v>0</v>
      </c>
      <c r="CW60" s="120">
        <f ca="1">IF(OR(Tbl_ResidentData[[#This Row],[S9]]=TRUE,Tbl_ResidentData[[#This Row],[P9]]=TRUE),1,0)</f>
        <v>0</v>
      </c>
      <c r="CX60" s="120">
        <f ca="1">IF(OR(Tbl_ResidentData[[#This Row],[S10]]=TRUE,Tbl_ResidentData[[#This Row],[P10]]=TRUE),1,0)</f>
        <v>0</v>
      </c>
      <c r="CY60" s="120">
        <f ca="1">IF(OR(Tbl_ResidentData[[#This Row],[S11]]=TRUE,Tbl_ResidentData[[#This Row],[P11]]=TRUE),1,0)</f>
        <v>0</v>
      </c>
      <c r="CZ60" s="120">
        <f ca="1">IF(OR(Tbl_ResidentData[[#This Row],[S12]]=TRUE,Tbl_ResidentData[[#This Row],[P12]]=TRUE),1,0)</f>
        <v>0</v>
      </c>
      <c r="DA60" s="120">
        <f ca="1">IF(OR(Tbl_ResidentData[[#This Row],[S13]]=TRUE,Tbl_ResidentData[[#This Row],[P13]]=TRUE),1,0)</f>
        <v>0</v>
      </c>
      <c r="DB60" s="120">
        <f ca="1">IF(OR(Tbl_ResidentData[[#This Row],[S14]]=TRUE,Tbl_ResidentData[[#This Row],[P14]]=TRUE),1,0)</f>
        <v>0</v>
      </c>
      <c r="DC60" s="120">
        <f ca="1">IF(OR(Tbl_ResidentData[[#This Row],[S15]]=TRUE,Tbl_ResidentData[[#This Row],[P15]]=TRUE),1,0)</f>
        <v>0</v>
      </c>
      <c r="DD60" s="120">
        <f ca="1">IF(OR(Tbl_ResidentData[[#This Row],[S16]]=TRUE,Tbl_ResidentData[[#This Row],[P16]]=TRUE),1,0)</f>
        <v>0</v>
      </c>
      <c r="DE60" s="120">
        <f ca="1">IF(OR(Tbl_ResidentData[[#This Row],[S17]]=TRUE,Tbl_ResidentData[[#This Row],[P17]]=TRUE),1,0)</f>
        <v>0</v>
      </c>
      <c r="DF60" s="120">
        <f ca="1">IF(OR(Tbl_ResidentData[[#This Row],[S18]]=TRUE,Tbl_ResidentData[[#This Row],[P18]]=TRUE),1,0)</f>
        <v>0</v>
      </c>
      <c r="DG60" s="120">
        <f ca="1">IF(OR(Tbl_ResidentData[[#This Row],[S19]]=TRUE,Tbl_ResidentData[[#This Row],[P19]]=TRUE),1,0)</f>
        <v>0</v>
      </c>
      <c r="DH60" s="120">
        <f ca="1">IF(OR(Tbl_ResidentData[[#This Row],[S20]]=TRUE,Tbl_ResidentData[[#This Row],[P20]]=TRUE),1,0)</f>
        <v>0</v>
      </c>
      <c r="DI60" s="120">
        <f ca="1">IF(OR(Tbl_ResidentData[[#This Row],[S21]]=TRUE,Tbl_ResidentData[[#This Row],[P21]]=TRUE),1,0)</f>
        <v>0</v>
      </c>
      <c r="DJ60" s="120">
        <f ca="1">IF(OR(Tbl_ResidentData[[#This Row],[S22]]=TRUE,Tbl_ResidentData[[#This Row],[P22]]=TRUE),1,0)</f>
        <v>0</v>
      </c>
      <c r="DK60" s="120">
        <f ca="1">IF(OR(Tbl_ResidentData[[#This Row],[S23]]=TRUE,Tbl_ResidentData[[#This Row],[P23]]=TRUE),1,0)</f>
        <v>0</v>
      </c>
      <c r="DL60" s="120">
        <f ca="1">IF(OR(Tbl_ResidentData[[#This Row],[S24]]=TRUE,Tbl_ResidentData[[#This Row],[P24]]=TRUE),1,0)</f>
        <v>0</v>
      </c>
      <c r="DM60" s="123" t="str">
        <f ca="1">IFERROR(INDEX($CO$4:$DL$4,MATCH(TRUE,INDEX((Tbl_ResidentData[[#This Row],[Over1]:[Over24]]&lt;&gt;0),0),0)),"")</f>
        <v/>
      </c>
      <c r="DN60" s="133" t="str">
        <f>IFERROR(INDEX(Tbl_PDSAData[Last DRT],MATCH(Tbl_ResidentData[Resident Name '[last, first']],Tbl_PDSAData[Resident Name (last, first)],0)),"")</f>
        <v/>
      </c>
      <c r="DO60" s="222" t="str">
        <f>IFERROR(INDEX(Tbl_PDSAData[Last MR],MATCH(Tbl_ResidentData[Resident Name '[last, first']],Tbl_PDSAData[Resident Name (last, first)],0)),"")</f>
        <v/>
      </c>
    </row>
    <row r="61" spans="1:119" x14ac:dyDescent="0.25">
      <c r="A61" s="179"/>
      <c r="B61" s="180"/>
      <c r="C61" s="180"/>
      <c r="D61" s="217"/>
      <c r="E61" s="179"/>
      <c r="F61" s="181"/>
      <c r="G61" s="181"/>
      <c r="H61" s="375"/>
      <c r="I61" s="185"/>
      <c r="J61" s="387"/>
      <c r="K61" s="178"/>
      <c r="L61" s="388"/>
      <c r="M61" s="185"/>
      <c r="N61" s="386"/>
      <c r="O61" s="178"/>
      <c r="P61" s="388"/>
      <c r="Q61" s="395"/>
      <c r="R61" s="396"/>
      <c r="S61" s="131" t="str">
        <f>IF(ISBLANK(Tbl_ResidentData[[#This Row],[Discharge '[mmm-yyyy']]]),IF(ISBLANK(Tbl_ResidentData[[#This Row],[Enrollment '[mmm-yyyy']]]),"","In Care Home"),"Discharged")</f>
        <v/>
      </c>
      <c r="T61" s="119" t="str">
        <f>IF(ISBLANK(Tbl_ResidentData[[#This Row],[Diagnosis (RAI)]]),IF(ISBLANK(Tbl_ResidentData[[#This Row],[Resident Name '[last, first']]]),"",0),IF(Tbl_ResidentData[[#This Row],[Diagnosis (RAI)]]="Other (see clinical notes)",0,1))</f>
        <v/>
      </c>
      <c r="U61" s="120" t="str">
        <f ca="1">IF(U$4&gt;NOW(),"-",IF(ISBLANK(Tbl_ResidentData[[#This Row],[Enrollment '[mmm-yyyy']]]),"-",AND((Tbl_ResidentData[[#This Row],[Enrollment '[mmm-yyyy']]]&lt;=U$4),IF(ISBLANK(Tbl_ResidentData[[#This Row],[Discharge '[mmm-yyyy']]]),TRUE,(Tbl_ResidentData[[#This Row],[Discharge '[mmm-yyyy']]]&gt;=U$4)))))</f>
        <v>-</v>
      </c>
      <c r="V61" s="121" t="str">
        <f ca="1">IF(V$4&gt;NOW(),"-",IF(ISBLANK(Tbl_ResidentData[[#This Row],[Enrollment '[mmm-yyyy']]]),"-",AND((Tbl_ResidentData[[#This Row],[Enrollment '[mmm-yyyy']]]&lt;=V$4),IF(ISBLANK(Tbl_ResidentData[[#This Row],[Discharge '[mmm-yyyy']]]),TRUE,(Tbl_ResidentData[[#This Row],[Discharge '[mmm-yyyy']]]&gt;=V$4)))))</f>
        <v>-</v>
      </c>
      <c r="W61" s="121" t="str">
        <f ca="1">IF(W$4&gt;NOW(),"-",IF(ISBLANK(Tbl_ResidentData[[#This Row],[Enrollment '[mmm-yyyy']]]),"-",AND((Tbl_ResidentData[[#This Row],[Enrollment '[mmm-yyyy']]]&lt;=W$4),IF(ISBLANK(Tbl_ResidentData[[#This Row],[Discharge '[mmm-yyyy']]]),TRUE,(Tbl_ResidentData[[#This Row],[Discharge '[mmm-yyyy']]]&gt;=W$4)))))</f>
        <v>-</v>
      </c>
      <c r="X61" s="121" t="str">
        <f ca="1">IF(X$4&gt;NOW(),"-",IF(ISBLANK(Tbl_ResidentData[[#This Row],[Enrollment '[mmm-yyyy']]]),"-",AND((Tbl_ResidentData[[#This Row],[Enrollment '[mmm-yyyy']]]&lt;=X$4),IF(ISBLANK(Tbl_ResidentData[[#This Row],[Discharge '[mmm-yyyy']]]),TRUE,(Tbl_ResidentData[[#This Row],[Discharge '[mmm-yyyy']]]&gt;=X$4)))))</f>
        <v>-</v>
      </c>
      <c r="Y61" s="121" t="str">
        <f ca="1">IF(Y$4&gt;NOW(),"-",IF(ISBLANK(Tbl_ResidentData[[#This Row],[Enrollment '[mmm-yyyy']]]),"-",AND((Tbl_ResidentData[[#This Row],[Enrollment '[mmm-yyyy']]]&lt;=Y$4),IF(ISBLANK(Tbl_ResidentData[[#This Row],[Discharge '[mmm-yyyy']]]),TRUE,(Tbl_ResidentData[[#This Row],[Discharge '[mmm-yyyy']]]&gt;=Y$4)))))</f>
        <v>-</v>
      </c>
      <c r="Z61" s="121" t="str">
        <f ca="1">IF(Z$4&gt;NOW(),"-",IF(ISBLANK(Tbl_ResidentData[[#This Row],[Enrollment '[mmm-yyyy']]]),"-",AND((Tbl_ResidentData[[#This Row],[Enrollment '[mmm-yyyy']]]&lt;=Z$4),IF(ISBLANK(Tbl_ResidentData[[#This Row],[Discharge '[mmm-yyyy']]]),TRUE,(Tbl_ResidentData[[#This Row],[Discharge '[mmm-yyyy']]]&gt;=Z$4)))))</f>
        <v>-</v>
      </c>
      <c r="AA61" s="121" t="str">
        <f ca="1">IF(AA$4&gt;NOW(),"-",IF(ISBLANK(Tbl_ResidentData[[#This Row],[Enrollment '[mmm-yyyy']]]),"-",AND((Tbl_ResidentData[[#This Row],[Enrollment '[mmm-yyyy']]]&lt;=AA$4),IF(ISBLANK(Tbl_ResidentData[[#This Row],[Discharge '[mmm-yyyy']]]),TRUE,(Tbl_ResidentData[[#This Row],[Discharge '[mmm-yyyy']]]&gt;=AA$4)))))</f>
        <v>-</v>
      </c>
      <c r="AB61" s="121" t="str">
        <f ca="1">IF(AB$4&gt;NOW(),"-",IF(ISBLANK(Tbl_ResidentData[[#This Row],[Enrollment '[mmm-yyyy']]]),"-",AND((Tbl_ResidentData[[#This Row],[Enrollment '[mmm-yyyy']]]&lt;=AB$4),IF(ISBLANK(Tbl_ResidentData[[#This Row],[Discharge '[mmm-yyyy']]]),TRUE,(Tbl_ResidentData[[#This Row],[Discharge '[mmm-yyyy']]]&gt;=AB$4)))))</f>
        <v>-</v>
      </c>
      <c r="AC61" s="121" t="str">
        <f ca="1">IF(AC$4&gt;NOW(),"-",IF(ISBLANK(Tbl_ResidentData[[#This Row],[Enrollment '[mmm-yyyy']]]),"-",AND((Tbl_ResidentData[[#This Row],[Enrollment '[mmm-yyyy']]]&lt;=AC$4),IF(ISBLANK(Tbl_ResidentData[[#This Row],[Discharge '[mmm-yyyy']]]),TRUE,(Tbl_ResidentData[[#This Row],[Discharge '[mmm-yyyy']]]&gt;=AC$4)))))</f>
        <v>-</v>
      </c>
      <c r="AD61" s="121" t="str">
        <f ca="1">IF(AD$4&gt;NOW(),"-",IF(ISBLANK(Tbl_ResidentData[[#This Row],[Enrollment '[mmm-yyyy']]]),"-",AND((Tbl_ResidentData[[#This Row],[Enrollment '[mmm-yyyy']]]&lt;=AD$4),IF(ISBLANK(Tbl_ResidentData[[#This Row],[Discharge '[mmm-yyyy']]]),TRUE,(Tbl_ResidentData[[#This Row],[Discharge '[mmm-yyyy']]]&gt;=AD$4)))))</f>
        <v>-</v>
      </c>
      <c r="AE61" s="121" t="str">
        <f ca="1">IF(AE$4&gt;NOW(),"-",IF(ISBLANK(Tbl_ResidentData[[#This Row],[Enrollment '[mmm-yyyy']]]),"-",AND((Tbl_ResidentData[[#This Row],[Enrollment '[mmm-yyyy']]]&lt;=AE$4),IF(ISBLANK(Tbl_ResidentData[[#This Row],[Discharge '[mmm-yyyy']]]),TRUE,(Tbl_ResidentData[[#This Row],[Discharge '[mmm-yyyy']]]&gt;=AE$4)))))</f>
        <v>-</v>
      </c>
      <c r="AF61" s="121" t="str">
        <f ca="1">IF(AF$4&gt;NOW(),"-",IF(ISBLANK(Tbl_ResidentData[[#This Row],[Enrollment '[mmm-yyyy']]]),"-",AND((Tbl_ResidentData[[#This Row],[Enrollment '[mmm-yyyy']]]&lt;=AF$4),IF(ISBLANK(Tbl_ResidentData[[#This Row],[Discharge '[mmm-yyyy']]]),TRUE,(Tbl_ResidentData[[#This Row],[Discharge '[mmm-yyyy']]]&gt;=AF$4)))))</f>
        <v>-</v>
      </c>
      <c r="AG61" s="121" t="str">
        <f ca="1">IF(AG$4&gt;NOW(),"-",IF(ISBLANK(Tbl_ResidentData[[#This Row],[Enrollment '[mmm-yyyy']]]),"-",AND((Tbl_ResidentData[[#This Row],[Enrollment '[mmm-yyyy']]]&lt;=AG$4),IF(ISBLANK(Tbl_ResidentData[[#This Row],[Discharge '[mmm-yyyy']]]),TRUE,(Tbl_ResidentData[[#This Row],[Discharge '[mmm-yyyy']]]&gt;=AG$4)))))</f>
        <v>-</v>
      </c>
      <c r="AH61" s="121" t="str">
        <f ca="1">IF(AH$4&gt;NOW(),"-",IF(ISBLANK(Tbl_ResidentData[[#This Row],[Enrollment '[mmm-yyyy']]]),"-",AND((Tbl_ResidentData[[#This Row],[Enrollment '[mmm-yyyy']]]&lt;=AH$4),IF(ISBLANK(Tbl_ResidentData[[#This Row],[Discharge '[mmm-yyyy']]]),TRUE,(Tbl_ResidentData[[#This Row],[Discharge '[mmm-yyyy']]]&gt;=AH$4)))))</f>
        <v>-</v>
      </c>
      <c r="AI61" s="121" t="str">
        <f ca="1">IF(AI$4&gt;NOW(),"-",IF(ISBLANK(Tbl_ResidentData[[#This Row],[Enrollment '[mmm-yyyy']]]),"-",AND((Tbl_ResidentData[[#This Row],[Enrollment '[mmm-yyyy']]]&lt;=AI$4),IF(ISBLANK(Tbl_ResidentData[[#This Row],[Discharge '[mmm-yyyy']]]),TRUE,(Tbl_ResidentData[[#This Row],[Discharge '[mmm-yyyy']]]&gt;=AI$4)))))</f>
        <v>-</v>
      </c>
      <c r="AJ61" s="121" t="str">
        <f ca="1">IF(AJ$4&gt;NOW(),"-",IF(ISBLANK(Tbl_ResidentData[[#This Row],[Enrollment '[mmm-yyyy']]]),"-",AND((Tbl_ResidentData[[#This Row],[Enrollment '[mmm-yyyy']]]&lt;=AJ$4),IF(ISBLANK(Tbl_ResidentData[[#This Row],[Discharge '[mmm-yyyy']]]),TRUE,(Tbl_ResidentData[[#This Row],[Discharge '[mmm-yyyy']]]&gt;=AJ$4)))))</f>
        <v>-</v>
      </c>
      <c r="AK61" s="121" t="str">
        <f ca="1">IF(AK$4&gt;NOW(),"-",IF(ISBLANK(Tbl_ResidentData[[#This Row],[Enrollment '[mmm-yyyy']]]),"-",AND((Tbl_ResidentData[[#This Row],[Enrollment '[mmm-yyyy']]]&lt;=AK$4),IF(ISBLANK(Tbl_ResidentData[[#This Row],[Discharge '[mmm-yyyy']]]),TRUE,(Tbl_ResidentData[[#This Row],[Discharge '[mmm-yyyy']]]&gt;=AK$4)))))</f>
        <v>-</v>
      </c>
      <c r="AL61" s="121" t="str">
        <f ca="1">IF(AL$4&gt;NOW(),"-",IF(ISBLANK(Tbl_ResidentData[[#This Row],[Enrollment '[mmm-yyyy']]]),"-",AND((Tbl_ResidentData[[#This Row],[Enrollment '[mmm-yyyy']]]&lt;=AL$4),IF(ISBLANK(Tbl_ResidentData[[#This Row],[Discharge '[mmm-yyyy']]]),TRUE,(Tbl_ResidentData[[#This Row],[Discharge '[mmm-yyyy']]]&gt;=AL$4)))))</f>
        <v>-</v>
      </c>
      <c r="AM61" s="121" t="str">
        <f ca="1">IF(AM$4&gt;NOW(),"-",IF(ISBLANK(Tbl_ResidentData[[#This Row],[Enrollment '[mmm-yyyy']]]),"-",AND((Tbl_ResidentData[[#This Row],[Enrollment '[mmm-yyyy']]]&lt;=AM$4),IF(ISBLANK(Tbl_ResidentData[[#This Row],[Discharge '[mmm-yyyy']]]),TRUE,(Tbl_ResidentData[[#This Row],[Discharge '[mmm-yyyy']]]&gt;=AM$4)))))</f>
        <v>-</v>
      </c>
      <c r="AN61" s="121" t="str">
        <f ca="1">IF(AN$4&gt;NOW(),"-",IF(ISBLANK(Tbl_ResidentData[[#This Row],[Enrollment '[mmm-yyyy']]]),"-",AND((Tbl_ResidentData[[#This Row],[Enrollment '[mmm-yyyy']]]&lt;=AN$4),IF(ISBLANK(Tbl_ResidentData[[#This Row],[Discharge '[mmm-yyyy']]]),TRUE,(Tbl_ResidentData[[#This Row],[Discharge '[mmm-yyyy']]]&gt;=AN$4)))))</f>
        <v>-</v>
      </c>
      <c r="AO61" s="121" t="str">
        <f ca="1">IF(AO$4&gt;NOW(),"-",IF(ISBLANK(Tbl_ResidentData[[#This Row],[Enrollment '[mmm-yyyy']]]),"-",AND((Tbl_ResidentData[[#This Row],[Enrollment '[mmm-yyyy']]]&lt;=AO$4),IF(ISBLANK(Tbl_ResidentData[[#This Row],[Discharge '[mmm-yyyy']]]),TRUE,(Tbl_ResidentData[[#This Row],[Discharge '[mmm-yyyy']]]&gt;=AO$4)))))</f>
        <v>-</v>
      </c>
      <c r="AP61" s="121" t="str">
        <f ca="1">IF(AP$4&gt;NOW(),"-",IF(ISBLANK(Tbl_ResidentData[[#This Row],[Enrollment '[mmm-yyyy']]]),"-",AND((Tbl_ResidentData[[#This Row],[Enrollment '[mmm-yyyy']]]&lt;=AP$4),IF(ISBLANK(Tbl_ResidentData[[#This Row],[Discharge '[mmm-yyyy']]]),TRUE,(Tbl_ResidentData[[#This Row],[Discharge '[mmm-yyyy']]]&gt;=AP$4)))))</f>
        <v>-</v>
      </c>
      <c r="AQ61" s="121" t="str">
        <f ca="1">IF(AQ$4&gt;NOW(),"-",IF(ISBLANK(Tbl_ResidentData[[#This Row],[Enrollment '[mmm-yyyy']]]),"-",AND((Tbl_ResidentData[[#This Row],[Enrollment '[mmm-yyyy']]]&lt;=AQ$4),IF(ISBLANK(Tbl_ResidentData[[#This Row],[Discharge '[mmm-yyyy']]]),TRUE,(Tbl_ResidentData[[#This Row],[Discharge '[mmm-yyyy']]]&gt;=AQ$4)))))</f>
        <v>-</v>
      </c>
      <c r="AR61" s="122" t="str">
        <f ca="1">IF(AR$4&gt;NOW(),"-",IF(ISBLANK(Tbl_ResidentData[[#This Row],[Enrollment '[mmm-yyyy']]]),"-",AND((Tbl_ResidentData[[#This Row],[Enrollment '[mmm-yyyy']]]&lt;=AR$4),IF(ISBLANK(Tbl_ResidentData[[#This Row],[Discharge '[mmm-yyyy']]]),TRUE,(Tbl_ResidentData[[#This Row],[Discharge '[mmm-yyyy']]]&gt;=AR$4)))))</f>
        <v>-</v>
      </c>
      <c r="AS6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1" s="120" t="b">
        <f ca="1">AND(Tbl_ResidentData[[#This Row],[PRN Med Started]]&lt;&gt;"",Tbl_ResidentData[[#This Row],[PRN Med Started]]&lt;=NOW(),Tbl_ResidentData[[#This Row],[PRN Med Started]]&lt;=AS$4,OR(Tbl_ResidentData[[#This Row],[PRN Med Discontinued]]&gt;AS$4,ISBLANK(Tbl_ResidentData[[#This Row],[PRN Med Discontinued]])))</f>
        <v>0</v>
      </c>
      <c r="BR61" s="121" t="b">
        <f ca="1">AND(Tbl_ResidentData[[#This Row],[PRN Med Started]]&lt;&gt;"",Tbl_ResidentData[[#This Row],[PRN Med Started]]&lt;=NOW(),Tbl_ResidentData[[#This Row],[PRN Med Started]]&lt;=AT$4,OR(Tbl_ResidentData[[#This Row],[PRN Med Discontinued]]&gt;AT$4,ISBLANK(Tbl_ResidentData[[#This Row],[PRN Med Discontinued]])))</f>
        <v>0</v>
      </c>
      <c r="BS61" s="121" t="b">
        <f ca="1">AND(Tbl_ResidentData[[#This Row],[PRN Med Started]]&lt;&gt;"",Tbl_ResidentData[[#This Row],[PRN Med Started]]&lt;=NOW(),Tbl_ResidentData[[#This Row],[PRN Med Started]]&lt;=AU$4,OR(Tbl_ResidentData[[#This Row],[PRN Med Discontinued]]&gt;AU$4,ISBLANK(Tbl_ResidentData[[#This Row],[PRN Med Discontinued]])))</f>
        <v>0</v>
      </c>
      <c r="BT61" s="121" t="b">
        <f ca="1">AND(Tbl_ResidentData[[#This Row],[PRN Med Started]]&lt;&gt;"",Tbl_ResidentData[[#This Row],[PRN Med Started]]&lt;=NOW(),Tbl_ResidentData[[#This Row],[PRN Med Started]]&lt;=AV$4,OR(Tbl_ResidentData[[#This Row],[PRN Med Discontinued]]&gt;AV$4,ISBLANK(Tbl_ResidentData[[#This Row],[PRN Med Discontinued]])))</f>
        <v>0</v>
      </c>
      <c r="BU61" s="121" t="b">
        <f ca="1">AND(Tbl_ResidentData[[#This Row],[PRN Med Started]]&lt;&gt;"",Tbl_ResidentData[[#This Row],[PRN Med Started]]&lt;=NOW(),Tbl_ResidentData[[#This Row],[PRN Med Started]]&lt;=AW$4,OR(Tbl_ResidentData[[#This Row],[PRN Med Discontinued]]&gt;AW$4,ISBLANK(Tbl_ResidentData[[#This Row],[PRN Med Discontinued]])))</f>
        <v>0</v>
      </c>
      <c r="BV61" s="121" t="b">
        <f ca="1">AND(Tbl_ResidentData[[#This Row],[PRN Med Started]]&lt;&gt;"",Tbl_ResidentData[[#This Row],[PRN Med Started]]&lt;=NOW(),Tbl_ResidentData[[#This Row],[PRN Med Started]]&lt;=AX$4,OR(Tbl_ResidentData[[#This Row],[PRN Med Discontinued]]&gt;AX$4,ISBLANK(Tbl_ResidentData[[#This Row],[PRN Med Discontinued]])))</f>
        <v>0</v>
      </c>
      <c r="BW61" s="121" t="b">
        <f ca="1">AND(Tbl_ResidentData[[#This Row],[PRN Med Started]]&lt;&gt;"",Tbl_ResidentData[[#This Row],[PRN Med Started]]&lt;=NOW(),Tbl_ResidentData[[#This Row],[PRN Med Started]]&lt;=AY$4,OR(Tbl_ResidentData[[#This Row],[PRN Med Discontinued]]&gt;AY$4,ISBLANK(Tbl_ResidentData[[#This Row],[PRN Med Discontinued]])))</f>
        <v>0</v>
      </c>
      <c r="BX61" s="121" t="b">
        <f ca="1">AND(Tbl_ResidentData[[#This Row],[PRN Med Started]]&lt;&gt;"",Tbl_ResidentData[[#This Row],[PRN Med Started]]&lt;=NOW(),Tbl_ResidentData[[#This Row],[PRN Med Started]]&lt;=AZ$4,OR(Tbl_ResidentData[[#This Row],[PRN Med Discontinued]]&gt;AZ$4,ISBLANK(Tbl_ResidentData[[#This Row],[PRN Med Discontinued]])))</f>
        <v>0</v>
      </c>
      <c r="BY61" s="121" t="b">
        <f ca="1">AND(Tbl_ResidentData[[#This Row],[PRN Med Started]]&lt;&gt;"",Tbl_ResidentData[[#This Row],[PRN Med Started]]&lt;=NOW(),Tbl_ResidentData[[#This Row],[PRN Med Started]]&lt;=BA$4,OR(Tbl_ResidentData[[#This Row],[PRN Med Discontinued]]&gt;BA$4,ISBLANK(Tbl_ResidentData[[#This Row],[PRN Med Discontinued]])))</f>
        <v>0</v>
      </c>
      <c r="BZ61" s="121" t="b">
        <f ca="1">AND(Tbl_ResidentData[[#This Row],[PRN Med Started]]&lt;&gt;"",Tbl_ResidentData[[#This Row],[PRN Med Started]]&lt;=NOW(),Tbl_ResidentData[[#This Row],[PRN Med Started]]&lt;=BB$4,OR(Tbl_ResidentData[[#This Row],[PRN Med Discontinued]]&gt;BB$4,ISBLANK(Tbl_ResidentData[[#This Row],[PRN Med Discontinued]])))</f>
        <v>0</v>
      </c>
      <c r="CA61" s="121" t="b">
        <f ca="1">AND(Tbl_ResidentData[[#This Row],[PRN Med Started]]&lt;&gt;"",Tbl_ResidentData[[#This Row],[PRN Med Started]]&lt;=NOW(),Tbl_ResidentData[[#This Row],[PRN Med Started]]&lt;=BC$4,OR(Tbl_ResidentData[[#This Row],[PRN Med Discontinued]]&gt;BC$4,ISBLANK(Tbl_ResidentData[[#This Row],[PRN Med Discontinued]])))</f>
        <v>0</v>
      </c>
      <c r="CB61" s="121" t="b">
        <f ca="1">AND(Tbl_ResidentData[[#This Row],[PRN Med Started]]&lt;&gt;"",Tbl_ResidentData[[#This Row],[PRN Med Started]]&lt;=NOW(),Tbl_ResidentData[[#This Row],[PRN Med Started]]&lt;=BD$4,OR(Tbl_ResidentData[[#This Row],[PRN Med Discontinued]]&gt;BD$4,ISBLANK(Tbl_ResidentData[[#This Row],[PRN Med Discontinued]])))</f>
        <v>0</v>
      </c>
      <c r="CC61" s="121" t="b">
        <f ca="1">AND(Tbl_ResidentData[[#This Row],[PRN Med Started]]&lt;&gt;"",Tbl_ResidentData[[#This Row],[PRN Med Started]]&lt;=NOW(),Tbl_ResidentData[[#This Row],[PRN Med Started]]&lt;=BE$4,OR(Tbl_ResidentData[[#This Row],[PRN Med Discontinued]]&gt;BE$4,ISBLANK(Tbl_ResidentData[[#This Row],[PRN Med Discontinued]])))</f>
        <v>0</v>
      </c>
      <c r="CD61" s="121" t="b">
        <f ca="1">AND(Tbl_ResidentData[[#This Row],[PRN Med Started]]&lt;&gt;"",Tbl_ResidentData[[#This Row],[PRN Med Started]]&lt;=NOW(),Tbl_ResidentData[[#This Row],[PRN Med Started]]&lt;=BF$4,OR(Tbl_ResidentData[[#This Row],[PRN Med Discontinued]]&gt;BF$4,ISBLANK(Tbl_ResidentData[[#This Row],[PRN Med Discontinued]])))</f>
        <v>0</v>
      </c>
      <c r="CE61" s="121" t="b">
        <f ca="1">AND(Tbl_ResidentData[[#This Row],[PRN Med Started]]&lt;&gt;"",Tbl_ResidentData[[#This Row],[PRN Med Started]]&lt;=NOW(),Tbl_ResidentData[[#This Row],[PRN Med Started]]&lt;=BG$4,OR(Tbl_ResidentData[[#This Row],[PRN Med Discontinued]]&gt;BG$4,ISBLANK(Tbl_ResidentData[[#This Row],[PRN Med Discontinued]])))</f>
        <v>0</v>
      </c>
      <c r="CF61" s="121" t="b">
        <f ca="1">AND(Tbl_ResidentData[[#This Row],[PRN Med Started]]&lt;&gt;"",Tbl_ResidentData[[#This Row],[PRN Med Started]]&lt;=NOW(),Tbl_ResidentData[[#This Row],[PRN Med Started]]&lt;=BH$4,OR(Tbl_ResidentData[[#This Row],[PRN Med Discontinued]]&gt;BH$4,ISBLANK(Tbl_ResidentData[[#This Row],[PRN Med Discontinued]])))</f>
        <v>0</v>
      </c>
      <c r="CG61" s="121" t="b">
        <f ca="1">AND(Tbl_ResidentData[[#This Row],[PRN Med Started]]&lt;&gt;"",Tbl_ResidentData[[#This Row],[PRN Med Started]]&lt;=NOW(),Tbl_ResidentData[[#This Row],[PRN Med Started]]&lt;=BI$4,OR(Tbl_ResidentData[[#This Row],[PRN Med Discontinued]]&gt;BI$4,ISBLANK(Tbl_ResidentData[[#This Row],[PRN Med Discontinued]])))</f>
        <v>0</v>
      </c>
      <c r="CH61" s="121" t="b">
        <f ca="1">AND(Tbl_ResidentData[[#This Row],[PRN Med Started]]&lt;&gt;"",Tbl_ResidentData[[#This Row],[PRN Med Started]]&lt;=NOW(),Tbl_ResidentData[[#This Row],[PRN Med Started]]&lt;=BJ$4,OR(Tbl_ResidentData[[#This Row],[PRN Med Discontinued]]&gt;BJ$4,ISBLANK(Tbl_ResidentData[[#This Row],[PRN Med Discontinued]])))</f>
        <v>0</v>
      </c>
      <c r="CI61" s="121" t="b">
        <f ca="1">AND(Tbl_ResidentData[[#This Row],[PRN Med Started]]&lt;&gt;"",Tbl_ResidentData[[#This Row],[PRN Med Started]]&lt;=NOW(),Tbl_ResidentData[[#This Row],[PRN Med Started]]&lt;=BK$4,OR(Tbl_ResidentData[[#This Row],[PRN Med Discontinued]]&gt;BK$4,ISBLANK(Tbl_ResidentData[[#This Row],[PRN Med Discontinued]])))</f>
        <v>0</v>
      </c>
      <c r="CJ61" s="121" t="b">
        <f ca="1">AND(Tbl_ResidentData[[#This Row],[PRN Med Started]]&lt;&gt;"",Tbl_ResidentData[[#This Row],[PRN Med Started]]&lt;=NOW(),Tbl_ResidentData[[#This Row],[PRN Med Started]]&lt;=BL$4,OR(Tbl_ResidentData[[#This Row],[PRN Med Discontinued]]&gt;BL$4,ISBLANK(Tbl_ResidentData[[#This Row],[PRN Med Discontinued]])))</f>
        <v>0</v>
      </c>
      <c r="CK61" s="121" t="b">
        <f ca="1">AND(Tbl_ResidentData[[#This Row],[PRN Med Started]]&lt;&gt;"",Tbl_ResidentData[[#This Row],[PRN Med Started]]&lt;=NOW(),Tbl_ResidentData[[#This Row],[PRN Med Started]]&lt;=BM$4,OR(Tbl_ResidentData[[#This Row],[PRN Med Discontinued]]&gt;BM$4,ISBLANK(Tbl_ResidentData[[#This Row],[PRN Med Discontinued]])))</f>
        <v>0</v>
      </c>
      <c r="CL61" s="121" t="b">
        <f ca="1">AND(Tbl_ResidentData[[#This Row],[PRN Med Started]]&lt;&gt;"",Tbl_ResidentData[[#This Row],[PRN Med Started]]&lt;=NOW(),Tbl_ResidentData[[#This Row],[PRN Med Started]]&lt;=BN$4,OR(Tbl_ResidentData[[#This Row],[PRN Med Discontinued]]&gt;BN$4,ISBLANK(Tbl_ResidentData[[#This Row],[PRN Med Discontinued]])))</f>
        <v>0</v>
      </c>
      <c r="CM61" s="121" t="b">
        <f ca="1">AND(Tbl_ResidentData[[#This Row],[PRN Med Started]]&lt;&gt;"",Tbl_ResidentData[[#This Row],[PRN Med Started]]&lt;=NOW(),Tbl_ResidentData[[#This Row],[PRN Med Started]]&lt;=BO$4,OR(Tbl_ResidentData[[#This Row],[PRN Med Discontinued]]&gt;BO$4,ISBLANK(Tbl_ResidentData[[#This Row],[PRN Med Discontinued]])))</f>
        <v>0</v>
      </c>
      <c r="CN61" s="122" t="b">
        <f ca="1">AND(Tbl_ResidentData[[#This Row],[PRN Med Started]]&lt;&gt;"",Tbl_ResidentData[[#This Row],[PRN Med Started]]&lt;=NOW(),Tbl_ResidentData[[#This Row],[PRN Med Started]]&lt;=BP$4,OR(Tbl_ResidentData[[#This Row],[PRN Med Discontinued]]&gt;BP$4,ISBLANK(Tbl_ResidentData[[#This Row],[PRN Med Discontinued]])))</f>
        <v>0</v>
      </c>
      <c r="CO61" s="120">
        <f ca="1">IF(OR(Tbl_ResidentData[[#This Row],[S1]]=TRUE,Tbl_ResidentData[[#This Row],[P1]]=TRUE),1,0)</f>
        <v>0</v>
      </c>
      <c r="CP61" s="121">
        <f ca="1">IF(OR(Tbl_ResidentData[[#This Row],[S2]]=TRUE,Tbl_ResidentData[[#This Row],[P2]]=TRUE),1,0)</f>
        <v>0</v>
      </c>
      <c r="CQ61" s="121">
        <f ca="1">IF(OR(Tbl_ResidentData[[#This Row],[S3]]=TRUE,Tbl_ResidentData[[#This Row],[P3]]=TRUE),1,0)</f>
        <v>0</v>
      </c>
      <c r="CR61" s="120">
        <f ca="1">IF(OR(Tbl_ResidentData[[#This Row],[S4]]=TRUE,Tbl_ResidentData[[#This Row],[P4]]=TRUE),1,0)</f>
        <v>0</v>
      </c>
      <c r="CS61" s="120">
        <f ca="1">IF(OR(Tbl_ResidentData[[#This Row],[S5]]=TRUE,Tbl_ResidentData[[#This Row],[P5]]=TRUE),1,0)</f>
        <v>0</v>
      </c>
      <c r="CT61" s="120">
        <f ca="1">IF(OR(Tbl_ResidentData[[#This Row],[S6]]=TRUE,Tbl_ResidentData[[#This Row],[P6]]=TRUE),1,0)</f>
        <v>0</v>
      </c>
      <c r="CU61" s="120">
        <f ca="1">IF(OR(Tbl_ResidentData[[#This Row],[S7]]=TRUE,Tbl_ResidentData[[#This Row],[P7]]=TRUE),1,0)</f>
        <v>0</v>
      </c>
      <c r="CV61" s="120">
        <f ca="1">IF(OR(Tbl_ResidentData[[#This Row],[S8]]=TRUE,Tbl_ResidentData[[#This Row],[P8]]=TRUE),1,0)</f>
        <v>0</v>
      </c>
      <c r="CW61" s="120">
        <f ca="1">IF(OR(Tbl_ResidentData[[#This Row],[S9]]=TRUE,Tbl_ResidentData[[#This Row],[P9]]=TRUE),1,0)</f>
        <v>0</v>
      </c>
      <c r="CX61" s="120">
        <f ca="1">IF(OR(Tbl_ResidentData[[#This Row],[S10]]=TRUE,Tbl_ResidentData[[#This Row],[P10]]=TRUE),1,0)</f>
        <v>0</v>
      </c>
      <c r="CY61" s="120">
        <f ca="1">IF(OR(Tbl_ResidentData[[#This Row],[S11]]=TRUE,Tbl_ResidentData[[#This Row],[P11]]=TRUE),1,0)</f>
        <v>0</v>
      </c>
      <c r="CZ61" s="120">
        <f ca="1">IF(OR(Tbl_ResidentData[[#This Row],[S12]]=TRUE,Tbl_ResidentData[[#This Row],[P12]]=TRUE),1,0)</f>
        <v>0</v>
      </c>
      <c r="DA61" s="120">
        <f ca="1">IF(OR(Tbl_ResidentData[[#This Row],[S13]]=TRUE,Tbl_ResidentData[[#This Row],[P13]]=TRUE),1,0)</f>
        <v>0</v>
      </c>
      <c r="DB61" s="120">
        <f ca="1">IF(OR(Tbl_ResidentData[[#This Row],[S14]]=TRUE,Tbl_ResidentData[[#This Row],[P14]]=TRUE),1,0)</f>
        <v>0</v>
      </c>
      <c r="DC61" s="120">
        <f ca="1">IF(OR(Tbl_ResidentData[[#This Row],[S15]]=TRUE,Tbl_ResidentData[[#This Row],[P15]]=TRUE),1,0)</f>
        <v>0</v>
      </c>
      <c r="DD61" s="120">
        <f ca="1">IF(OR(Tbl_ResidentData[[#This Row],[S16]]=TRUE,Tbl_ResidentData[[#This Row],[P16]]=TRUE),1,0)</f>
        <v>0</v>
      </c>
      <c r="DE61" s="120">
        <f ca="1">IF(OR(Tbl_ResidentData[[#This Row],[S17]]=TRUE,Tbl_ResidentData[[#This Row],[P17]]=TRUE),1,0)</f>
        <v>0</v>
      </c>
      <c r="DF61" s="120">
        <f ca="1">IF(OR(Tbl_ResidentData[[#This Row],[S18]]=TRUE,Tbl_ResidentData[[#This Row],[P18]]=TRUE),1,0)</f>
        <v>0</v>
      </c>
      <c r="DG61" s="120">
        <f ca="1">IF(OR(Tbl_ResidentData[[#This Row],[S19]]=TRUE,Tbl_ResidentData[[#This Row],[P19]]=TRUE),1,0)</f>
        <v>0</v>
      </c>
      <c r="DH61" s="120">
        <f ca="1">IF(OR(Tbl_ResidentData[[#This Row],[S20]]=TRUE,Tbl_ResidentData[[#This Row],[P20]]=TRUE),1,0)</f>
        <v>0</v>
      </c>
      <c r="DI61" s="120">
        <f ca="1">IF(OR(Tbl_ResidentData[[#This Row],[S21]]=TRUE,Tbl_ResidentData[[#This Row],[P21]]=TRUE),1,0)</f>
        <v>0</v>
      </c>
      <c r="DJ61" s="120">
        <f ca="1">IF(OR(Tbl_ResidentData[[#This Row],[S22]]=TRUE,Tbl_ResidentData[[#This Row],[P22]]=TRUE),1,0)</f>
        <v>0</v>
      </c>
      <c r="DK61" s="120">
        <f ca="1">IF(OR(Tbl_ResidentData[[#This Row],[S23]]=TRUE,Tbl_ResidentData[[#This Row],[P23]]=TRUE),1,0)</f>
        <v>0</v>
      </c>
      <c r="DL61" s="120">
        <f ca="1">IF(OR(Tbl_ResidentData[[#This Row],[S24]]=TRUE,Tbl_ResidentData[[#This Row],[P24]]=TRUE),1,0)</f>
        <v>0</v>
      </c>
      <c r="DM61" s="123" t="str">
        <f ca="1">IFERROR(INDEX($CO$4:$DL$4,MATCH(TRUE,INDEX((Tbl_ResidentData[[#This Row],[Over1]:[Over24]]&lt;&gt;0),0),0)),"")</f>
        <v/>
      </c>
      <c r="DN61" s="133" t="str">
        <f>IFERROR(INDEX(Tbl_PDSAData[Last DRT],MATCH(Tbl_ResidentData[Resident Name '[last, first']],Tbl_PDSAData[Resident Name (last, first)],0)),"")</f>
        <v/>
      </c>
      <c r="DO61" s="222" t="str">
        <f>IFERROR(INDEX(Tbl_PDSAData[Last MR],MATCH(Tbl_ResidentData[Resident Name '[last, first']],Tbl_PDSAData[Resident Name (last, first)],0)),"")</f>
        <v/>
      </c>
    </row>
    <row r="62" spans="1:119" x14ac:dyDescent="0.25">
      <c r="A62" s="179"/>
      <c r="B62" s="180"/>
      <c r="C62" s="180"/>
      <c r="D62" s="218"/>
      <c r="E62" s="179"/>
      <c r="F62" s="181"/>
      <c r="G62" s="181"/>
      <c r="H62" s="375"/>
      <c r="I62" s="185"/>
      <c r="J62" s="387"/>
      <c r="K62" s="178"/>
      <c r="L62" s="388"/>
      <c r="M62" s="185"/>
      <c r="N62" s="386"/>
      <c r="O62" s="178"/>
      <c r="P62" s="388"/>
      <c r="Q62" s="394"/>
      <c r="R62" s="388"/>
      <c r="S62" s="131" t="str">
        <f>IF(ISBLANK(Tbl_ResidentData[[#This Row],[Discharge '[mmm-yyyy']]]),IF(ISBLANK(Tbl_ResidentData[[#This Row],[Enrollment '[mmm-yyyy']]]),"","In Care Home"),"Discharged")</f>
        <v/>
      </c>
      <c r="T62" s="119" t="str">
        <f>IF(ISBLANK(Tbl_ResidentData[[#This Row],[Diagnosis (RAI)]]),IF(ISBLANK(Tbl_ResidentData[[#This Row],[Resident Name '[last, first']]]),"",0),IF(Tbl_ResidentData[[#This Row],[Diagnosis (RAI)]]="Other (see clinical notes)",0,1))</f>
        <v/>
      </c>
      <c r="U62" s="120" t="str">
        <f ca="1">IF(U$4&gt;NOW(),"-",IF(ISBLANK(Tbl_ResidentData[[#This Row],[Enrollment '[mmm-yyyy']]]),"-",AND((Tbl_ResidentData[[#This Row],[Enrollment '[mmm-yyyy']]]&lt;=U$4),IF(ISBLANK(Tbl_ResidentData[[#This Row],[Discharge '[mmm-yyyy']]]),TRUE,(Tbl_ResidentData[[#This Row],[Discharge '[mmm-yyyy']]]&gt;=U$4)))))</f>
        <v>-</v>
      </c>
      <c r="V62" s="121" t="str">
        <f ca="1">IF(V$4&gt;NOW(),"-",IF(ISBLANK(Tbl_ResidentData[[#This Row],[Enrollment '[mmm-yyyy']]]),"-",AND((Tbl_ResidentData[[#This Row],[Enrollment '[mmm-yyyy']]]&lt;=V$4),IF(ISBLANK(Tbl_ResidentData[[#This Row],[Discharge '[mmm-yyyy']]]),TRUE,(Tbl_ResidentData[[#This Row],[Discharge '[mmm-yyyy']]]&gt;=V$4)))))</f>
        <v>-</v>
      </c>
      <c r="W62" s="121" t="str">
        <f ca="1">IF(W$4&gt;NOW(),"-",IF(ISBLANK(Tbl_ResidentData[[#This Row],[Enrollment '[mmm-yyyy']]]),"-",AND((Tbl_ResidentData[[#This Row],[Enrollment '[mmm-yyyy']]]&lt;=W$4),IF(ISBLANK(Tbl_ResidentData[[#This Row],[Discharge '[mmm-yyyy']]]),TRUE,(Tbl_ResidentData[[#This Row],[Discharge '[mmm-yyyy']]]&gt;=W$4)))))</f>
        <v>-</v>
      </c>
      <c r="X62" s="121" t="str">
        <f ca="1">IF(X$4&gt;NOW(),"-",IF(ISBLANK(Tbl_ResidentData[[#This Row],[Enrollment '[mmm-yyyy']]]),"-",AND((Tbl_ResidentData[[#This Row],[Enrollment '[mmm-yyyy']]]&lt;=X$4),IF(ISBLANK(Tbl_ResidentData[[#This Row],[Discharge '[mmm-yyyy']]]),TRUE,(Tbl_ResidentData[[#This Row],[Discharge '[mmm-yyyy']]]&gt;=X$4)))))</f>
        <v>-</v>
      </c>
      <c r="Y62" s="121" t="str">
        <f ca="1">IF(Y$4&gt;NOW(),"-",IF(ISBLANK(Tbl_ResidentData[[#This Row],[Enrollment '[mmm-yyyy']]]),"-",AND((Tbl_ResidentData[[#This Row],[Enrollment '[mmm-yyyy']]]&lt;=Y$4),IF(ISBLANK(Tbl_ResidentData[[#This Row],[Discharge '[mmm-yyyy']]]),TRUE,(Tbl_ResidentData[[#This Row],[Discharge '[mmm-yyyy']]]&gt;=Y$4)))))</f>
        <v>-</v>
      </c>
      <c r="Z62" s="121" t="str">
        <f ca="1">IF(Z$4&gt;NOW(),"-",IF(ISBLANK(Tbl_ResidentData[[#This Row],[Enrollment '[mmm-yyyy']]]),"-",AND((Tbl_ResidentData[[#This Row],[Enrollment '[mmm-yyyy']]]&lt;=Z$4),IF(ISBLANK(Tbl_ResidentData[[#This Row],[Discharge '[mmm-yyyy']]]),TRUE,(Tbl_ResidentData[[#This Row],[Discharge '[mmm-yyyy']]]&gt;=Z$4)))))</f>
        <v>-</v>
      </c>
      <c r="AA62" s="121" t="str">
        <f ca="1">IF(AA$4&gt;NOW(),"-",IF(ISBLANK(Tbl_ResidentData[[#This Row],[Enrollment '[mmm-yyyy']]]),"-",AND((Tbl_ResidentData[[#This Row],[Enrollment '[mmm-yyyy']]]&lt;=AA$4),IF(ISBLANK(Tbl_ResidentData[[#This Row],[Discharge '[mmm-yyyy']]]),TRUE,(Tbl_ResidentData[[#This Row],[Discharge '[mmm-yyyy']]]&gt;=AA$4)))))</f>
        <v>-</v>
      </c>
      <c r="AB62" s="121" t="str">
        <f ca="1">IF(AB$4&gt;NOW(),"-",IF(ISBLANK(Tbl_ResidentData[[#This Row],[Enrollment '[mmm-yyyy']]]),"-",AND((Tbl_ResidentData[[#This Row],[Enrollment '[mmm-yyyy']]]&lt;=AB$4),IF(ISBLANK(Tbl_ResidentData[[#This Row],[Discharge '[mmm-yyyy']]]),TRUE,(Tbl_ResidentData[[#This Row],[Discharge '[mmm-yyyy']]]&gt;=AB$4)))))</f>
        <v>-</v>
      </c>
      <c r="AC62" s="121" t="str">
        <f ca="1">IF(AC$4&gt;NOW(),"-",IF(ISBLANK(Tbl_ResidentData[[#This Row],[Enrollment '[mmm-yyyy']]]),"-",AND((Tbl_ResidentData[[#This Row],[Enrollment '[mmm-yyyy']]]&lt;=AC$4),IF(ISBLANK(Tbl_ResidentData[[#This Row],[Discharge '[mmm-yyyy']]]),TRUE,(Tbl_ResidentData[[#This Row],[Discharge '[mmm-yyyy']]]&gt;=AC$4)))))</f>
        <v>-</v>
      </c>
      <c r="AD62" s="121" t="str">
        <f ca="1">IF(AD$4&gt;NOW(),"-",IF(ISBLANK(Tbl_ResidentData[[#This Row],[Enrollment '[mmm-yyyy']]]),"-",AND((Tbl_ResidentData[[#This Row],[Enrollment '[mmm-yyyy']]]&lt;=AD$4),IF(ISBLANK(Tbl_ResidentData[[#This Row],[Discharge '[mmm-yyyy']]]),TRUE,(Tbl_ResidentData[[#This Row],[Discharge '[mmm-yyyy']]]&gt;=AD$4)))))</f>
        <v>-</v>
      </c>
      <c r="AE62" s="121" t="str">
        <f ca="1">IF(AE$4&gt;NOW(),"-",IF(ISBLANK(Tbl_ResidentData[[#This Row],[Enrollment '[mmm-yyyy']]]),"-",AND((Tbl_ResidentData[[#This Row],[Enrollment '[mmm-yyyy']]]&lt;=AE$4),IF(ISBLANK(Tbl_ResidentData[[#This Row],[Discharge '[mmm-yyyy']]]),TRUE,(Tbl_ResidentData[[#This Row],[Discharge '[mmm-yyyy']]]&gt;=AE$4)))))</f>
        <v>-</v>
      </c>
      <c r="AF62" s="121" t="str">
        <f ca="1">IF(AF$4&gt;NOW(),"-",IF(ISBLANK(Tbl_ResidentData[[#This Row],[Enrollment '[mmm-yyyy']]]),"-",AND((Tbl_ResidentData[[#This Row],[Enrollment '[mmm-yyyy']]]&lt;=AF$4),IF(ISBLANK(Tbl_ResidentData[[#This Row],[Discharge '[mmm-yyyy']]]),TRUE,(Tbl_ResidentData[[#This Row],[Discharge '[mmm-yyyy']]]&gt;=AF$4)))))</f>
        <v>-</v>
      </c>
      <c r="AG62" s="121" t="str">
        <f ca="1">IF(AG$4&gt;NOW(),"-",IF(ISBLANK(Tbl_ResidentData[[#This Row],[Enrollment '[mmm-yyyy']]]),"-",AND((Tbl_ResidentData[[#This Row],[Enrollment '[mmm-yyyy']]]&lt;=AG$4),IF(ISBLANK(Tbl_ResidentData[[#This Row],[Discharge '[mmm-yyyy']]]),TRUE,(Tbl_ResidentData[[#This Row],[Discharge '[mmm-yyyy']]]&gt;=AG$4)))))</f>
        <v>-</v>
      </c>
      <c r="AH62" s="121" t="str">
        <f ca="1">IF(AH$4&gt;NOW(),"-",IF(ISBLANK(Tbl_ResidentData[[#This Row],[Enrollment '[mmm-yyyy']]]),"-",AND((Tbl_ResidentData[[#This Row],[Enrollment '[mmm-yyyy']]]&lt;=AH$4),IF(ISBLANK(Tbl_ResidentData[[#This Row],[Discharge '[mmm-yyyy']]]),TRUE,(Tbl_ResidentData[[#This Row],[Discharge '[mmm-yyyy']]]&gt;=AH$4)))))</f>
        <v>-</v>
      </c>
      <c r="AI62" s="121" t="str">
        <f ca="1">IF(AI$4&gt;NOW(),"-",IF(ISBLANK(Tbl_ResidentData[[#This Row],[Enrollment '[mmm-yyyy']]]),"-",AND((Tbl_ResidentData[[#This Row],[Enrollment '[mmm-yyyy']]]&lt;=AI$4),IF(ISBLANK(Tbl_ResidentData[[#This Row],[Discharge '[mmm-yyyy']]]),TRUE,(Tbl_ResidentData[[#This Row],[Discharge '[mmm-yyyy']]]&gt;=AI$4)))))</f>
        <v>-</v>
      </c>
      <c r="AJ62" s="121" t="str">
        <f ca="1">IF(AJ$4&gt;NOW(),"-",IF(ISBLANK(Tbl_ResidentData[[#This Row],[Enrollment '[mmm-yyyy']]]),"-",AND((Tbl_ResidentData[[#This Row],[Enrollment '[mmm-yyyy']]]&lt;=AJ$4),IF(ISBLANK(Tbl_ResidentData[[#This Row],[Discharge '[mmm-yyyy']]]),TRUE,(Tbl_ResidentData[[#This Row],[Discharge '[mmm-yyyy']]]&gt;=AJ$4)))))</f>
        <v>-</v>
      </c>
      <c r="AK62" s="121" t="str">
        <f ca="1">IF(AK$4&gt;NOW(),"-",IF(ISBLANK(Tbl_ResidentData[[#This Row],[Enrollment '[mmm-yyyy']]]),"-",AND((Tbl_ResidentData[[#This Row],[Enrollment '[mmm-yyyy']]]&lt;=AK$4),IF(ISBLANK(Tbl_ResidentData[[#This Row],[Discharge '[mmm-yyyy']]]),TRUE,(Tbl_ResidentData[[#This Row],[Discharge '[mmm-yyyy']]]&gt;=AK$4)))))</f>
        <v>-</v>
      </c>
      <c r="AL62" s="121" t="str">
        <f ca="1">IF(AL$4&gt;NOW(),"-",IF(ISBLANK(Tbl_ResidentData[[#This Row],[Enrollment '[mmm-yyyy']]]),"-",AND((Tbl_ResidentData[[#This Row],[Enrollment '[mmm-yyyy']]]&lt;=AL$4),IF(ISBLANK(Tbl_ResidentData[[#This Row],[Discharge '[mmm-yyyy']]]),TRUE,(Tbl_ResidentData[[#This Row],[Discharge '[mmm-yyyy']]]&gt;=AL$4)))))</f>
        <v>-</v>
      </c>
      <c r="AM62" s="121" t="str">
        <f ca="1">IF(AM$4&gt;NOW(),"-",IF(ISBLANK(Tbl_ResidentData[[#This Row],[Enrollment '[mmm-yyyy']]]),"-",AND((Tbl_ResidentData[[#This Row],[Enrollment '[mmm-yyyy']]]&lt;=AM$4),IF(ISBLANK(Tbl_ResidentData[[#This Row],[Discharge '[mmm-yyyy']]]),TRUE,(Tbl_ResidentData[[#This Row],[Discharge '[mmm-yyyy']]]&gt;=AM$4)))))</f>
        <v>-</v>
      </c>
      <c r="AN62" s="121" t="str">
        <f ca="1">IF(AN$4&gt;NOW(),"-",IF(ISBLANK(Tbl_ResidentData[[#This Row],[Enrollment '[mmm-yyyy']]]),"-",AND((Tbl_ResidentData[[#This Row],[Enrollment '[mmm-yyyy']]]&lt;=AN$4),IF(ISBLANK(Tbl_ResidentData[[#This Row],[Discharge '[mmm-yyyy']]]),TRUE,(Tbl_ResidentData[[#This Row],[Discharge '[mmm-yyyy']]]&gt;=AN$4)))))</f>
        <v>-</v>
      </c>
      <c r="AO62" s="121" t="str">
        <f ca="1">IF(AO$4&gt;NOW(),"-",IF(ISBLANK(Tbl_ResidentData[[#This Row],[Enrollment '[mmm-yyyy']]]),"-",AND((Tbl_ResidentData[[#This Row],[Enrollment '[mmm-yyyy']]]&lt;=AO$4),IF(ISBLANK(Tbl_ResidentData[[#This Row],[Discharge '[mmm-yyyy']]]),TRUE,(Tbl_ResidentData[[#This Row],[Discharge '[mmm-yyyy']]]&gt;=AO$4)))))</f>
        <v>-</v>
      </c>
      <c r="AP62" s="121" t="str">
        <f ca="1">IF(AP$4&gt;NOW(),"-",IF(ISBLANK(Tbl_ResidentData[[#This Row],[Enrollment '[mmm-yyyy']]]),"-",AND((Tbl_ResidentData[[#This Row],[Enrollment '[mmm-yyyy']]]&lt;=AP$4),IF(ISBLANK(Tbl_ResidentData[[#This Row],[Discharge '[mmm-yyyy']]]),TRUE,(Tbl_ResidentData[[#This Row],[Discharge '[mmm-yyyy']]]&gt;=AP$4)))))</f>
        <v>-</v>
      </c>
      <c r="AQ62" s="121" t="str">
        <f ca="1">IF(AQ$4&gt;NOW(),"-",IF(ISBLANK(Tbl_ResidentData[[#This Row],[Enrollment '[mmm-yyyy']]]),"-",AND((Tbl_ResidentData[[#This Row],[Enrollment '[mmm-yyyy']]]&lt;=AQ$4),IF(ISBLANK(Tbl_ResidentData[[#This Row],[Discharge '[mmm-yyyy']]]),TRUE,(Tbl_ResidentData[[#This Row],[Discharge '[mmm-yyyy']]]&gt;=AQ$4)))))</f>
        <v>-</v>
      </c>
      <c r="AR62" s="122" t="str">
        <f ca="1">IF(AR$4&gt;NOW(),"-",IF(ISBLANK(Tbl_ResidentData[[#This Row],[Enrollment '[mmm-yyyy']]]),"-",AND((Tbl_ResidentData[[#This Row],[Enrollment '[mmm-yyyy']]]&lt;=AR$4),IF(ISBLANK(Tbl_ResidentData[[#This Row],[Discharge '[mmm-yyyy']]]),TRUE,(Tbl_ResidentData[[#This Row],[Discharge '[mmm-yyyy']]]&gt;=AR$4)))))</f>
        <v>-</v>
      </c>
      <c r="AS6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2" s="120" t="b">
        <f ca="1">AND(Tbl_ResidentData[[#This Row],[PRN Med Started]]&lt;&gt;"",Tbl_ResidentData[[#This Row],[PRN Med Started]]&lt;=NOW(),Tbl_ResidentData[[#This Row],[PRN Med Started]]&lt;=AS$4,OR(Tbl_ResidentData[[#This Row],[PRN Med Discontinued]]&gt;AS$4,ISBLANK(Tbl_ResidentData[[#This Row],[PRN Med Discontinued]])))</f>
        <v>0</v>
      </c>
      <c r="BR62" s="121" t="b">
        <f ca="1">AND(Tbl_ResidentData[[#This Row],[PRN Med Started]]&lt;&gt;"",Tbl_ResidentData[[#This Row],[PRN Med Started]]&lt;=NOW(),Tbl_ResidentData[[#This Row],[PRN Med Started]]&lt;=AT$4,OR(Tbl_ResidentData[[#This Row],[PRN Med Discontinued]]&gt;AT$4,ISBLANK(Tbl_ResidentData[[#This Row],[PRN Med Discontinued]])))</f>
        <v>0</v>
      </c>
      <c r="BS62" s="121" t="b">
        <f ca="1">AND(Tbl_ResidentData[[#This Row],[PRN Med Started]]&lt;&gt;"",Tbl_ResidentData[[#This Row],[PRN Med Started]]&lt;=NOW(),Tbl_ResidentData[[#This Row],[PRN Med Started]]&lt;=AU$4,OR(Tbl_ResidentData[[#This Row],[PRN Med Discontinued]]&gt;AU$4,ISBLANK(Tbl_ResidentData[[#This Row],[PRN Med Discontinued]])))</f>
        <v>0</v>
      </c>
      <c r="BT62" s="121" t="b">
        <f ca="1">AND(Tbl_ResidentData[[#This Row],[PRN Med Started]]&lt;&gt;"",Tbl_ResidentData[[#This Row],[PRN Med Started]]&lt;=NOW(),Tbl_ResidentData[[#This Row],[PRN Med Started]]&lt;=AV$4,OR(Tbl_ResidentData[[#This Row],[PRN Med Discontinued]]&gt;AV$4,ISBLANK(Tbl_ResidentData[[#This Row],[PRN Med Discontinued]])))</f>
        <v>0</v>
      </c>
      <c r="BU62" s="121" t="b">
        <f ca="1">AND(Tbl_ResidentData[[#This Row],[PRN Med Started]]&lt;&gt;"",Tbl_ResidentData[[#This Row],[PRN Med Started]]&lt;=NOW(),Tbl_ResidentData[[#This Row],[PRN Med Started]]&lt;=AW$4,OR(Tbl_ResidentData[[#This Row],[PRN Med Discontinued]]&gt;AW$4,ISBLANK(Tbl_ResidentData[[#This Row],[PRN Med Discontinued]])))</f>
        <v>0</v>
      </c>
      <c r="BV62" s="121" t="b">
        <f ca="1">AND(Tbl_ResidentData[[#This Row],[PRN Med Started]]&lt;&gt;"",Tbl_ResidentData[[#This Row],[PRN Med Started]]&lt;=NOW(),Tbl_ResidentData[[#This Row],[PRN Med Started]]&lt;=AX$4,OR(Tbl_ResidentData[[#This Row],[PRN Med Discontinued]]&gt;AX$4,ISBLANK(Tbl_ResidentData[[#This Row],[PRN Med Discontinued]])))</f>
        <v>0</v>
      </c>
      <c r="BW62" s="121" t="b">
        <f ca="1">AND(Tbl_ResidentData[[#This Row],[PRN Med Started]]&lt;&gt;"",Tbl_ResidentData[[#This Row],[PRN Med Started]]&lt;=NOW(),Tbl_ResidentData[[#This Row],[PRN Med Started]]&lt;=AY$4,OR(Tbl_ResidentData[[#This Row],[PRN Med Discontinued]]&gt;AY$4,ISBLANK(Tbl_ResidentData[[#This Row],[PRN Med Discontinued]])))</f>
        <v>0</v>
      </c>
      <c r="BX62" s="121" t="b">
        <f ca="1">AND(Tbl_ResidentData[[#This Row],[PRN Med Started]]&lt;&gt;"",Tbl_ResidentData[[#This Row],[PRN Med Started]]&lt;=NOW(),Tbl_ResidentData[[#This Row],[PRN Med Started]]&lt;=AZ$4,OR(Tbl_ResidentData[[#This Row],[PRN Med Discontinued]]&gt;AZ$4,ISBLANK(Tbl_ResidentData[[#This Row],[PRN Med Discontinued]])))</f>
        <v>0</v>
      </c>
      <c r="BY62" s="121" t="b">
        <f ca="1">AND(Tbl_ResidentData[[#This Row],[PRN Med Started]]&lt;&gt;"",Tbl_ResidentData[[#This Row],[PRN Med Started]]&lt;=NOW(),Tbl_ResidentData[[#This Row],[PRN Med Started]]&lt;=BA$4,OR(Tbl_ResidentData[[#This Row],[PRN Med Discontinued]]&gt;BA$4,ISBLANK(Tbl_ResidentData[[#This Row],[PRN Med Discontinued]])))</f>
        <v>0</v>
      </c>
      <c r="BZ62" s="121" t="b">
        <f ca="1">AND(Tbl_ResidentData[[#This Row],[PRN Med Started]]&lt;&gt;"",Tbl_ResidentData[[#This Row],[PRN Med Started]]&lt;=NOW(),Tbl_ResidentData[[#This Row],[PRN Med Started]]&lt;=BB$4,OR(Tbl_ResidentData[[#This Row],[PRN Med Discontinued]]&gt;BB$4,ISBLANK(Tbl_ResidentData[[#This Row],[PRN Med Discontinued]])))</f>
        <v>0</v>
      </c>
      <c r="CA62" s="121" t="b">
        <f ca="1">AND(Tbl_ResidentData[[#This Row],[PRN Med Started]]&lt;&gt;"",Tbl_ResidentData[[#This Row],[PRN Med Started]]&lt;=NOW(),Tbl_ResidentData[[#This Row],[PRN Med Started]]&lt;=BC$4,OR(Tbl_ResidentData[[#This Row],[PRN Med Discontinued]]&gt;BC$4,ISBLANK(Tbl_ResidentData[[#This Row],[PRN Med Discontinued]])))</f>
        <v>0</v>
      </c>
      <c r="CB62" s="121" t="b">
        <f ca="1">AND(Tbl_ResidentData[[#This Row],[PRN Med Started]]&lt;&gt;"",Tbl_ResidentData[[#This Row],[PRN Med Started]]&lt;=NOW(),Tbl_ResidentData[[#This Row],[PRN Med Started]]&lt;=BD$4,OR(Tbl_ResidentData[[#This Row],[PRN Med Discontinued]]&gt;BD$4,ISBLANK(Tbl_ResidentData[[#This Row],[PRN Med Discontinued]])))</f>
        <v>0</v>
      </c>
      <c r="CC62" s="121" t="b">
        <f ca="1">AND(Tbl_ResidentData[[#This Row],[PRN Med Started]]&lt;&gt;"",Tbl_ResidentData[[#This Row],[PRN Med Started]]&lt;=NOW(),Tbl_ResidentData[[#This Row],[PRN Med Started]]&lt;=BE$4,OR(Tbl_ResidentData[[#This Row],[PRN Med Discontinued]]&gt;BE$4,ISBLANK(Tbl_ResidentData[[#This Row],[PRN Med Discontinued]])))</f>
        <v>0</v>
      </c>
      <c r="CD62" s="121" t="b">
        <f ca="1">AND(Tbl_ResidentData[[#This Row],[PRN Med Started]]&lt;&gt;"",Tbl_ResidentData[[#This Row],[PRN Med Started]]&lt;=NOW(),Tbl_ResidentData[[#This Row],[PRN Med Started]]&lt;=BF$4,OR(Tbl_ResidentData[[#This Row],[PRN Med Discontinued]]&gt;BF$4,ISBLANK(Tbl_ResidentData[[#This Row],[PRN Med Discontinued]])))</f>
        <v>0</v>
      </c>
      <c r="CE62" s="121" t="b">
        <f ca="1">AND(Tbl_ResidentData[[#This Row],[PRN Med Started]]&lt;&gt;"",Tbl_ResidentData[[#This Row],[PRN Med Started]]&lt;=NOW(),Tbl_ResidentData[[#This Row],[PRN Med Started]]&lt;=BG$4,OR(Tbl_ResidentData[[#This Row],[PRN Med Discontinued]]&gt;BG$4,ISBLANK(Tbl_ResidentData[[#This Row],[PRN Med Discontinued]])))</f>
        <v>0</v>
      </c>
      <c r="CF62" s="121" t="b">
        <f ca="1">AND(Tbl_ResidentData[[#This Row],[PRN Med Started]]&lt;&gt;"",Tbl_ResidentData[[#This Row],[PRN Med Started]]&lt;=NOW(),Tbl_ResidentData[[#This Row],[PRN Med Started]]&lt;=BH$4,OR(Tbl_ResidentData[[#This Row],[PRN Med Discontinued]]&gt;BH$4,ISBLANK(Tbl_ResidentData[[#This Row],[PRN Med Discontinued]])))</f>
        <v>0</v>
      </c>
      <c r="CG62" s="121" t="b">
        <f ca="1">AND(Tbl_ResidentData[[#This Row],[PRN Med Started]]&lt;&gt;"",Tbl_ResidentData[[#This Row],[PRN Med Started]]&lt;=NOW(),Tbl_ResidentData[[#This Row],[PRN Med Started]]&lt;=BI$4,OR(Tbl_ResidentData[[#This Row],[PRN Med Discontinued]]&gt;BI$4,ISBLANK(Tbl_ResidentData[[#This Row],[PRN Med Discontinued]])))</f>
        <v>0</v>
      </c>
      <c r="CH62" s="121" t="b">
        <f ca="1">AND(Tbl_ResidentData[[#This Row],[PRN Med Started]]&lt;&gt;"",Tbl_ResidentData[[#This Row],[PRN Med Started]]&lt;=NOW(),Tbl_ResidentData[[#This Row],[PRN Med Started]]&lt;=BJ$4,OR(Tbl_ResidentData[[#This Row],[PRN Med Discontinued]]&gt;BJ$4,ISBLANK(Tbl_ResidentData[[#This Row],[PRN Med Discontinued]])))</f>
        <v>0</v>
      </c>
      <c r="CI62" s="121" t="b">
        <f ca="1">AND(Tbl_ResidentData[[#This Row],[PRN Med Started]]&lt;&gt;"",Tbl_ResidentData[[#This Row],[PRN Med Started]]&lt;=NOW(),Tbl_ResidentData[[#This Row],[PRN Med Started]]&lt;=BK$4,OR(Tbl_ResidentData[[#This Row],[PRN Med Discontinued]]&gt;BK$4,ISBLANK(Tbl_ResidentData[[#This Row],[PRN Med Discontinued]])))</f>
        <v>0</v>
      </c>
      <c r="CJ62" s="121" t="b">
        <f ca="1">AND(Tbl_ResidentData[[#This Row],[PRN Med Started]]&lt;&gt;"",Tbl_ResidentData[[#This Row],[PRN Med Started]]&lt;=NOW(),Tbl_ResidentData[[#This Row],[PRN Med Started]]&lt;=BL$4,OR(Tbl_ResidentData[[#This Row],[PRN Med Discontinued]]&gt;BL$4,ISBLANK(Tbl_ResidentData[[#This Row],[PRN Med Discontinued]])))</f>
        <v>0</v>
      </c>
      <c r="CK62" s="121" t="b">
        <f ca="1">AND(Tbl_ResidentData[[#This Row],[PRN Med Started]]&lt;&gt;"",Tbl_ResidentData[[#This Row],[PRN Med Started]]&lt;=NOW(),Tbl_ResidentData[[#This Row],[PRN Med Started]]&lt;=BM$4,OR(Tbl_ResidentData[[#This Row],[PRN Med Discontinued]]&gt;BM$4,ISBLANK(Tbl_ResidentData[[#This Row],[PRN Med Discontinued]])))</f>
        <v>0</v>
      </c>
      <c r="CL62" s="121" t="b">
        <f ca="1">AND(Tbl_ResidentData[[#This Row],[PRN Med Started]]&lt;&gt;"",Tbl_ResidentData[[#This Row],[PRN Med Started]]&lt;=NOW(),Tbl_ResidentData[[#This Row],[PRN Med Started]]&lt;=BN$4,OR(Tbl_ResidentData[[#This Row],[PRN Med Discontinued]]&gt;BN$4,ISBLANK(Tbl_ResidentData[[#This Row],[PRN Med Discontinued]])))</f>
        <v>0</v>
      </c>
      <c r="CM62" s="121" t="b">
        <f ca="1">AND(Tbl_ResidentData[[#This Row],[PRN Med Started]]&lt;&gt;"",Tbl_ResidentData[[#This Row],[PRN Med Started]]&lt;=NOW(),Tbl_ResidentData[[#This Row],[PRN Med Started]]&lt;=BO$4,OR(Tbl_ResidentData[[#This Row],[PRN Med Discontinued]]&gt;BO$4,ISBLANK(Tbl_ResidentData[[#This Row],[PRN Med Discontinued]])))</f>
        <v>0</v>
      </c>
      <c r="CN62" s="122" t="b">
        <f ca="1">AND(Tbl_ResidentData[[#This Row],[PRN Med Started]]&lt;&gt;"",Tbl_ResidentData[[#This Row],[PRN Med Started]]&lt;=NOW(),Tbl_ResidentData[[#This Row],[PRN Med Started]]&lt;=BP$4,OR(Tbl_ResidentData[[#This Row],[PRN Med Discontinued]]&gt;BP$4,ISBLANK(Tbl_ResidentData[[#This Row],[PRN Med Discontinued]])))</f>
        <v>0</v>
      </c>
      <c r="CO62" s="120">
        <f ca="1">IF(OR(Tbl_ResidentData[[#This Row],[S1]]=TRUE,Tbl_ResidentData[[#This Row],[P1]]=TRUE),1,0)</f>
        <v>0</v>
      </c>
      <c r="CP62" s="121">
        <f ca="1">IF(OR(Tbl_ResidentData[[#This Row],[S2]]=TRUE,Tbl_ResidentData[[#This Row],[P2]]=TRUE),1,0)</f>
        <v>0</v>
      </c>
      <c r="CQ62" s="121">
        <f ca="1">IF(OR(Tbl_ResidentData[[#This Row],[S3]]=TRUE,Tbl_ResidentData[[#This Row],[P3]]=TRUE),1,0)</f>
        <v>0</v>
      </c>
      <c r="CR62" s="120">
        <f ca="1">IF(OR(Tbl_ResidentData[[#This Row],[S4]]=TRUE,Tbl_ResidentData[[#This Row],[P4]]=TRUE),1,0)</f>
        <v>0</v>
      </c>
      <c r="CS62" s="120">
        <f ca="1">IF(OR(Tbl_ResidentData[[#This Row],[S5]]=TRUE,Tbl_ResidentData[[#This Row],[P5]]=TRUE),1,0)</f>
        <v>0</v>
      </c>
      <c r="CT62" s="120">
        <f ca="1">IF(OR(Tbl_ResidentData[[#This Row],[S6]]=TRUE,Tbl_ResidentData[[#This Row],[P6]]=TRUE),1,0)</f>
        <v>0</v>
      </c>
      <c r="CU62" s="120">
        <f ca="1">IF(OR(Tbl_ResidentData[[#This Row],[S7]]=TRUE,Tbl_ResidentData[[#This Row],[P7]]=TRUE),1,0)</f>
        <v>0</v>
      </c>
      <c r="CV62" s="120">
        <f ca="1">IF(OR(Tbl_ResidentData[[#This Row],[S8]]=TRUE,Tbl_ResidentData[[#This Row],[P8]]=TRUE),1,0)</f>
        <v>0</v>
      </c>
      <c r="CW62" s="120">
        <f ca="1">IF(OR(Tbl_ResidentData[[#This Row],[S9]]=TRUE,Tbl_ResidentData[[#This Row],[P9]]=TRUE),1,0)</f>
        <v>0</v>
      </c>
      <c r="CX62" s="120">
        <f ca="1">IF(OR(Tbl_ResidentData[[#This Row],[S10]]=TRUE,Tbl_ResidentData[[#This Row],[P10]]=TRUE),1,0)</f>
        <v>0</v>
      </c>
      <c r="CY62" s="120">
        <f ca="1">IF(OR(Tbl_ResidentData[[#This Row],[S11]]=TRUE,Tbl_ResidentData[[#This Row],[P11]]=TRUE),1,0)</f>
        <v>0</v>
      </c>
      <c r="CZ62" s="120">
        <f ca="1">IF(OR(Tbl_ResidentData[[#This Row],[S12]]=TRUE,Tbl_ResidentData[[#This Row],[P12]]=TRUE),1,0)</f>
        <v>0</v>
      </c>
      <c r="DA62" s="120">
        <f ca="1">IF(OR(Tbl_ResidentData[[#This Row],[S13]]=TRUE,Tbl_ResidentData[[#This Row],[P13]]=TRUE),1,0)</f>
        <v>0</v>
      </c>
      <c r="DB62" s="120">
        <f ca="1">IF(OR(Tbl_ResidentData[[#This Row],[S14]]=TRUE,Tbl_ResidentData[[#This Row],[P14]]=TRUE),1,0)</f>
        <v>0</v>
      </c>
      <c r="DC62" s="120">
        <f ca="1">IF(OR(Tbl_ResidentData[[#This Row],[S15]]=TRUE,Tbl_ResidentData[[#This Row],[P15]]=TRUE),1,0)</f>
        <v>0</v>
      </c>
      <c r="DD62" s="120">
        <f ca="1">IF(OR(Tbl_ResidentData[[#This Row],[S16]]=TRUE,Tbl_ResidentData[[#This Row],[P16]]=TRUE),1,0)</f>
        <v>0</v>
      </c>
      <c r="DE62" s="120">
        <f ca="1">IF(OR(Tbl_ResidentData[[#This Row],[S17]]=TRUE,Tbl_ResidentData[[#This Row],[P17]]=TRUE),1,0)</f>
        <v>0</v>
      </c>
      <c r="DF62" s="120">
        <f ca="1">IF(OR(Tbl_ResidentData[[#This Row],[S18]]=TRUE,Tbl_ResidentData[[#This Row],[P18]]=TRUE),1,0)</f>
        <v>0</v>
      </c>
      <c r="DG62" s="120">
        <f ca="1">IF(OR(Tbl_ResidentData[[#This Row],[S19]]=TRUE,Tbl_ResidentData[[#This Row],[P19]]=TRUE),1,0)</f>
        <v>0</v>
      </c>
      <c r="DH62" s="120">
        <f ca="1">IF(OR(Tbl_ResidentData[[#This Row],[S20]]=TRUE,Tbl_ResidentData[[#This Row],[P20]]=TRUE),1,0)</f>
        <v>0</v>
      </c>
      <c r="DI62" s="120">
        <f ca="1">IF(OR(Tbl_ResidentData[[#This Row],[S21]]=TRUE,Tbl_ResidentData[[#This Row],[P21]]=TRUE),1,0)</f>
        <v>0</v>
      </c>
      <c r="DJ62" s="120">
        <f ca="1">IF(OR(Tbl_ResidentData[[#This Row],[S22]]=TRUE,Tbl_ResidentData[[#This Row],[P22]]=TRUE),1,0)</f>
        <v>0</v>
      </c>
      <c r="DK62" s="120">
        <f ca="1">IF(OR(Tbl_ResidentData[[#This Row],[S23]]=TRUE,Tbl_ResidentData[[#This Row],[P23]]=TRUE),1,0)</f>
        <v>0</v>
      </c>
      <c r="DL62" s="120">
        <f ca="1">IF(OR(Tbl_ResidentData[[#This Row],[S24]]=TRUE,Tbl_ResidentData[[#This Row],[P24]]=TRUE),1,0)</f>
        <v>0</v>
      </c>
      <c r="DM62" s="123" t="str">
        <f ca="1">IFERROR(INDEX($CO$4:$DL$4,MATCH(TRUE,INDEX((Tbl_ResidentData[[#This Row],[Over1]:[Over24]]&lt;&gt;0),0),0)),"")</f>
        <v/>
      </c>
      <c r="DN62" s="133" t="str">
        <f>IFERROR(INDEX(Tbl_PDSAData[Last DRT],MATCH(Tbl_ResidentData[Resident Name '[last, first']],Tbl_PDSAData[Resident Name (last, first)],0)),"")</f>
        <v/>
      </c>
      <c r="DO62" s="222" t="str">
        <f>IFERROR(INDEX(Tbl_PDSAData[Last MR],MATCH(Tbl_ResidentData[Resident Name '[last, first']],Tbl_PDSAData[Resident Name (last, first)],0)),"")</f>
        <v/>
      </c>
    </row>
    <row r="63" spans="1:119" x14ac:dyDescent="0.25">
      <c r="A63" s="179"/>
      <c r="B63" s="180"/>
      <c r="C63" s="180"/>
      <c r="D63" s="218"/>
      <c r="E63" s="179"/>
      <c r="F63" s="181"/>
      <c r="G63" s="181"/>
      <c r="H63" s="182"/>
      <c r="I63" s="185"/>
      <c r="J63" s="387"/>
      <c r="K63" s="178"/>
      <c r="L63" s="388"/>
      <c r="M63" s="185"/>
      <c r="N63" s="386"/>
      <c r="O63" s="178"/>
      <c r="P63" s="388"/>
      <c r="Q63" s="395"/>
      <c r="R63" s="396"/>
      <c r="S63" s="131" t="str">
        <f>IF(ISBLANK(Tbl_ResidentData[[#This Row],[Discharge '[mmm-yyyy']]]),IF(ISBLANK(Tbl_ResidentData[[#This Row],[Enrollment '[mmm-yyyy']]]),"","In Care Home"),"Discharged")</f>
        <v/>
      </c>
      <c r="T63" s="119" t="str">
        <f>IF(ISBLANK(Tbl_ResidentData[[#This Row],[Diagnosis (RAI)]]),IF(ISBLANK(Tbl_ResidentData[[#This Row],[Resident Name '[last, first']]]),"",0),IF(Tbl_ResidentData[[#This Row],[Diagnosis (RAI)]]="Other (see clinical notes)",0,1))</f>
        <v/>
      </c>
      <c r="U63" s="120" t="str">
        <f ca="1">IF(U$4&gt;NOW(),"-",IF(ISBLANK(Tbl_ResidentData[[#This Row],[Enrollment '[mmm-yyyy']]]),"-",AND((Tbl_ResidentData[[#This Row],[Enrollment '[mmm-yyyy']]]&lt;=U$4),IF(ISBLANK(Tbl_ResidentData[[#This Row],[Discharge '[mmm-yyyy']]]),TRUE,(Tbl_ResidentData[[#This Row],[Discharge '[mmm-yyyy']]]&gt;=U$4)))))</f>
        <v>-</v>
      </c>
      <c r="V63" s="121" t="str">
        <f ca="1">IF(V$4&gt;NOW(),"-",IF(ISBLANK(Tbl_ResidentData[[#This Row],[Enrollment '[mmm-yyyy']]]),"-",AND((Tbl_ResidentData[[#This Row],[Enrollment '[mmm-yyyy']]]&lt;=V$4),IF(ISBLANK(Tbl_ResidentData[[#This Row],[Discharge '[mmm-yyyy']]]),TRUE,(Tbl_ResidentData[[#This Row],[Discharge '[mmm-yyyy']]]&gt;=V$4)))))</f>
        <v>-</v>
      </c>
      <c r="W63" s="121" t="str">
        <f ca="1">IF(W$4&gt;NOW(),"-",IF(ISBLANK(Tbl_ResidentData[[#This Row],[Enrollment '[mmm-yyyy']]]),"-",AND((Tbl_ResidentData[[#This Row],[Enrollment '[mmm-yyyy']]]&lt;=W$4),IF(ISBLANK(Tbl_ResidentData[[#This Row],[Discharge '[mmm-yyyy']]]),TRUE,(Tbl_ResidentData[[#This Row],[Discharge '[mmm-yyyy']]]&gt;=W$4)))))</f>
        <v>-</v>
      </c>
      <c r="X63" s="121" t="str">
        <f ca="1">IF(X$4&gt;NOW(),"-",IF(ISBLANK(Tbl_ResidentData[[#This Row],[Enrollment '[mmm-yyyy']]]),"-",AND((Tbl_ResidentData[[#This Row],[Enrollment '[mmm-yyyy']]]&lt;=X$4),IF(ISBLANK(Tbl_ResidentData[[#This Row],[Discharge '[mmm-yyyy']]]),TRUE,(Tbl_ResidentData[[#This Row],[Discharge '[mmm-yyyy']]]&gt;=X$4)))))</f>
        <v>-</v>
      </c>
      <c r="Y63" s="121" t="str">
        <f ca="1">IF(Y$4&gt;NOW(),"-",IF(ISBLANK(Tbl_ResidentData[[#This Row],[Enrollment '[mmm-yyyy']]]),"-",AND((Tbl_ResidentData[[#This Row],[Enrollment '[mmm-yyyy']]]&lt;=Y$4),IF(ISBLANK(Tbl_ResidentData[[#This Row],[Discharge '[mmm-yyyy']]]),TRUE,(Tbl_ResidentData[[#This Row],[Discharge '[mmm-yyyy']]]&gt;=Y$4)))))</f>
        <v>-</v>
      </c>
      <c r="Z63" s="121" t="str">
        <f ca="1">IF(Z$4&gt;NOW(),"-",IF(ISBLANK(Tbl_ResidentData[[#This Row],[Enrollment '[mmm-yyyy']]]),"-",AND((Tbl_ResidentData[[#This Row],[Enrollment '[mmm-yyyy']]]&lt;=Z$4),IF(ISBLANK(Tbl_ResidentData[[#This Row],[Discharge '[mmm-yyyy']]]),TRUE,(Tbl_ResidentData[[#This Row],[Discharge '[mmm-yyyy']]]&gt;=Z$4)))))</f>
        <v>-</v>
      </c>
      <c r="AA63" s="121" t="str">
        <f ca="1">IF(AA$4&gt;NOW(),"-",IF(ISBLANK(Tbl_ResidentData[[#This Row],[Enrollment '[mmm-yyyy']]]),"-",AND((Tbl_ResidentData[[#This Row],[Enrollment '[mmm-yyyy']]]&lt;=AA$4),IF(ISBLANK(Tbl_ResidentData[[#This Row],[Discharge '[mmm-yyyy']]]),TRUE,(Tbl_ResidentData[[#This Row],[Discharge '[mmm-yyyy']]]&gt;=AA$4)))))</f>
        <v>-</v>
      </c>
      <c r="AB63" s="121" t="str">
        <f ca="1">IF(AB$4&gt;NOW(),"-",IF(ISBLANK(Tbl_ResidentData[[#This Row],[Enrollment '[mmm-yyyy']]]),"-",AND((Tbl_ResidentData[[#This Row],[Enrollment '[mmm-yyyy']]]&lt;=AB$4),IF(ISBLANK(Tbl_ResidentData[[#This Row],[Discharge '[mmm-yyyy']]]),TRUE,(Tbl_ResidentData[[#This Row],[Discharge '[mmm-yyyy']]]&gt;=AB$4)))))</f>
        <v>-</v>
      </c>
      <c r="AC63" s="121" t="str">
        <f ca="1">IF(AC$4&gt;NOW(),"-",IF(ISBLANK(Tbl_ResidentData[[#This Row],[Enrollment '[mmm-yyyy']]]),"-",AND((Tbl_ResidentData[[#This Row],[Enrollment '[mmm-yyyy']]]&lt;=AC$4),IF(ISBLANK(Tbl_ResidentData[[#This Row],[Discharge '[mmm-yyyy']]]),TRUE,(Tbl_ResidentData[[#This Row],[Discharge '[mmm-yyyy']]]&gt;=AC$4)))))</f>
        <v>-</v>
      </c>
      <c r="AD63" s="121" t="str">
        <f ca="1">IF(AD$4&gt;NOW(),"-",IF(ISBLANK(Tbl_ResidentData[[#This Row],[Enrollment '[mmm-yyyy']]]),"-",AND((Tbl_ResidentData[[#This Row],[Enrollment '[mmm-yyyy']]]&lt;=AD$4),IF(ISBLANK(Tbl_ResidentData[[#This Row],[Discharge '[mmm-yyyy']]]),TRUE,(Tbl_ResidentData[[#This Row],[Discharge '[mmm-yyyy']]]&gt;=AD$4)))))</f>
        <v>-</v>
      </c>
      <c r="AE63" s="121" t="str">
        <f ca="1">IF(AE$4&gt;NOW(),"-",IF(ISBLANK(Tbl_ResidentData[[#This Row],[Enrollment '[mmm-yyyy']]]),"-",AND((Tbl_ResidentData[[#This Row],[Enrollment '[mmm-yyyy']]]&lt;=AE$4),IF(ISBLANK(Tbl_ResidentData[[#This Row],[Discharge '[mmm-yyyy']]]),TRUE,(Tbl_ResidentData[[#This Row],[Discharge '[mmm-yyyy']]]&gt;=AE$4)))))</f>
        <v>-</v>
      </c>
      <c r="AF63" s="121" t="str">
        <f ca="1">IF(AF$4&gt;NOW(),"-",IF(ISBLANK(Tbl_ResidentData[[#This Row],[Enrollment '[mmm-yyyy']]]),"-",AND((Tbl_ResidentData[[#This Row],[Enrollment '[mmm-yyyy']]]&lt;=AF$4),IF(ISBLANK(Tbl_ResidentData[[#This Row],[Discharge '[mmm-yyyy']]]),TRUE,(Tbl_ResidentData[[#This Row],[Discharge '[mmm-yyyy']]]&gt;=AF$4)))))</f>
        <v>-</v>
      </c>
      <c r="AG63" s="121" t="str">
        <f ca="1">IF(AG$4&gt;NOW(),"-",IF(ISBLANK(Tbl_ResidentData[[#This Row],[Enrollment '[mmm-yyyy']]]),"-",AND((Tbl_ResidentData[[#This Row],[Enrollment '[mmm-yyyy']]]&lt;=AG$4),IF(ISBLANK(Tbl_ResidentData[[#This Row],[Discharge '[mmm-yyyy']]]),TRUE,(Tbl_ResidentData[[#This Row],[Discharge '[mmm-yyyy']]]&gt;=AG$4)))))</f>
        <v>-</v>
      </c>
      <c r="AH63" s="121" t="str">
        <f ca="1">IF(AH$4&gt;NOW(),"-",IF(ISBLANK(Tbl_ResidentData[[#This Row],[Enrollment '[mmm-yyyy']]]),"-",AND((Tbl_ResidentData[[#This Row],[Enrollment '[mmm-yyyy']]]&lt;=AH$4),IF(ISBLANK(Tbl_ResidentData[[#This Row],[Discharge '[mmm-yyyy']]]),TRUE,(Tbl_ResidentData[[#This Row],[Discharge '[mmm-yyyy']]]&gt;=AH$4)))))</f>
        <v>-</v>
      </c>
      <c r="AI63" s="121" t="str">
        <f ca="1">IF(AI$4&gt;NOW(),"-",IF(ISBLANK(Tbl_ResidentData[[#This Row],[Enrollment '[mmm-yyyy']]]),"-",AND((Tbl_ResidentData[[#This Row],[Enrollment '[mmm-yyyy']]]&lt;=AI$4),IF(ISBLANK(Tbl_ResidentData[[#This Row],[Discharge '[mmm-yyyy']]]),TRUE,(Tbl_ResidentData[[#This Row],[Discharge '[mmm-yyyy']]]&gt;=AI$4)))))</f>
        <v>-</v>
      </c>
      <c r="AJ63" s="121" t="str">
        <f ca="1">IF(AJ$4&gt;NOW(),"-",IF(ISBLANK(Tbl_ResidentData[[#This Row],[Enrollment '[mmm-yyyy']]]),"-",AND((Tbl_ResidentData[[#This Row],[Enrollment '[mmm-yyyy']]]&lt;=AJ$4),IF(ISBLANK(Tbl_ResidentData[[#This Row],[Discharge '[mmm-yyyy']]]),TRUE,(Tbl_ResidentData[[#This Row],[Discharge '[mmm-yyyy']]]&gt;=AJ$4)))))</f>
        <v>-</v>
      </c>
      <c r="AK63" s="121" t="str">
        <f ca="1">IF(AK$4&gt;NOW(),"-",IF(ISBLANK(Tbl_ResidentData[[#This Row],[Enrollment '[mmm-yyyy']]]),"-",AND((Tbl_ResidentData[[#This Row],[Enrollment '[mmm-yyyy']]]&lt;=AK$4),IF(ISBLANK(Tbl_ResidentData[[#This Row],[Discharge '[mmm-yyyy']]]),TRUE,(Tbl_ResidentData[[#This Row],[Discharge '[mmm-yyyy']]]&gt;=AK$4)))))</f>
        <v>-</v>
      </c>
      <c r="AL63" s="121" t="str">
        <f ca="1">IF(AL$4&gt;NOW(),"-",IF(ISBLANK(Tbl_ResidentData[[#This Row],[Enrollment '[mmm-yyyy']]]),"-",AND((Tbl_ResidentData[[#This Row],[Enrollment '[mmm-yyyy']]]&lt;=AL$4),IF(ISBLANK(Tbl_ResidentData[[#This Row],[Discharge '[mmm-yyyy']]]),TRUE,(Tbl_ResidentData[[#This Row],[Discharge '[mmm-yyyy']]]&gt;=AL$4)))))</f>
        <v>-</v>
      </c>
      <c r="AM63" s="121" t="str">
        <f ca="1">IF(AM$4&gt;NOW(),"-",IF(ISBLANK(Tbl_ResidentData[[#This Row],[Enrollment '[mmm-yyyy']]]),"-",AND((Tbl_ResidentData[[#This Row],[Enrollment '[mmm-yyyy']]]&lt;=AM$4),IF(ISBLANK(Tbl_ResidentData[[#This Row],[Discharge '[mmm-yyyy']]]),TRUE,(Tbl_ResidentData[[#This Row],[Discharge '[mmm-yyyy']]]&gt;=AM$4)))))</f>
        <v>-</v>
      </c>
      <c r="AN63" s="121" t="str">
        <f ca="1">IF(AN$4&gt;NOW(),"-",IF(ISBLANK(Tbl_ResidentData[[#This Row],[Enrollment '[mmm-yyyy']]]),"-",AND((Tbl_ResidentData[[#This Row],[Enrollment '[mmm-yyyy']]]&lt;=AN$4),IF(ISBLANK(Tbl_ResidentData[[#This Row],[Discharge '[mmm-yyyy']]]),TRUE,(Tbl_ResidentData[[#This Row],[Discharge '[mmm-yyyy']]]&gt;=AN$4)))))</f>
        <v>-</v>
      </c>
      <c r="AO63" s="121" t="str">
        <f ca="1">IF(AO$4&gt;NOW(),"-",IF(ISBLANK(Tbl_ResidentData[[#This Row],[Enrollment '[mmm-yyyy']]]),"-",AND((Tbl_ResidentData[[#This Row],[Enrollment '[mmm-yyyy']]]&lt;=AO$4),IF(ISBLANK(Tbl_ResidentData[[#This Row],[Discharge '[mmm-yyyy']]]),TRUE,(Tbl_ResidentData[[#This Row],[Discharge '[mmm-yyyy']]]&gt;=AO$4)))))</f>
        <v>-</v>
      </c>
      <c r="AP63" s="121" t="str">
        <f ca="1">IF(AP$4&gt;NOW(),"-",IF(ISBLANK(Tbl_ResidentData[[#This Row],[Enrollment '[mmm-yyyy']]]),"-",AND((Tbl_ResidentData[[#This Row],[Enrollment '[mmm-yyyy']]]&lt;=AP$4),IF(ISBLANK(Tbl_ResidentData[[#This Row],[Discharge '[mmm-yyyy']]]),TRUE,(Tbl_ResidentData[[#This Row],[Discharge '[mmm-yyyy']]]&gt;=AP$4)))))</f>
        <v>-</v>
      </c>
      <c r="AQ63" s="121" t="str">
        <f ca="1">IF(AQ$4&gt;NOW(),"-",IF(ISBLANK(Tbl_ResidentData[[#This Row],[Enrollment '[mmm-yyyy']]]),"-",AND((Tbl_ResidentData[[#This Row],[Enrollment '[mmm-yyyy']]]&lt;=AQ$4),IF(ISBLANK(Tbl_ResidentData[[#This Row],[Discharge '[mmm-yyyy']]]),TRUE,(Tbl_ResidentData[[#This Row],[Discharge '[mmm-yyyy']]]&gt;=AQ$4)))))</f>
        <v>-</v>
      </c>
      <c r="AR63" s="122" t="str">
        <f ca="1">IF(AR$4&gt;NOW(),"-",IF(ISBLANK(Tbl_ResidentData[[#This Row],[Enrollment '[mmm-yyyy']]]),"-",AND((Tbl_ResidentData[[#This Row],[Enrollment '[mmm-yyyy']]]&lt;=AR$4),IF(ISBLANK(Tbl_ResidentData[[#This Row],[Discharge '[mmm-yyyy']]]),TRUE,(Tbl_ResidentData[[#This Row],[Discharge '[mmm-yyyy']]]&gt;=AR$4)))))</f>
        <v>-</v>
      </c>
      <c r="AS6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3" s="120" t="b">
        <f ca="1">AND(Tbl_ResidentData[[#This Row],[PRN Med Started]]&lt;&gt;"",Tbl_ResidentData[[#This Row],[PRN Med Started]]&lt;=NOW(),Tbl_ResidentData[[#This Row],[PRN Med Started]]&lt;=AS$4,OR(Tbl_ResidentData[[#This Row],[PRN Med Discontinued]]&gt;AS$4,ISBLANK(Tbl_ResidentData[[#This Row],[PRN Med Discontinued]])))</f>
        <v>0</v>
      </c>
      <c r="BR63" s="121" t="b">
        <f ca="1">AND(Tbl_ResidentData[[#This Row],[PRN Med Started]]&lt;&gt;"",Tbl_ResidentData[[#This Row],[PRN Med Started]]&lt;=NOW(),Tbl_ResidentData[[#This Row],[PRN Med Started]]&lt;=AT$4,OR(Tbl_ResidentData[[#This Row],[PRN Med Discontinued]]&gt;AT$4,ISBLANK(Tbl_ResidentData[[#This Row],[PRN Med Discontinued]])))</f>
        <v>0</v>
      </c>
      <c r="BS63" s="121" t="b">
        <f ca="1">AND(Tbl_ResidentData[[#This Row],[PRN Med Started]]&lt;&gt;"",Tbl_ResidentData[[#This Row],[PRN Med Started]]&lt;=NOW(),Tbl_ResidentData[[#This Row],[PRN Med Started]]&lt;=AU$4,OR(Tbl_ResidentData[[#This Row],[PRN Med Discontinued]]&gt;AU$4,ISBLANK(Tbl_ResidentData[[#This Row],[PRN Med Discontinued]])))</f>
        <v>0</v>
      </c>
      <c r="BT63" s="121" t="b">
        <f ca="1">AND(Tbl_ResidentData[[#This Row],[PRN Med Started]]&lt;&gt;"",Tbl_ResidentData[[#This Row],[PRN Med Started]]&lt;=NOW(),Tbl_ResidentData[[#This Row],[PRN Med Started]]&lt;=AV$4,OR(Tbl_ResidentData[[#This Row],[PRN Med Discontinued]]&gt;AV$4,ISBLANK(Tbl_ResidentData[[#This Row],[PRN Med Discontinued]])))</f>
        <v>0</v>
      </c>
      <c r="BU63" s="121" t="b">
        <f ca="1">AND(Tbl_ResidentData[[#This Row],[PRN Med Started]]&lt;&gt;"",Tbl_ResidentData[[#This Row],[PRN Med Started]]&lt;=NOW(),Tbl_ResidentData[[#This Row],[PRN Med Started]]&lt;=AW$4,OR(Tbl_ResidentData[[#This Row],[PRN Med Discontinued]]&gt;AW$4,ISBLANK(Tbl_ResidentData[[#This Row],[PRN Med Discontinued]])))</f>
        <v>0</v>
      </c>
      <c r="BV63" s="121" t="b">
        <f ca="1">AND(Tbl_ResidentData[[#This Row],[PRN Med Started]]&lt;&gt;"",Tbl_ResidentData[[#This Row],[PRN Med Started]]&lt;=NOW(),Tbl_ResidentData[[#This Row],[PRN Med Started]]&lt;=AX$4,OR(Tbl_ResidentData[[#This Row],[PRN Med Discontinued]]&gt;AX$4,ISBLANK(Tbl_ResidentData[[#This Row],[PRN Med Discontinued]])))</f>
        <v>0</v>
      </c>
      <c r="BW63" s="121" t="b">
        <f ca="1">AND(Tbl_ResidentData[[#This Row],[PRN Med Started]]&lt;&gt;"",Tbl_ResidentData[[#This Row],[PRN Med Started]]&lt;=NOW(),Tbl_ResidentData[[#This Row],[PRN Med Started]]&lt;=AY$4,OR(Tbl_ResidentData[[#This Row],[PRN Med Discontinued]]&gt;AY$4,ISBLANK(Tbl_ResidentData[[#This Row],[PRN Med Discontinued]])))</f>
        <v>0</v>
      </c>
      <c r="BX63" s="121" t="b">
        <f ca="1">AND(Tbl_ResidentData[[#This Row],[PRN Med Started]]&lt;&gt;"",Tbl_ResidentData[[#This Row],[PRN Med Started]]&lt;=NOW(),Tbl_ResidentData[[#This Row],[PRN Med Started]]&lt;=AZ$4,OR(Tbl_ResidentData[[#This Row],[PRN Med Discontinued]]&gt;AZ$4,ISBLANK(Tbl_ResidentData[[#This Row],[PRN Med Discontinued]])))</f>
        <v>0</v>
      </c>
      <c r="BY63" s="121" t="b">
        <f ca="1">AND(Tbl_ResidentData[[#This Row],[PRN Med Started]]&lt;&gt;"",Tbl_ResidentData[[#This Row],[PRN Med Started]]&lt;=NOW(),Tbl_ResidentData[[#This Row],[PRN Med Started]]&lt;=BA$4,OR(Tbl_ResidentData[[#This Row],[PRN Med Discontinued]]&gt;BA$4,ISBLANK(Tbl_ResidentData[[#This Row],[PRN Med Discontinued]])))</f>
        <v>0</v>
      </c>
      <c r="BZ63" s="121" t="b">
        <f ca="1">AND(Tbl_ResidentData[[#This Row],[PRN Med Started]]&lt;&gt;"",Tbl_ResidentData[[#This Row],[PRN Med Started]]&lt;=NOW(),Tbl_ResidentData[[#This Row],[PRN Med Started]]&lt;=BB$4,OR(Tbl_ResidentData[[#This Row],[PRN Med Discontinued]]&gt;BB$4,ISBLANK(Tbl_ResidentData[[#This Row],[PRN Med Discontinued]])))</f>
        <v>0</v>
      </c>
      <c r="CA63" s="121" t="b">
        <f ca="1">AND(Tbl_ResidentData[[#This Row],[PRN Med Started]]&lt;&gt;"",Tbl_ResidentData[[#This Row],[PRN Med Started]]&lt;=NOW(),Tbl_ResidentData[[#This Row],[PRN Med Started]]&lt;=BC$4,OR(Tbl_ResidentData[[#This Row],[PRN Med Discontinued]]&gt;BC$4,ISBLANK(Tbl_ResidentData[[#This Row],[PRN Med Discontinued]])))</f>
        <v>0</v>
      </c>
      <c r="CB63" s="121" t="b">
        <f ca="1">AND(Tbl_ResidentData[[#This Row],[PRN Med Started]]&lt;&gt;"",Tbl_ResidentData[[#This Row],[PRN Med Started]]&lt;=NOW(),Tbl_ResidentData[[#This Row],[PRN Med Started]]&lt;=BD$4,OR(Tbl_ResidentData[[#This Row],[PRN Med Discontinued]]&gt;BD$4,ISBLANK(Tbl_ResidentData[[#This Row],[PRN Med Discontinued]])))</f>
        <v>0</v>
      </c>
      <c r="CC63" s="121" t="b">
        <f ca="1">AND(Tbl_ResidentData[[#This Row],[PRN Med Started]]&lt;&gt;"",Tbl_ResidentData[[#This Row],[PRN Med Started]]&lt;=NOW(),Tbl_ResidentData[[#This Row],[PRN Med Started]]&lt;=BE$4,OR(Tbl_ResidentData[[#This Row],[PRN Med Discontinued]]&gt;BE$4,ISBLANK(Tbl_ResidentData[[#This Row],[PRN Med Discontinued]])))</f>
        <v>0</v>
      </c>
      <c r="CD63" s="121" t="b">
        <f ca="1">AND(Tbl_ResidentData[[#This Row],[PRN Med Started]]&lt;&gt;"",Tbl_ResidentData[[#This Row],[PRN Med Started]]&lt;=NOW(),Tbl_ResidentData[[#This Row],[PRN Med Started]]&lt;=BF$4,OR(Tbl_ResidentData[[#This Row],[PRN Med Discontinued]]&gt;BF$4,ISBLANK(Tbl_ResidentData[[#This Row],[PRN Med Discontinued]])))</f>
        <v>0</v>
      </c>
      <c r="CE63" s="121" t="b">
        <f ca="1">AND(Tbl_ResidentData[[#This Row],[PRN Med Started]]&lt;&gt;"",Tbl_ResidentData[[#This Row],[PRN Med Started]]&lt;=NOW(),Tbl_ResidentData[[#This Row],[PRN Med Started]]&lt;=BG$4,OR(Tbl_ResidentData[[#This Row],[PRN Med Discontinued]]&gt;BG$4,ISBLANK(Tbl_ResidentData[[#This Row],[PRN Med Discontinued]])))</f>
        <v>0</v>
      </c>
      <c r="CF63" s="121" t="b">
        <f ca="1">AND(Tbl_ResidentData[[#This Row],[PRN Med Started]]&lt;&gt;"",Tbl_ResidentData[[#This Row],[PRN Med Started]]&lt;=NOW(),Tbl_ResidentData[[#This Row],[PRN Med Started]]&lt;=BH$4,OR(Tbl_ResidentData[[#This Row],[PRN Med Discontinued]]&gt;BH$4,ISBLANK(Tbl_ResidentData[[#This Row],[PRN Med Discontinued]])))</f>
        <v>0</v>
      </c>
      <c r="CG63" s="121" t="b">
        <f ca="1">AND(Tbl_ResidentData[[#This Row],[PRN Med Started]]&lt;&gt;"",Tbl_ResidentData[[#This Row],[PRN Med Started]]&lt;=NOW(),Tbl_ResidentData[[#This Row],[PRN Med Started]]&lt;=BI$4,OR(Tbl_ResidentData[[#This Row],[PRN Med Discontinued]]&gt;BI$4,ISBLANK(Tbl_ResidentData[[#This Row],[PRN Med Discontinued]])))</f>
        <v>0</v>
      </c>
      <c r="CH63" s="121" t="b">
        <f ca="1">AND(Tbl_ResidentData[[#This Row],[PRN Med Started]]&lt;&gt;"",Tbl_ResidentData[[#This Row],[PRN Med Started]]&lt;=NOW(),Tbl_ResidentData[[#This Row],[PRN Med Started]]&lt;=BJ$4,OR(Tbl_ResidentData[[#This Row],[PRN Med Discontinued]]&gt;BJ$4,ISBLANK(Tbl_ResidentData[[#This Row],[PRN Med Discontinued]])))</f>
        <v>0</v>
      </c>
      <c r="CI63" s="121" t="b">
        <f ca="1">AND(Tbl_ResidentData[[#This Row],[PRN Med Started]]&lt;&gt;"",Tbl_ResidentData[[#This Row],[PRN Med Started]]&lt;=NOW(),Tbl_ResidentData[[#This Row],[PRN Med Started]]&lt;=BK$4,OR(Tbl_ResidentData[[#This Row],[PRN Med Discontinued]]&gt;BK$4,ISBLANK(Tbl_ResidentData[[#This Row],[PRN Med Discontinued]])))</f>
        <v>0</v>
      </c>
      <c r="CJ63" s="121" t="b">
        <f ca="1">AND(Tbl_ResidentData[[#This Row],[PRN Med Started]]&lt;&gt;"",Tbl_ResidentData[[#This Row],[PRN Med Started]]&lt;=NOW(),Tbl_ResidentData[[#This Row],[PRN Med Started]]&lt;=BL$4,OR(Tbl_ResidentData[[#This Row],[PRN Med Discontinued]]&gt;BL$4,ISBLANK(Tbl_ResidentData[[#This Row],[PRN Med Discontinued]])))</f>
        <v>0</v>
      </c>
      <c r="CK63" s="121" t="b">
        <f ca="1">AND(Tbl_ResidentData[[#This Row],[PRN Med Started]]&lt;&gt;"",Tbl_ResidentData[[#This Row],[PRN Med Started]]&lt;=NOW(),Tbl_ResidentData[[#This Row],[PRN Med Started]]&lt;=BM$4,OR(Tbl_ResidentData[[#This Row],[PRN Med Discontinued]]&gt;BM$4,ISBLANK(Tbl_ResidentData[[#This Row],[PRN Med Discontinued]])))</f>
        <v>0</v>
      </c>
      <c r="CL63" s="121" t="b">
        <f ca="1">AND(Tbl_ResidentData[[#This Row],[PRN Med Started]]&lt;&gt;"",Tbl_ResidentData[[#This Row],[PRN Med Started]]&lt;=NOW(),Tbl_ResidentData[[#This Row],[PRN Med Started]]&lt;=BN$4,OR(Tbl_ResidentData[[#This Row],[PRN Med Discontinued]]&gt;BN$4,ISBLANK(Tbl_ResidentData[[#This Row],[PRN Med Discontinued]])))</f>
        <v>0</v>
      </c>
      <c r="CM63" s="121" t="b">
        <f ca="1">AND(Tbl_ResidentData[[#This Row],[PRN Med Started]]&lt;&gt;"",Tbl_ResidentData[[#This Row],[PRN Med Started]]&lt;=NOW(),Tbl_ResidentData[[#This Row],[PRN Med Started]]&lt;=BO$4,OR(Tbl_ResidentData[[#This Row],[PRN Med Discontinued]]&gt;BO$4,ISBLANK(Tbl_ResidentData[[#This Row],[PRN Med Discontinued]])))</f>
        <v>0</v>
      </c>
      <c r="CN63" s="122" t="b">
        <f ca="1">AND(Tbl_ResidentData[[#This Row],[PRN Med Started]]&lt;&gt;"",Tbl_ResidentData[[#This Row],[PRN Med Started]]&lt;=NOW(),Tbl_ResidentData[[#This Row],[PRN Med Started]]&lt;=BP$4,OR(Tbl_ResidentData[[#This Row],[PRN Med Discontinued]]&gt;BP$4,ISBLANK(Tbl_ResidentData[[#This Row],[PRN Med Discontinued]])))</f>
        <v>0</v>
      </c>
      <c r="CO63" s="120">
        <f ca="1">IF(OR(Tbl_ResidentData[[#This Row],[S1]]=TRUE,Tbl_ResidentData[[#This Row],[P1]]=TRUE),1,0)</f>
        <v>0</v>
      </c>
      <c r="CP63" s="121">
        <f ca="1">IF(OR(Tbl_ResidentData[[#This Row],[S2]]=TRUE,Tbl_ResidentData[[#This Row],[P2]]=TRUE),1,0)</f>
        <v>0</v>
      </c>
      <c r="CQ63" s="121">
        <f ca="1">IF(OR(Tbl_ResidentData[[#This Row],[S3]]=TRUE,Tbl_ResidentData[[#This Row],[P3]]=TRUE),1,0)</f>
        <v>0</v>
      </c>
      <c r="CR63" s="120">
        <f ca="1">IF(OR(Tbl_ResidentData[[#This Row],[S4]]=TRUE,Tbl_ResidentData[[#This Row],[P4]]=TRUE),1,0)</f>
        <v>0</v>
      </c>
      <c r="CS63" s="120">
        <f ca="1">IF(OR(Tbl_ResidentData[[#This Row],[S5]]=TRUE,Tbl_ResidentData[[#This Row],[P5]]=TRUE),1,0)</f>
        <v>0</v>
      </c>
      <c r="CT63" s="120">
        <f ca="1">IF(OR(Tbl_ResidentData[[#This Row],[S6]]=TRUE,Tbl_ResidentData[[#This Row],[P6]]=TRUE),1,0)</f>
        <v>0</v>
      </c>
      <c r="CU63" s="120">
        <f ca="1">IF(OR(Tbl_ResidentData[[#This Row],[S7]]=TRUE,Tbl_ResidentData[[#This Row],[P7]]=TRUE),1,0)</f>
        <v>0</v>
      </c>
      <c r="CV63" s="120">
        <f ca="1">IF(OR(Tbl_ResidentData[[#This Row],[S8]]=TRUE,Tbl_ResidentData[[#This Row],[P8]]=TRUE),1,0)</f>
        <v>0</v>
      </c>
      <c r="CW63" s="120">
        <f ca="1">IF(OR(Tbl_ResidentData[[#This Row],[S9]]=TRUE,Tbl_ResidentData[[#This Row],[P9]]=TRUE),1,0)</f>
        <v>0</v>
      </c>
      <c r="CX63" s="120">
        <f ca="1">IF(OR(Tbl_ResidentData[[#This Row],[S10]]=TRUE,Tbl_ResidentData[[#This Row],[P10]]=TRUE),1,0)</f>
        <v>0</v>
      </c>
      <c r="CY63" s="120">
        <f ca="1">IF(OR(Tbl_ResidentData[[#This Row],[S11]]=TRUE,Tbl_ResidentData[[#This Row],[P11]]=TRUE),1,0)</f>
        <v>0</v>
      </c>
      <c r="CZ63" s="120">
        <f ca="1">IF(OR(Tbl_ResidentData[[#This Row],[S12]]=TRUE,Tbl_ResidentData[[#This Row],[P12]]=TRUE),1,0)</f>
        <v>0</v>
      </c>
      <c r="DA63" s="120">
        <f ca="1">IF(OR(Tbl_ResidentData[[#This Row],[S13]]=TRUE,Tbl_ResidentData[[#This Row],[P13]]=TRUE),1,0)</f>
        <v>0</v>
      </c>
      <c r="DB63" s="120">
        <f ca="1">IF(OR(Tbl_ResidentData[[#This Row],[S14]]=TRUE,Tbl_ResidentData[[#This Row],[P14]]=TRUE),1,0)</f>
        <v>0</v>
      </c>
      <c r="DC63" s="120">
        <f ca="1">IF(OR(Tbl_ResidentData[[#This Row],[S15]]=TRUE,Tbl_ResidentData[[#This Row],[P15]]=TRUE),1,0)</f>
        <v>0</v>
      </c>
      <c r="DD63" s="120">
        <f ca="1">IF(OR(Tbl_ResidentData[[#This Row],[S16]]=TRUE,Tbl_ResidentData[[#This Row],[P16]]=TRUE),1,0)</f>
        <v>0</v>
      </c>
      <c r="DE63" s="120">
        <f ca="1">IF(OR(Tbl_ResidentData[[#This Row],[S17]]=TRUE,Tbl_ResidentData[[#This Row],[P17]]=TRUE),1,0)</f>
        <v>0</v>
      </c>
      <c r="DF63" s="120">
        <f ca="1">IF(OR(Tbl_ResidentData[[#This Row],[S18]]=TRUE,Tbl_ResidentData[[#This Row],[P18]]=TRUE),1,0)</f>
        <v>0</v>
      </c>
      <c r="DG63" s="120">
        <f ca="1">IF(OR(Tbl_ResidentData[[#This Row],[S19]]=TRUE,Tbl_ResidentData[[#This Row],[P19]]=TRUE),1,0)</f>
        <v>0</v>
      </c>
      <c r="DH63" s="120">
        <f ca="1">IF(OR(Tbl_ResidentData[[#This Row],[S20]]=TRUE,Tbl_ResidentData[[#This Row],[P20]]=TRUE),1,0)</f>
        <v>0</v>
      </c>
      <c r="DI63" s="120">
        <f ca="1">IF(OR(Tbl_ResidentData[[#This Row],[S21]]=TRUE,Tbl_ResidentData[[#This Row],[P21]]=TRUE),1,0)</f>
        <v>0</v>
      </c>
      <c r="DJ63" s="120">
        <f ca="1">IF(OR(Tbl_ResidentData[[#This Row],[S22]]=TRUE,Tbl_ResidentData[[#This Row],[P22]]=TRUE),1,0)</f>
        <v>0</v>
      </c>
      <c r="DK63" s="120">
        <f ca="1">IF(OR(Tbl_ResidentData[[#This Row],[S23]]=TRUE,Tbl_ResidentData[[#This Row],[P23]]=TRUE),1,0)</f>
        <v>0</v>
      </c>
      <c r="DL63" s="120">
        <f ca="1">IF(OR(Tbl_ResidentData[[#This Row],[S24]]=TRUE,Tbl_ResidentData[[#This Row],[P24]]=TRUE),1,0)</f>
        <v>0</v>
      </c>
      <c r="DM63" s="123" t="str">
        <f ca="1">IFERROR(INDEX($CO$4:$DL$4,MATCH(TRUE,INDEX((Tbl_ResidentData[[#This Row],[Over1]:[Over24]]&lt;&gt;0),0),0)),"")</f>
        <v/>
      </c>
      <c r="DN63" s="133" t="str">
        <f>IFERROR(INDEX(Tbl_PDSAData[Last DRT],MATCH(Tbl_ResidentData[Resident Name '[last, first']],Tbl_PDSAData[Resident Name (last, first)],0)),"")</f>
        <v/>
      </c>
      <c r="DO63" s="222" t="str">
        <f>IFERROR(INDEX(Tbl_PDSAData[Last MR],MATCH(Tbl_ResidentData[Resident Name '[last, first']],Tbl_PDSAData[Resident Name (last, first)],0)),"")</f>
        <v/>
      </c>
    </row>
    <row r="64" spans="1:119" x14ac:dyDescent="0.25">
      <c r="A64" s="179"/>
      <c r="B64" s="180"/>
      <c r="C64" s="180"/>
      <c r="D64" s="218"/>
      <c r="E64" s="179"/>
      <c r="F64" s="181"/>
      <c r="G64" s="181"/>
      <c r="H64" s="375"/>
      <c r="I64" s="185"/>
      <c r="J64" s="387"/>
      <c r="K64" s="178"/>
      <c r="L64" s="388"/>
      <c r="M64" s="185"/>
      <c r="N64" s="386"/>
      <c r="O64" s="178"/>
      <c r="P64" s="388"/>
      <c r="Q64" s="394"/>
      <c r="R64" s="388"/>
      <c r="S64" s="131" t="str">
        <f>IF(ISBLANK(Tbl_ResidentData[[#This Row],[Discharge '[mmm-yyyy']]]),IF(ISBLANK(Tbl_ResidentData[[#This Row],[Enrollment '[mmm-yyyy']]]),"","In Care Home"),"Discharged")</f>
        <v/>
      </c>
      <c r="T64" s="119" t="str">
        <f>IF(ISBLANK(Tbl_ResidentData[[#This Row],[Diagnosis (RAI)]]),IF(ISBLANK(Tbl_ResidentData[[#This Row],[Resident Name '[last, first']]]),"",0),IF(Tbl_ResidentData[[#This Row],[Diagnosis (RAI)]]="Other (see clinical notes)",0,1))</f>
        <v/>
      </c>
      <c r="U64" s="120" t="str">
        <f ca="1">IF(U$4&gt;NOW(),"-",IF(ISBLANK(Tbl_ResidentData[[#This Row],[Enrollment '[mmm-yyyy']]]),"-",AND((Tbl_ResidentData[[#This Row],[Enrollment '[mmm-yyyy']]]&lt;=U$4),IF(ISBLANK(Tbl_ResidentData[[#This Row],[Discharge '[mmm-yyyy']]]),TRUE,(Tbl_ResidentData[[#This Row],[Discharge '[mmm-yyyy']]]&gt;=U$4)))))</f>
        <v>-</v>
      </c>
      <c r="V64" s="121" t="str">
        <f ca="1">IF(V$4&gt;NOW(),"-",IF(ISBLANK(Tbl_ResidentData[[#This Row],[Enrollment '[mmm-yyyy']]]),"-",AND((Tbl_ResidentData[[#This Row],[Enrollment '[mmm-yyyy']]]&lt;=V$4),IF(ISBLANK(Tbl_ResidentData[[#This Row],[Discharge '[mmm-yyyy']]]),TRUE,(Tbl_ResidentData[[#This Row],[Discharge '[mmm-yyyy']]]&gt;=V$4)))))</f>
        <v>-</v>
      </c>
      <c r="W64" s="121" t="str">
        <f ca="1">IF(W$4&gt;NOW(),"-",IF(ISBLANK(Tbl_ResidentData[[#This Row],[Enrollment '[mmm-yyyy']]]),"-",AND((Tbl_ResidentData[[#This Row],[Enrollment '[mmm-yyyy']]]&lt;=W$4),IF(ISBLANK(Tbl_ResidentData[[#This Row],[Discharge '[mmm-yyyy']]]),TRUE,(Tbl_ResidentData[[#This Row],[Discharge '[mmm-yyyy']]]&gt;=W$4)))))</f>
        <v>-</v>
      </c>
      <c r="X64" s="121" t="str">
        <f ca="1">IF(X$4&gt;NOW(),"-",IF(ISBLANK(Tbl_ResidentData[[#This Row],[Enrollment '[mmm-yyyy']]]),"-",AND((Tbl_ResidentData[[#This Row],[Enrollment '[mmm-yyyy']]]&lt;=X$4),IF(ISBLANK(Tbl_ResidentData[[#This Row],[Discharge '[mmm-yyyy']]]),TRUE,(Tbl_ResidentData[[#This Row],[Discharge '[mmm-yyyy']]]&gt;=X$4)))))</f>
        <v>-</v>
      </c>
      <c r="Y64" s="121" t="str">
        <f ca="1">IF(Y$4&gt;NOW(),"-",IF(ISBLANK(Tbl_ResidentData[[#This Row],[Enrollment '[mmm-yyyy']]]),"-",AND((Tbl_ResidentData[[#This Row],[Enrollment '[mmm-yyyy']]]&lt;=Y$4),IF(ISBLANK(Tbl_ResidentData[[#This Row],[Discharge '[mmm-yyyy']]]),TRUE,(Tbl_ResidentData[[#This Row],[Discharge '[mmm-yyyy']]]&gt;=Y$4)))))</f>
        <v>-</v>
      </c>
      <c r="Z64" s="121" t="str">
        <f ca="1">IF(Z$4&gt;NOW(),"-",IF(ISBLANK(Tbl_ResidentData[[#This Row],[Enrollment '[mmm-yyyy']]]),"-",AND((Tbl_ResidentData[[#This Row],[Enrollment '[mmm-yyyy']]]&lt;=Z$4),IF(ISBLANK(Tbl_ResidentData[[#This Row],[Discharge '[mmm-yyyy']]]),TRUE,(Tbl_ResidentData[[#This Row],[Discharge '[mmm-yyyy']]]&gt;=Z$4)))))</f>
        <v>-</v>
      </c>
      <c r="AA64" s="121" t="str">
        <f ca="1">IF(AA$4&gt;NOW(),"-",IF(ISBLANK(Tbl_ResidentData[[#This Row],[Enrollment '[mmm-yyyy']]]),"-",AND((Tbl_ResidentData[[#This Row],[Enrollment '[mmm-yyyy']]]&lt;=AA$4),IF(ISBLANK(Tbl_ResidentData[[#This Row],[Discharge '[mmm-yyyy']]]),TRUE,(Tbl_ResidentData[[#This Row],[Discharge '[mmm-yyyy']]]&gt;=AA$4)))))</f>
        <v>-</v>
      </c>
      <c r="AB64" s="121" t="str">
        <f ca="1">IF(AB$4&gt;NOW(),"-",IF(ISBLANK(Tbl_ResidentData[[#This Row],[Enrollment '[mmm-yyyy']]]),"-",AND((Tbl_ResidentData[[#This Row],[Enrollment '[mmm-yyyy']]]&lt;=AB$4),IF(ISBLANK(Tbl_ResidentData[[#This Row],[Discharge '[mmm-yyyy']]]),TRUE,(Tbl_ResidentData[[#This Row],[Discharge '[mmm-yyyy']]]&gt;=AB$4)))))</f>
        <v>-</v>
      </c>
      <c r="AC64" s="121" t="str">
        <f ca="1">IF(AC$4&gt;NOW(),"-",IF(ISBLANK(Tbl_ResidentData[[#This Row],[Enrollment '[mmm-yyyy']]]),"-",AND((Tbl_ResidentData[[#This Row],[Enrollment '[mmm-yyyy']]]&lt;=AC$4),IF(ISBLANK(Tbl_ResidentData[[#This Row],[Discharge '[mmm-yyyy']]]),TRUE,(Tbl_ResidentData[[#This Row],[Discharge '[mmm-yyyy']]]&gt;=AC$4)))))</f>
        <v>-</v>
      </c>
      <c r="AD64" s="121" t="str">
        <f ca="1">IF(AD$4&gt;NOW(),"-",IF(ISBLANK(Tbl_ResidentData[[#This Row],[Enrollment '[mmm-yyyy']]]),"-",AND((Tbl_ResidentData[[#This Row],[Enrollment '[mmm-yyyy']]]&lt;=AD$4),IF(ISBLANK(Tbl_ResidentData[[#This Row],[Discharge '[mmm-yyyy']]]),TRUE,(Tbl_ResidentData[[#This Row],[Discharge '[mmm-yyyy']]]&gt;=AD$4)))))</f>
        <v>-</v>
      </c>
      <c r="AE64" s="121" t="str">
        <f ca="1">IF(AE$4&gt;NOW(),"-",IF(ISBLANK(Tbl_ResidentData[[#This Row],[Enrollment '[mmm-yyyy']]]),"-",AND((Tbl_ResidentData[[#This Row],[Enrollment '[mmm-yyyy']]]&lt;=AE$4),IF(ISBLANK(Tbl_ResidentData[[#This Row],[Discharge '[mmm-yyyy']]]),TRUE,(Tbl_ResidentData[[#This Row],[Discharge '[mmm-yyyy']]]&gt;=AE$4)))))</f>
        <v>-</v>
      </c>
      <c r="AF64" s="121" t="str">
        <f ca="1">IF(AF$4&gt;NOW(),"-",IF(ISBLANK(Tbl_ResidentData[[#This Row],[Enrollment '[mmm-yyyy']]]),"-",AND((Tbl_ResidentData[[#This Row],[Enrollment '[mmm-yyyy']]]&lt;=AF$4),IF(ISBLANK(Tbl_ResidentData[[#This Row],[Discharge '[mmm-yyyy']]]),TRUE,(Tbl_ResidentData[[#This Row],[Discharge '[mmm-yyyy']]]&gt;=AF$4)))))</f>
        <v>-</v>
      </c>
      <c r="AG64" s="121" t="str">
        <f ca="1">IF(AG$4&gt;NOW(),"-",IF(ISBLANK(Tbl_ResidentData[[#This Row],[Enrollment '[mmm-yyyy']]]),"-",AND((Tbl_ResidentData[[#This Row],[Enrollment '[mmm-yyyy']]]&lt;=AG$4),IF(ISBLANK(Tbl_ResidentData[[#This Row],[Discharge '[mmm-yyyy']]]),TRUE,(Tbl_ResidentData[[#This Row],[Discharge '[mmm-yyyy']]]&gt;=AG$4)))))</f>
        <v>-</v>
      </c>
      <c r="AH64" s="121" t="str">
        <f ca="1">IF(AH$4&gt;NOW(),"-",IF(ISBLANK(Tbl_ResidentData[[#This Row],[Enrollment '[mmm-yyyy']]]),"-",AND((Tbl_ResidentData[[#This Row],[Enrollment '[mmm-yyyy']]]&lt;=AH$4),IF(ISBLANK(Tbl_ResidentData[[#This Row],[Discharge '[mmm-yyyy']]]),TRUE,(Tbl_ResidentData[[#This Row],[Discharge '[mmm-yyyy']]]&gt;=AH$4)))))</f>
        <v>-</v>
      </c>
      <c r="AI64" s="121" t="str">
        <f ca="1">IF(AI$4&gt;NOW(),"-",IF(ISBLANK(Tbl_ResidentData[[#This Row],[Enrollment '[mmm-yyyy']]]),"-",AND((Tbl_ResidentData[[#This Row],[Enrollment '[mmm-yyyy']]]&lt;=AI$4),IF(ISBLANK(Tbl_ResidentData[[#This Row],[Discharge '[mmm-yyyy']]]),TRUE,(Tbl_ResidentData[[#This Row],[Discharge '[mmm-yyyy']]]&gt;=AI$4)))))</f>
        <v>-</v>
      </c>
      <c r="AJ64" s="121" t="str">
        <f ca="1">IF(AJ$4&gt;NOW(),"-",IF(ISBLANK(Tbl_ResidentData[[#This Row],[Enrollment '[mmm-yyyy']]]),"-",AND((Tbl_ResidentData[[#This Row],[Enrollment '[mmm-yyyy']]]&lt;=AJ$4),IF(ISBLANK(Tbl_ResidentData[[#This Row],[Discharge '[mmm-yyyy']]]),TRUE,(Tbl_ResidentData[[#This Row],[Discharge '[mmm-yyyy']]]&gt;=AJ$4)))))</f>
        <v>-</v>
      </c>
      <c r="AK64" s="121" t="str">
        <f ca="1">IF(AK$4&gt;NOW(),"-",IF(ISBLANK(Tbl_ResidentData[[#This Row],[Enrollment '[mmm-yyyy']]]),"-",AND((Tbl_ResidentData[[#This Row],[Enrollment '[mmm-yyyy']]]&lt;=AK$4),IF(ISBLANK(Tbl_ResidentData[[#This Row],[Discharge '[mmm-yyyy']]]),TRUE,(Tbl_ResidentData[[#This Row],[Discharge '[mmm-yyyy']]]&gt;=AK$4)))))</f>
        <v>-</v>
      </c>
      <c r="AL64" s="121" t="str">
        <f ca="1">IF(AL$4&gt;NOW(),"-",IF(ISBLANK(Tbl_ResidentData[[#This Row],[Enrollment '[mmm-yyyy']]]),"-",AND((Tbl_ResidentData[[#This Row],[Enrollment '[mmm-yyyy']]]&lt;=AL$4),IF(ISBLANK(Tbl_ResidentData[[#This Row],[Discharge '[mmm-yyyy']]]),TRUE,(Tbl_ResidentData[[#This Row],[Discharge '[mmm-yyyy']]]&gt;=AL$4)))))</f>
        <v>-</v>
      </c>
      <c r="AM64" s="121" t="str">
        <f ca="1">IF(AM$4&gt;NOW(),"-",IF(ISBLANK(Tbl_ResidentData[[#This Row],[Enrollment '[mmm-yyyy']]]),"-",AND((Tbl_ResidentData[[#This Row],[Enrollment '[mmm-yyyy']]]&lt;=AM$4),IF(ISBLANK(Tbl_ResidentData[[#This Row],[Discharge '[mmm-yyyy']]]),TRUE,(Tbl_ResidentData[[#This Row],[Discharge '[mmm-yyyy']]]&gt;=AM$4)))))</f>
        <v>-</v>
      </c>
      <c r="AN64" s="121" t="str">
        <f ca="1">IF(AN$4&gt;NOW(),"-",IF(ISBLANK(Tbl_ResidentData[[#This Row],[Enrollment '[mmm-yyyy']]]),"-",AND((Tbl_ResidentData[[#This Row],[Enrollment '[mmm-yyyy']]]&lt;=AN$4),IF(ISBLANK(Tbl_ResidentData[[#This Row],[Discharge '[mmm-yyyy']]]),TRUE,(Tbl_ResidentData[[#This Row],[Discharge '[mmm-yyyy']]]&gt;=AN$4)))))</f>
        <v>-</v>
      </c>
      <c r="AO64" s="121" t="str">
        <f ca="1">IF(AO$4&gt;NOW(),"-",IF(ISBLANK(Tbl_ResidentData[[#This Row],[Enrollment '[mmm-yyyy']]]),"-",AND((Tbl_ResidentData[[#This Row],[Enrollment '[mmm-yyyy']]]&lt;=AO$4),IF(ISBLANK(Tbl_ResidentData[[#This Row],[Discharge '[mmm-yyyy']]]),TRUE,(Tbl_ResidentData[[#This Row],[Discharge '[mmm-yyyy']]]&gt;=AO$4)))))</f>
        <v>-</v>
      </c>
      <c r="AP64" s="121" t="str">
        <f ca="1">IF(AP$4&gt;NOW(),"-",IF(ISBLANK(Tbl_ResidentData[[#This Row],[Enrollment '[mmm-yyyy']]]),"-",AND((Tbl_ResidentData[[#This Row],[Enrollment '[mmm-yyyy']]]&lt;=AP$4),IF(ISBLANK(Tbl_ResidentData[[#This Row],[Discharge '[mmm-yyyy']]]),TRUE,(Tbl_ResidentData[[#This Row],[Discharge '[mmm-yyyy']]]&gt;=AP$4)))))</f>
        <v>-</v>
      </c>
      <c r="AQ64" s="121" t="str">
        <f ca="1">IF(AQ$4&gt;NOW(),"-",IF(ISBLANK(Tbl_ResidentData[[#This Row],[Enrollment '[mmm-yyyy']]]),"-",AND((Tbl_ResidentData[[#This Row],[Enrollment '[mmm-yyyy']]]&lt;=AQ$4),IF(ISBLANK(Tbl_ResidentData[[#This Row],[Discharge '[mmm-yyyy']]]),TRUE,(Tbl_ResidentData[[#This Row],[Discharge '[mmm-yyyy']]]&gt;=AQ$4)))))</f>
        <v>-</v>
      </c>
      <c r="AR64" s="122" t="str">
        <f ca="1">IF(AR$4&gt;NOW(),"-",IF(ISBLANK(Tbl_ResidentData[[#This Row],[Enrollment '[mmm-yyyy']]]),"-",AND((Tbl_ResidentData[[#This Row],[Enrollment '[mmm-yyyy']]]&lt;=AR$4),IF(ISBLANK(Tbl_ResidentData[[#This Row],[Discharge '[mmm-yyyy']]]),TRUE,(Tbl_ResidentData[[#This Row],[Discharge '[mmm-yyyy']]]&gt;=AR$4)))))</f>
        <v>-</v>
      </c>
      <c r="AS6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4" s="120" t="b">
        <f ca="1">AND(Tbl_ResidentData[[#This Row],[PRN Med Started]]&lt;&gt;"",Tbl_ResidentData[[#This Row],[PRN Med Started]]&lt;=NOW(),Tbl_ResidentData[[#This Row],[PRN Med Started]]&lt;=AS$4,OR(Tbl_ResidentData[[#This Row],[PRN Med Discontinued]]&gt;AS$4,ISBLANK(Tbl_ResidentData[[#This Row],[PRN Med Discontinued]])))</f>
        <v>0</v>
      </c>
      <c r="BR64" s="121" t="b">
        <f ca="1">AND(Tbl_ResidentData[[#This Row],[PRN Med Started]]&lt;&gt;"",Tbl_ResidentData[[#This Row],[PRN Med Started]]&lt;=NOW(),Tbl_ResidentData[[#This Row],[PRN Med Started]]&lt;=AT$4,OR(Tbl_ResidentData[[#This Row],[PRN Med Discontinued]]&gt;AT$4,ISBLANK(Tbl_ResidentData[[#This Row],[PRN Med Discontinued]])))</f>
        <v>0</v>
      </c>
      <c r="BS64" s="121" t="b">
        <f ca="1">AND(Tbl_ResidentData[[#This Row],[PRN Med Started]]&lt;&gt;"",Tbl_ResidentData[[#This Row],[PRN Med Started]]&lt;=NOW(),Tbl_ResidentData[[#This Row],[PRN Med Started]]&lt;=AU$4,OR(Tbl_ResidentData[[#This Row],[PRN Med Discontinued]]&gt;AU$4,ISBLANK(Tbl_ResidentData[[#This Row],[PRN Med Discontinued]])))</f>
        <v>0</v>
      </c>
      <c r="BT64" s="121" t="b">
        <f ca="1">AND(Tbl_ResidentData[[#This Row],[PRN Med Started]]&lt;&gt;"",Tbl_ResidentData[[#This Row],[PRN Med Started]]&lt;=NOW(),Tbl_ResidentData[[#This Row],[PRN Med Started]]&lt;=AV$4,OR(Tbl_ResidentData[[#This Row],[PRN Med Discontinued]]&gt;AV$4,ISBLANK(Tbl_ResidentData[[#This Row],[PRN Med Discontinued]])))</f>
        <v>0</v>
      </c>
      <c r="BU64" s="121" t="b">
        <f ca="1">AND(Tbl_ResidentData[[#This Row],[PRN Med Started]]&lt;&gt;"",Tbl_ResidentData[[#This Row],[PRN Med Started]]&lt;=NOW(),Tbl_ResidentData[[#This Row],[PRN Med Started]]&lt;=AW$4,OR(Tbl_ResidentData[[#This Row],[PRN Med Discontinued]]&gt;AW$4,ISBLANK(Tbl_ResidentData[[#This Row],[PRN Med Discontinued]])))</f>
        <v>0</v>
      </c>
      <c r="BV64" s="121" t="b">
        <f ca="1">AND(Tbl_ResidentData[[#This Row],[PRN Med Started]]&lt;&gt;"",Tbl_ResidentData[[#This Row],[PRN Med Started]]&lt;=NOW(),Tbl_ResidentData[[#This Row],[PRN Med Started]]&lt;=AX$4,OR(Tbl_ResidentData[[#This Row],[PRN Med Discontinued]]&gt;AX$4,ISBLANK(Tbl_ResidentData[[#This Row],[PRN Med Discontinued]])))</f>
        <v>0</v>
      </c>
      <c r="BW64" s="121" t="b">
        <f ca="1">AND(Tbl_ResidentData[[#This Row],[PRN Med Started]]&lt;&gt;"",Tbl_ResidentData[[#This Row],[PRN Med Started]]&lt;=NOW(),Tbl_ResidentData[[#This Row],[PRN Med Started]]&lt;=AY$4,OR(Tbl_ResidentData[[#This Row],[PRN Med Discontinued]]&gt;AY$4,ISBLANK(Tbl_ResidentData[[#This Row],[PRN Med Discontinued]])))</f>
        <v>0</v>
      </c>
      <c r="BX64" s="121" t="b">
        <f ca="1">AND(Tbl_ResidentData[[#This Row],[PRN Med Started]]&lt;&gt;"",Tbl_ResidentData[[#This Row],[PRN Med Started]]&lt;=NOW(),Tbl_ResidentData[[#This Row],[PRN Med Started]]&lt;=AZ$4,OR(Tbl_ResidentData[[#This Row],[PRN Med Discontinued]]&gt;AZ$4,ISBLANK(Tbl_ResidentData[[#This Row],[PRN Med Discontinued]])))</f>
        <v>0</v>
      </c>
      <c r="BY64" s="121" t="b">
        <f ca="1">AND(Tbl_ResidentData[[#This Row],[PRN Med Started]]&lt;&gt;"",Tbl_ResidentData[[#This Row],[PRN Med Started]]&lt;=NOW(),Tbl_ResidentData[[#This Row],[PRN Med Started]]&lt;=BA$4,OR(Tbl_ResidentData[[#This Row],[PRN Med Discontinued]]&gt;BA$4,ISBLANK(Tbl_ResidentData[[#This Row],[PRN Med Discontinued]])))</f>
        <v>0</v>
      </c>
      <c r="BZ64" s="121" t="b">
        <f ca="1">AND(Tbl_ResidentData[[#This Row],[PRN Med Started]]&lt;&gt;"",Tbl_ResidentData[[#This Row],[PRN Med Started]]&lt;=NOW(),Tbl_ResidentData[[#This Row],[PRN Med Started]]&lt;=BB$4,OR(Tbl_ResidentData[[#This Row],[PRN Med Discontinued]]&gt;BB$4,ISBLANK(Tbl_ResidentData[[#This Row],[PRN Med Discontinued]])))</f>
        <v>0</v>
      </c>
      <c r="CA64" s="121" t="b">
        <f ca="1">AND(Tbl_ResidentData[[#This Row],[PRN Med Started]]&lt;&gt;"",Tbl_ResidentData[[#This Row],[PRN Med Started]]&lt;=NOW(),Tbl_ResidentData[[#This Row],[PRN Med Started]]&lt;=BC$4,OR(Tbl_ResidentData[[#This Row],[PRN Med Discontinued]]&gt;BC$4,ISBLANK(Tbl_ResidentData[[#This Row],[PRN Med Discontinued]])))</f>
        <v>0</v>
      </c>
      <c r="CB64" s="121" t="b">
        <f ca="1">AND(Tbl_ResidentData[[#This Row],[PRN Med Started]]&lt;&gt;"",Tbl_ResidentData[[#This Row],[PRN Med Started]]&lt;=NOW(),Tbl_ResidentData[[#This Row],[PRN Med Started]]&lt;=BD$4,OR(Tbl_ResidentData[[#This Row],[PRN Med Discontinued]]&gt;BD$4,ISBLANK(Tbl_ResidentData[[#This Row],[PRN Med Discontinued]])))</f>
        <v>0</v>
      </c>
      <c r="CC64" s="121" t="b">
        <f ca="1">AND(Tbl_ResidentData[[#This Row],[PRN Med Started]]&lt;&gt;"",Tbl_ResidentData[[#This Row],[PRN Med Started]]&lt;=NOW(),Tbl_ResidentData[[#This Row],[PRN Med Started]]&lt;=BE$4,OR(Tbl_ResidentData[[#This Row],[PRN Med Discontinued]]&gt;BE$4,ISBLANK(Tbl_ResidentData[[#This Row],[PRN Med Discontinued]])))</f>
        <v>0</v>
      </c>
      <c r="CD64" s="121" t="b">
        <f ca="1">AND(Tbl_ResidentData[[#This Row],[PRN Med Started]]&lt;&gt;"",Tbl_ResidentData[[#This Row],[PRN Med Started]]&lt;=NOW(),Tbl_ResidentData[[#This Row],[PRN Med Started]]&lt;=BF$4,OR(Tbl_ResidentData[[#This Row],[PRN Med Discontinued]]&gt;BF$4,ISBLANK(Tbl_ResidentData[[#This Row],[PRN Med Discontinued]])))</f>
        <v>0</v>
      </c>
      <c r="CE64" s="121" t="b">
        <f ca="1">AND(Tbl_ResidentData[[#This Row],[PRN Med Started]]&lt;&gt;"",Tbl_ResidentData[[#This Row],[PRN Med Started]]&lt;=NOW(),Tbl_ResidentData[[#This Row],[PRN Med Started]]&lt;=BG$4,OR(Tbl_ResidentData[[#This Row],[PRN Med Discontinued]]&gt;BG$4,ISBLANK(Tbl_ResidentData[[#This Row],[PRN Med Discontinued]])))</f>
        <v>0</v>
      </c>
      <c r="CF64" s="121" t="b">
        <f ca="1">AND(Tbl_ResidentData[[#This Row],[PRN Med Started]]&lt;&gt;"",Tbl_ResidentData[[#This Row],[PRN Med Started]]&lt;=NOW(),Tbl_ResidentData[[#This Row],[PRN Med Started]]&lt;=BH$4,OR(Tbl_ResidentData[[#This Row],[PRN Med Discontinued]]&gt;BH$4,ISBLANK(Tbl_ResidentData[[#This Row],[PRN Med Discontinued]])))</f>
        <v>0</v>
      </c>
      <c r="CG64" s="121" t="b">
        <f ca="1">AND(Tbl_ResidentData[[#This Row],[PRN Med Started]]&lt;&gt;"",Tbl_ResidentData[[#This Row],[PRN Med Started]]&lt;=NOW(),Tbl_ResidentData[[#This Row],[PRN Med Started]]&lt;=BI$4,OR(Tbl_ResidentData[[#This Row],[PRN Med Discontinued]]&gt;BI$4,ISBLANK(Tbl_ResidentData[[#This Row],[PRN Med Discontinued]])))</f>
        <v>0</v>
      </c>
      <c r="CH64" s="121" t="b">
        <f ca="1">AND(Tbl_ResidentData[[#This Row],[PRN Med Started]]&lt;&gt;"",Tbl_ResidentData[[#This Row],[PRN Med Started]]&lt;=NOW(),Tbl_ResidentData[[#This Row],[PRN Med Started]]&lt;=BJ$4,OR(Tbl_ResidentData[[#This Row],[PRN Med Discontinued]]&gt;BJ$4,ISBLANK(Tbl_ResidentData[[#This Row],[PRN Med Discontinued]])))</f>
        <v>0</v>
      </c>
      <c r="CI64" s="121" t="b">
        <f ca="1">AND(Tbl_ResidentData[[#This Row],[PRN Med Started]]&lt;&gt;"",Tbl_ResidentData[[#This Row],[PRN Med Started]]&lt;=NOW(),Tbl_ResidentData[[#This Row],[PRN Med Started]]&lt;=BK$4,OR(Tbl_ResidentData[[#This Row],[PRN Med Discontinued]]&gt;BK$4,ISBLANK(Tbl_ResidentData[[#This Row],[PRN Med Discontinued]])))</f>
        <v>0</v>
      </c>
      <c r="CJ64" s="121" t="b">
        <f ca="1">AND(Tbl_ResidentData[[#This Row],[PRN Med Started]]&lt;&gt;"",Tbl_ResidentData[[#This Row],[PRN Med Started]]&lt;=NOW(),Tbl_ResidentData[[#This Row],[PRN Med Started]]&lt;=BL$4,OR(Tbl_ResidentData[[#This Row],[PRN Med Discontinued]]&gt;BL$4,ISBLANK(Tbl_ResidentData[[#This Row],[PRN Med Discontinued]])))</f>
        <v>0</v>
      </c>
      <c r="CK64" s="121" t="b">
        <f ca="1">AND(Tbl_ResidentData[[#This Row],[PRN Med Started]]&lt;&gt;"",Tbl_ResidentData[[#This Row],[PRN Med Started]]&lt;=NOW(),Tbl_ResidentData[[#This Row],[PRN Med Started]]&lt;=BM$4,OR(Tbl_ResidentData[[#This Row],[PRN Med Discontinued]]&gt;BM$4,ISBLANK(Tbl_ResidentData[[#This Row],[PRN Med Discontinued]])))</f>
        <v>0</v>
      </c>
      <c r="CL64" s="121" t="b">
        <f ca="1">AND(Tbl_ResidentData[[#This Row],[PRN Med Started]]&lt;&gt;"",Tbl_ResidentData[[#This Row],[PRN Med Started]]&lt;=NOW(),Tbl_ResidentData[[#This Row],[PRN Med Started]]&lt;=BN$4,OR(Tbl_ResidentData[[#This Row],[PRN Med Discontinued]]&gt;BN$4,ISBLANK(Tbl_ResidentData[[#This Row],[PRN Med Discontinued]])))</f>
        <v>0</v>
      </c>
      <c r="CM64" s="121" t="b">
        <f ca="1">AND(Tbl_ResidentData[[#This Row],[PRN Med Started]]&lt;&gt;"",Tbl_ResidentData[[#This Row],[PRN Med Started]]&lt;=NOW(),Tbl_ResidentData[[#This Row],[PRN Med Started]]&lt;=BO$4,OR(Tbl_ResidentData[[#This Row],[PRN Med Discontinued]]&gt;BO$4,ISBLANK(Tbl_ResidentData[[#This Row],[PRN Med Discontinued]])))</f>
        <v>0</v>
      </c>
      <c r="CN64" s="122" t="b">
        <f ca="1">AND(Tbl_ResidentData[[#This Row],[PRN Med Started]]&lt;&gt;"",Tbl_ResidentData[[#This Row],[PRN Med Started]]&lt;=NOW(),Tbl_ResidentData[[#This Row],[PRN Med Started]]&lt;=BP$4,OR(Tbl_ResidentData[[#This Row],[PRN Med Discontinued]]&gt;BP$4,ISBLANK(Tbl_ResidentData[[#This Row],[PRN Med Discontinued]])))</f>
        <v>0</v>
      </c>
      <c r="CO64" s="120">
        <f ca="1">IF(OR(Tbl_ResidentData[[#This Row],[S1]]=TRUE,Tbl_ResidentData[[#This Row],[P1]]=TRUE),1,0)</f>
        <v>0</v>
      </c>
      <c r="CP64" s="121">
        <f ca="1">IF(OR(Tbl_ResidentData[[#This Row],[S2]]=TRUE,Tbl_ResidentData[[#This Row],[P2]]=TRUE),1,0)</f>
        <v>0</v>
      </c>
      <c r="CQ64" s="121">
        <f ca="1">IF(OR(Tbl_ResidentData[[#This Row],[S3]]=TRUE,Tbl_ResidentData[[#This Row],[P3]]=TRUE),1,0)</f>
        <v>0</v>
      </c>
      <c r="CR64" s="120">
        <f ca="1">IF(OR(Tbl_ResidentData[[#This Row],[S4]]=TRUE,Tbl_ResidentData[[#This Row],[P4]]=TRUE),1,0)</f>
        <v>0</v>
      </c>
      <c r="CS64" s="120">
        <f ca="1">IF(OR(Tbl_ResidentData[[#This Row],[S5]]=TRUE,Tbl_ResidentData[[#This Row],[P5]]=TRUE),1,0)</f>
        <v>0</v>
      </c>
      <c r="CT64" s="120">
        <f ca="1">IF(OR(Tbl_ResidentData[[#This Row],[S6]]=TRUE,Tbl_ResidentData[[#This Row],[P6]]=TRUE),1,0)</f>
        <v>0</v>
      </c>
      <c r="CU64" s="120">
        <f ca="1">IF(OR(Tbl_ResidentData[[#This Row],[S7]]=TRUE,Tbl_ResidentData[[#This Row],[P7]]=TRUE),1,0)</f>
        <v>0</v>
      </c>
      <c r="CV64" s="120">
        <f ca="1">IF(OR(Tbl_ResidentData[[#This Row],[S8]]=TRUE,Tbl_ResidentData[[#This Row],[P8]]=TRUE),1,0)</f>
        <v>0</v>
      </c>
      <c r="CW64" s="120">
        <f ca="1">IF(OR(Tbl_ResidentData[[#This Row],[S9]]=TRUE,Tbl_ResidentData[[#This Row],[P9]]=TRUE),1,0)</f>
        <v>0</v>
      </c>
      <c r="CX64" s="120">
        <f ca="1">IF(OR(Tbl_ResidentData[[#This Row],[S10]]=TRUE,Tbl_ResidentData[[#This Row],[P10]]=TRUE),1,0)</f>
        <v>0</v>
      </c>
      <c r="CY64" s="120">
        <f ca="1">IF(OR(Tbl_ResidentData[[#This Row],[S11]]=TRUE,Tbl_ResidentData[[#This Row],[P11]]=TRUE),1,0)</f>
        <v>0</v>
      </c>
      <c r="CZ64" s="120">
        <f ca="1">IF(OR(Tbl_ResidentData[[#This Row],[S12]]=TRUE,Tbl_ResidentData[[#This Row],[P12]]=TRUE),1,0)</f>
        <v>0</v>
      </c>
      <c r="DA64" s="120">
        <f ca="1">IF(OR(Tbl_ResidentData[[#This Row],[S13]]=TRUE,Tbl_ResidentData[[#This Row],[P13]]=TRUE),1,0)</f>
        <v>0</v>
      </c>
      <c r="DB64" s="120">
        <f ca="1">IF(OR(Tbl_ResidentData[[#This Row],[S14]]=TRUE,Tbl_ResidentData[[#This Row],[P14]]=TRUE),1,0)</f>
        <v>0</v>
      </c>
      <c r="DC64" s="120">
        <f ca="1">IF(OR(Tbl_ResidentData[[#This Row],[S15]]=TRUE,Tbl_ResidentData[[#This Row],[P15]]=TRUE),1,0)</f>
        <v>0</v>
      </c>
      <c r="DD64" s="120">
        <f ca="1">IF(OR(Tbl_ResidentData[[#This Row],[S16]]=TRUE,Tbl_ResidentData[[#This Row],[P16]]=TRUE),1,0)</f>
        <v>0</v>
      </c>
      <c r="DE64" s="120">
        <f ca="1">IF(OR(Tbl_ResidentData[[#This Row],[S17]]=TRUE,Tbl_ResidentData[[#This Row],[P17]]=TRUE),1,0)</f>
        <v>0</v>
      </c>
      <c r="DF64" s="120">
        <f ca="1">IF(OR(Tbl_ResidentData[[#This Row],[S18]]=TRUE,Tbl_ResidentData[[#This Row],[P18]]=TRUE),1,0)</f>
        <v>0</v>
      </c>
      <c r="DG64" s="120">
        <f ca="1">IF(OR(Tbl_ResidentData[[#This Row],[S19]]=TRUE,Tbl_ResidentData[[#This Row],[P19]]=TRUE),1,0)</f>
        <v>0</v>
      </c>
      <c r="DH64" s="120">
        <f ca="1">IF(OR(Tbl_ResidentData[[#This Row],[S20]]=TRUE,Tbl_ResidentData[[#This Row],[P20]]=TRUE),1,0)</f>
        <v>0</v>
      </c>
      <c r="DI64" s="120">
        <f ca="1">IF(OR(Tbl_ResidentData[[#This Row],[S21]]=TRUE,Tbl_ResidentData[[#This Row],[P21]]=TRUE),1,0)</f>
        <v>0</v>
      </c>
      <c r="DJ64" s="120">
        <f ca="1">IF(OR(Tbl_ResidentData[[#This Row],[S22]]=TRUE,Tbl_ResidentData[[#This Row],[P22]]=TRUE),1,0)</f>
        <v>0</v>
      </c>
      <c r="DK64" s="120">
        <f ca="1">IF(OR(Tbl_ResidentData[[#This Row],[S23]]=TRUE,Tbl_ResidentData[[#This Row],[P23]]=TRUE),1,0)</f>
        <v>0</v>
      </c>
      <c r="DL64" s="120">
        <f ca="1">IF(OR(Tbl_ResidentData[[#This Row],[S24]]=TRUE,Tbl_ResidentData[[#This Row],[P24]]=TRUE),1,0)</f>
        <v>0</v>
      </c>
      <c r="DM64" s="123" t="str">
        <f ca="1">IFERROR(INDEX($CO$4:$DL$4,MATCH(TRUE,INDEX((Tbl_ResidentData[[#This Row],[Over1]:[Over24]]&lt;&gt;0),0),0)),"")</f>
        <v/>
      </c>
      <c r="DN64" s="133" t="str">
        <f>IFERROR(INDEX(Tbl_PDSAData[Last DRT],MATCH(Tbl_ResidentData[Resident Name '[last, first']],Tbl_PDSAData[Resident Name (last, first)],0)),"")</f>
        <v/>
      </c>
      <c r="DO64" s="222" t="str">
        <f>IFERROR(INDEX(Tbl_PDSAData[Last MR],MATCH(Tbl_ResidentData[Resident Name '[last, first']],Tbl_PDSAData[Resident Name (last, first)],0)),"")</f>
        <v/>
      </c>
    </row>
    <row r="65" spans="1:119" x14ac:dyDescent="0.25">
      <c r="A65" s="179"/>
      <c r="B65" s="180"/>
      <c r="C65" s="180"/>
      <c r="D65" s="218"/>
      <c r="E65" s="179"/>
      <c r="F65" s="181"/>
      <c r="G65" s="181"/>
      <c r="H65" s="375"/>
      <c r="I65" s="185"/>
      <c r="J65" s="387"/>
      <c r="K65" s="178"/>
      <c r="L65" s="388"/>
      <c r="M65" s="185"/>
      <c r="N65" s="386"/>
      <c r="O65" s="178"/>
      <c r="P65" s="388"/>
      <c r="Q65" s="395"/>
      <c r="R65" s="396"/>
      <c r="S65" s="131" t="str">
        <f>IF(ISBLANK(Tbl_ResidentData[[#This Row],[Discharge '[mmm-yyyy']]]),IF(ISBLANK(Tbl_ResidentData[[#This Row],[Enrollment '[mmm-yyyy']]]),"","In Care Home"),"Discharged")</f>
        <v/>
      </c>
      <c r="T65" s="119" t="str">
        <f>IF(ISBLANK(Tbl_ResidentData[[#This Row],[Diagnosis (RAI)]]),IF(ISBLANK(Tbl_ResidentData[[#This Row],[Resident Name '[last, first']]]),"",0),IF(Tbl_ResidentData[[#This Row],[Diagnosis (RAI)]]="Other (see clinical notes)",0,1))</f>
        <v/>
      </c>
      <c r="U65" s="120" t="str">
        <f ca="1">IF(U$4&gt;NOW(),"-",IF(ISBLANK(Tbl_ResidentData[[#This Row],[Enrollment '[mmm-yyyy']]]),"-",AND((Tbl_ResidentData[[#This Row],[Enrollment '[mmm-yyyy']]]&lt;=U$4),IF(ISBLANK(Tbl_ResidentData[[#This Row],[Discharge '[mmm-yyyy']]]),TRUE,(Tbl_ResidentData[[#This Row],[Discharge '[mmm-yyyy']]]&gt;=U$4)))))</f>
        <v>-</v>
      </c>
      <c r="V65" s="121" t="str">
        <f ca="1">IF(V$4&gt;NOW(),"-",IF(ISBLANK(Tbl_ResidentData[[#This Row],[Enrollment '[mmm-yyyy']]]),"-",AND((Tbl_ResidentData[[#This Row],[Enrollment '[mmm-yyyy']]]&lt;=V$4),IF(ISBLANK(Tbl_ResidentData[[#This Row],[Discharge '[mmm-yyyy']]]),TRUE,(Tbl_ResidentData[[#This Row],[Discharge '[mmm-yyyy']]]&gt;=V$4)))))</f>
        <v>-</v>
      </c>
      <c r="W65" s="121" t="str">
        <f ca="1">IF(W$4&gt;NOW(),"-",IF(ISBLANK(Tbl_ResidentData[[#This Row],[Enrollment '[mmm-yyyy']]]),"-",AND((Tbl_ResidentData[[#This Row],[Enrollment '[mmm-yyyy']]]&lt;=W$4),IF(ISBLANK(Tbl_ResidentData[[#This Row],[Discharge '[mmm-yyyy']]]),TRUE,(Tbl_ResidentData[[#This Row],[Discharge '[mmm-yyyy']]]&gt;=W$4)))))</f>
        <v>-</v>
      </c>
      <c r="X65" s="121" t="str">
        <f ca="1">IF(X$4&gt;NOW(),"-",IF(ISBLANK(Tbl_ResidentData[[#This Row],[Enrollment '[mmm-yyyy']]]),"-",AND((Tbl_ResidentData[[#This Row],[Enrollment '[mmm-yyyy']]]&lt;=X$4),IF(ISBLANK(Tbl_ResidentData[[#This Row],[Discharge '[mmm-yyyy']]]),TRUE,(Tbl_ResidentData[[#This Row],[Discharge '[mmm-yyyy']]]&gt;=X$4)))))</f>
        <v>-</v>
      </c>
      <c r="Y65" s="121" t="str">
        <f ca="1">IF(Y$4&gt;NOW(),"-",IF(ISBLANK(Tbl_ResidentData[[#This Row],[Enrollment '[mmm-yyyy']]]),"-",AND((Tbl_ResidentData[[#This Row],[Enrollment '[mmm-yyyy']]]&lt;=Y$4),IF(ISBLANK(Tbl_ResidentData[[#This Row],[Discharge '[mmm-yyyy']]]),TRUE,(Tbl_ResidentData[[#This Row],[Discharge '[mmm-yyyy']]]&gt;=Y$4)))))</f>
        <v>-</v>
      </c>
      <c r="Z65" s="121" t="str">
        <f ca="1">IF(Z$4&gt;NOW(),"-",IF(ISBLANK(Tbl_ResidentData[[#This Row],[Enrollment '[mmm-yyyy']]]),"-",AND((Tbl_ResidentData[[#This Row],[Enrollment '[mmm-yyyy']]]&lt;=Z$4),IF(ISBLANK(Tbl_ResidentData[[#This Row],[Discharge '[mmm-yyyy']]]),TRUE,(Tbl_ResidentData[[#This Row],[Discharge '[mmm-yyyy']]]&gt;=Z$4)))))</f>
        <v>-</v>
      </c>
      <c r="AA65" s="121" t="str">
        <f ca="1">IF(AA$4&gt;NOW(),"-",IF(ISBLANK(Tbl_ResidentData[[#This Row],[Enrollment '[mmm-yyyy']]]),"-",AND((Tbl_ResidentData[[#This Row],[Enrollment '[mmm-yyyy']]]&lt;=AA$4),IF(ISBLANK(Tbl_ResidentData[[#This Row],[Discharge '[mmm-yyyy']]]),TRUE,(Tbl_ResidentData[[#This Row],[Discharge '[mmm-yyyy']]]&gt;=AA$4)))))</f>
        <v>-</v>
      </c>
      <c r="AB65" s="121" t="str">
        <f ca="1">IF(AB$4&gt;NOW(),"-",IF(ISBLANK(Tbl_ResidentData[[#This Row],[Enrollment '[mmm-yyyy']]]),"-",AND((Tbl_ResidentData[[#This Row],[Enrollment '[mmm-yyyy']]]&lt;=AB$4),IF(ISBLANK(Tbl_ResidentData[[#This Row],[Discharge '[mmm-yyyy']]]),TRUE,(Tbl_ResidentData[[#This Row],[Discharge '[mmm-yyyy']]]&gt;=AB$4)))))</f>
        <v>-</v>
      </c>
      <c r="AC65" s="121" t="str">
        <f ca="1">IF(AC$4&gt;NOW(),"-",IF(ISBLANK(Tbl_ResidentData[[#This Row],[Enrollment '[mmm-yyyy']]]),"-",AND((Tbl_ResidentData[[#This Row],[Enrollment '[mmm-yyyy']]]&lt;=AC$4),IF(ISBLANK(Tbl_ResidentData[[#This Row],[Discharge '[mmm-yyyy']]]),TRUE,(Tbl_ResidentData[[#This Row],[Discharge '[mmm-yyyy']]]&gt;=AC$4)))))</f>
        <v>-</v>
      </c>
      <c r="AD65" s="121" t="str">
        <f ca="1">IF(AD$4&gt;NOW(),"-",IF(ISBLANK(Tbl_ResidentData[[#This Row],[Enrollment '[mmm-yyyy']]]),"-",AND((Tbl_ResidentData[[#This Row],[Enrollment '[mmm-yyyy']]]&lt;=AD$4),IF(ISBLANK(Tbl_ResidentData[[#This Row],[Discharge '[mmm-yyyy']]]),TRUE,(Tbl_ResidentData[[#This Row],[Discharge '[mmm-yyyy']]]&gt;=AD$4)))))</f>
        <v>-</v>
      </c>
      <c r="AE65" s="121" t="str">
        <f ca="1">IF(AE$4&gt;NOW(),"-",IF(ISBLANK(Tbl_ResidentData[[#This Row],[Enrollment '[mmm-yyyy']]]),"-",AND((Tbl_ResidentData[[#This Row],[Enrollment '[mmm-yyyy']]]&lt;=AE$4),IF(ISBLANK(Tbl_ResidentData[[#This Row],[Discharge '[mmm-yyyy']]]),TRUE,(Tbl_ResidentData[[#This Row],[Discharge '[mmm-yyyy']]]&gt;=AE$4)))))</f>
        <v>-</v>
      </c>
      <c r="AF65" s="121" t="str">
        <f ca="1">IF(AF$4&gt;NOW(),"-",IF(ISBLANK(Tbl_ResidentData[[#This Row],[Enrollment '[mmm-yyyy']]]),"-",AND((Tbl_ResidentData[[#This Row],[Enrollment '[mmm-yyyy']]]&lt;=AF$4),IF(ISBLANK(Tbl_ResidentData[[#This Row],[Discharge '[mmm-yyyy']]]),TRUE,(Tbl_ResidentData[[#This Row],[Discharge '[mmm-yyyy']]]&gt;=AF$4)))))</f>
        <v>-</v>
      </c>
      <c r="AG65" s="121" t="str">
        <f ca="1">IF(AG$4&gt;NOW(),"-",IF(ISBLANK(Tbl_ResidentData[[#This Row],[Enrollment '[mmm-yyyy']]]),"-",AND((Tbl_ResidentData[[#This Row],[Enrollment '[mmm-yyyy']]]&lt;=AG$4),IF(ISBLANK(Tbl_ResidentData[[#This Row],[Discharge '[mmm-yyyy']]]),TRUE,(Tbl_ResidentData[[#This Row],[Discharge '[mmm-yyyy']]]&gt;=AG$4)))))</f>
        <v>-</v>
      </c>
      <c r="AH65" s="121" t="str">
        <f ca="1">IF(AH$4&gt;NOW(),"-",IF(ISBLANK(Tbl_ResidentData[[#This Row],[Enrollment '[mmm-yyyy']]]),"-",AND((Tbl_ResidentData[[#This Row],[Enrollment '[mmm-yyyy']]]&lt;=AH$4),IF(ISBLANK(Tbl_ResidentData[[#This Row],[Discharge '[mmm-yyyy']]]),TRUE,(Tbl_ResidentData[[#This Row],[Discharge '[mmm-yyyy']]]&gt;=AH$4)))))</f>
        <v>-</v>
      </c>
      <c r="AI65" s="121" t="str">
        <f ca="1">IF(AI$4&gt;NOW(),"-",IF(ISBLANK(Tbl_ResidentData[[#This Row],[Enrollment '[mmm-yyyy']]]),"-",AND((Tbl_ResidentData[[#This Row],[Enrollment '[mmm-yyyy']]]&lt;=AI$4),IF(ISBLANK(Tbl_ResidentData[[#This Row],[Discharge '[mmm-yyyy']]]),TRUE,(Tbl_ResidentData[[#This Row],[Discharge '[mmm-yyyy']]]&gt;=AI$4)))))</f>
        <v>-</v>
      </c>
      <c r="AJ65" s="121" t="str">
        <f ca="1">IF(AJ$4&gt;NOW(),"-",IF(ISBLANK(Tbl_ResidentData[[#This Row],[Enrollment '[mmm-yyyy']]]),"-",AND((Tbl_ResidentData[[#This Row],[Enrollment '[mmm-yyyy']]]&lt;=AJ$4),IF(ISBLANK(Tbl_ResidentData[[#This Row],[Discharge '[mmm-yyyy']]]),TRUE,(Tbl_ResidentData[[#This Row],[Discharge '[mmm-yyyy']]]&gt;=AJ$4)))))</f>
        <v>-</v>
      </c>
      <c r="AK65" s="121" t="str">
        <f ca="1">IF(AK$4&gt;NOW(),"-",IF(ISBLANK(Tbl_ResidentData[[#This Row],[Enrollment '[mmm-yyyy']]]),"-",AND((Tbl_ResidentData[[#This Row],[Enrollment '[mmm-yyyy']]]&lt;=AK$4),IF(ISBLANK(Tbl_ResidentData[[#This Row],[Discharge '[mmm-yyyy']]]),TRUE,(Tbl_ResidentData[[#This Row],[Discharge '[mmm-yyyy']]]&gt;=AK$4)))))</f>
        <v>-</v>
      </c>
      <c r="AL65" s="121" t="str">
        <f ca="1">IF(AL$4&gt;NOW(),"-",IF(ISBLANK(Tbl_ResidentData[[#This Row],[Enrollment '[mmm-yyyy']]]),"-",AND((Tbl_ResidentData[[#This Row],[Enrollment '[mmm-yyyy']]]&lt;=AL$4),IF(ISBLANK(Tbl_ResidentData[[#This Row],[Discharge '[mmm-yyyy']]]),TRUE,(Tbl_ResidentData[[#This Row],[Discharge '[mmm-yyyy']]]&gt;=AL$4)))))</f>
        <v>-</v>
      </c>
      <c r="AM65" s="121" t="str">
        <f ca="1">IF(AM$4&gt;NOW(),"-",IF(ISBLANK(Tbl_ResidentData[[#This Row],[Enrollment '[mmm-yyyy']]]),"-",AND((Tbl_ResidentData[[#This Row],[Enrollment '[mmm-yyyy']]]&lt;=AM$4),IF(ISBLANK(Tbl_ResidentData[[#This Row],[Discharge '[mmm-yyyy']]]),TRUE,(Tbl_ResidentData[[#This Row],[Discharge '[mmm-yyyy']]]&gt;=AM$4)))))</f>
        <v>-</v>
      </c>
      <c r="AN65" s="121" t="str">
        <f ca="1">IF(AN$4&gt;NOW(),"-",IF(ISBLANK(Tbl_ResidentData[[#This Row],[Enrollment '[mmm-yyyy']]]),"-",AND((Tbl_ResidentData[[#This Row],[Enrollment '[mmm-yyyy']]]&lt;=AN$4),IF(ISBLANK(Tbl_ResidentData[[#This Row],[Discharge '[mmm-yyyy']]]),TRUE,(Tbl_ResidentData[[#This Row],[Discharge '[mmm-yyyy']]]&gt;=AN$4)))))</f>
        <v>-</v>
      </c>
      <c r="AO65" s="121" t="str">
        <f ca="1">IF(AO$4&gt;NOW(),"-",IF(ISBLANK(Tbl_ResidentData[[#This Row],[Enrollment '[mmm-yyyy']]]),"-",AND((Tbl_ResidentData[[#This Row],[Enrollment '[mmm-yyyy']]]&lt;=AO$4),IF(ISBLANK(Tbl_ResidentData[[#This Row],[Discharge '[mmm-yyyy']]]),TRUE,(Tbl_ResidentData[[#This Row],[Discharge '[mmm-yyyy']]]&gt;=AO$4)))))</f>
        <v>-</v>
      </c>
      <c r="AP65" s="121" t="str">
        <f ca="1">IF(AP$4&gt;NOW(),"-",IF(ISBLANK(Tbl_ResidentData[[#This Row],[Enrollment '[mmm-yyyy']]]),"-",AND((Tbl_ResidentData[[#This Row],[Enrollment '[mmm-yyyy']]]&lt;=AP$4),IF(ISBLANK(Tbl_ResidentData[[#This Row],[Discharge '[mmm-yyyy']]]),TRUE,(Tbl_ResidentData[[#This Row],[Discharge '[mmm-yyyy']]]&gt;=AP$4)))))</f>
        <v>-</v>
      </c>
      <c r="AQ65" s="121" t="str">
        <f ca="1">IF(AQ$4&gt;NOW(),"-",IF(ISBLANK(Tbl_ResidentData[[#This Row],[Enrollment '[mmm-yyyy']]]),"-",AND((Tbl_ResidentData[[#This Row],[Enrollment '[mmm-yyyy']]]&lt;=AQ$4),IF(ISBLANK(Tbl_ResidentData[[#This Row],[Discharge '[mmm-yyyy']]]),TRUE,(Tbl_ResidentData[[#This Row],[Discharge '[mmm-yyyy']]]&gt;=AQ$4)))))</f>
        <v>-</v>
      </c>
      <c r="AR65" s="122" t="str">
        <f ca="1">IF(AR$4&gt;NOW(),"-",IF(ISBLANK(Tbl_ResidentData[[#This Row],[Enrollment '[mmm-yyyy']]]),"-",AND((Tbl_ResidentData[[#This Row],[Enrollment '[mmm-yyyy']]]&lt;=AR$4),IF(ISBLANK(Tbl_ResidentData[[#This Row],[Discharge '[mmm-yyyy']]]),TRUE,(Tbl_ResidentData[[#This Row],[Discharge '[mmm-yyyy']]]&gt;=AR$4)))))</f>
        <v>-</v>
      </c>
      <c r="AS6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5" s="120" t="b">
        <f ca="1">AND(Tbl_ResidentData[[#This Row],[PRN Med Started]]&lt;&gt;"",Tbl_ResidentData[[#This Row],[PRN Med Started]]&lt;=NOW(),Tbl_ResidentData[[#This Row],[PRN Med Started]]&lt;=AS$4,OR(Tbl_ResidentData[[#This Row],[PRN Med Discontinued]]&gt;AS$4,ISBLANK(Tbl_ResidentData[[#This Row],[PRN Med Discontinued]])))</f>
        <v>0</v>
      </c>
      <c r="BR65" s="121" t="b">
        <f ca="1">AND(Tbl_ResidentData[[#This Row],[PRN Med Started]]&lt;&gt;"",Tbl_ResidentData[[#This Row],[PRN Med Started]]&lt;=NOW(),Tbl_ResidentData[[#This Row],[PRN Med Started]]&lt;=AT$4,OR(Tbl_ResidentData[[#This Row],[PRN Med Discontinued]]&gt;AT$4,ISBLANK(Tbl_ResidentData[[#This Row],[PRN Med Discontinued]])))</f>
        <v>0</v>
      </c>
      <c r="BS65" s="121" t="b">
        <f ca="1">AND(Tbl_ResidentData[[#This Row],[PRN Med Started]]&lt;&gt;"",Tbl_ResidentData[[#This Row],[PRN Med Started]]&lt;=NOW(),Tbl_ResidentData[[#This Row],[PRN Med Started]]&lt;=AU$4,OR(Tbl_ResidentData[[#This Row],[PRN Med Discontinued]]&gt;AU$4,ISBLANK(Tbl_ResidentData[[#This Row],[PRN Med Discontinued]])))</f>
        <v>0</v>
      </c>
      <c r="BT65" s="121" t="b">
        <f ca="1">AND(Tbl_ResidentData[[#This Row],[PRN Med Started]]&lt;&gt;"",Tbl_ResidentData[[#This Row],[PRN Med Started]]&lt;=NOW(),Tbl_ResidentData[[#This Row],[PRN Med Started]]&lt;=AV$4,OR(Tbl_ResidentData[[#This Row],[PRN Med Discontinued]]&gt;AV$4,ISBLANK(Tbl_ResidentData[[#This Row],[PRN Med Discontinued]])))</f>
        <v>0</v>
      </c>
      <c r="BU65" s="121" t="b">
        <f ca="1">AND(Tbl_ResidentData[[#This Row],[PRN Med Started]]&lt;&gt;"",Tbl_ResidentData[[#This Row],[PRN Med Started]]&lt;=NOW(),Tbl_ResidentData[[#This Row],[PRN Med Started]]&lt;=AW$4,OR(Tbl_ResidentData[[#This Row],[PRN Med Discontinued]]&gt;AW$4,ISBLANK(Tbl_ResidentData[[#This Row],[PRN Med Discontinued]])))</f>
        <v>0</v>
      </c>
      <c r="BV65" s="121" t="b">
        <f ca="1">AND(Tbl_ResidentData[[#This Row],[PRN Med Started]]&lt;&gt;"",Tbl_ResidentData[[#This Row],[PRN Med Started]]&lt;=NOW(),Tbl_ResidentData[[#This Row],[PRN Med Started]]&lt;=AX$4,OR(Tbl_ResidentData[[#This Row],[PRN Med Discontinued]]&gt;AX$4,ISBLANK(Tbl_ResidentData[[#This Row],[PRN Med Discontinued]])))</f>
        <v>0</v>
      </c>
      <c r="BW65" s="121" t="b">
        <f ca="1">AND(Tbl_ResidentData[[#This Row],[PRN Med Started]]&lt;&gt;"",Tbl_ResidentData[[#This Row],[PRN Med Started]]&lt;=NOW(),Tbl_ResidentData[[#This Row],[PRN Med Started]]&lt;=AY$4,OR(Tbl_ResidentData[[#This Row],[PRN Med Discontinued]]&gt;AY$4,ISBLANK(Tbl_ResidentData[[#This Row],[PRN Med Discontinued]])))</f>
        <v>0</v>
      </c>
      <c r="BX65" s="121" t="b">
        <f ca="1">AND(Tbl_ResidentData[[#This Row],[PRN Med Started]]&lt;&gt;"",Tbl_ResidentData[[#This Row],[PRN Med Started]]&lt;=NOW(),Tbl_ResidentData[[#This Row],[PRN Med Started]]&lt;=AZ$4,OR(Tbl_ResidentData[[#This Row],[PRN Med Discontinued]]&gt;AZ$4,ISBLANK(Tbl_ResidentData[[#This Row],[PRN Med Discontinued]])))</f>
        <v>0</v>
      </c>
      <c r="BY65" s="121" t="b">
        <f ca="1">AND(Tbl_ResidentData[[#This Row],[PRN Med Started]]&lt;&gt;"",Tbl_ResidentData[[#This Row],[PRN Med Started]]&lt;=NOW(),Tbl_ResidentData[[#This Row],[PRN Med Started]]&lt;=BA$4,OR(Tbl_ResidentData[[#This Row],[PRN Med Discontinued]]&gt;BA$4,ISBLANK(Tbl_ResidentData[[#This Row],[PRN Med Discontinued]])))</f>
        <v>0</v>
      </c>
      <c r="BZ65" s="121" t="b">
        <f ca="1">AND(Tbl_ResidentData[[#This Row],[PRN Med Started]]&lt;&gt;"",Tbl_ResidentData[[#This Row],[PRN Med Started]]&lt;=NOW(),Tbl_ResidentData[[#This Row],[PRN Med Started]]&lt;=BB$4,OR(Tbl_ResidentData[[#This Row],[PRN Med Discontinued]]&gt;BB$4,ISBLANK(Tbl_ResidentData[[#This Row],[PRN Med Discontinued]])))</f>
        <v>0</v>
      </c>
      <c r="CA65" s="121" t="b">
        <f ca="1">AND(Tbl_ResidentData[[#This Row],[PRN Med Started]]&lt;&gt;"",Tbl_ResidentData[[#This Row],[PRN Med Started]]&lt;=NOW(),Tbl_ResidentData[[#This Row],[PRN Med Started]]&lt;=BC$4,OR(Tbl_ResidentData[[#This Row],[PRN Med Discontinued]]&gt;BC$4,ISBLANK(Tbl_ResidentData[[#This Row],[PRN Med Discontinued]])))</f>
        <v>0</v>
      </c>
      <c r="CB65" s="121" t="b">
        <f ca="1">AND(Tbl_ResidentData[[#This Row],[PRN Med Started]]&lt;&gt;"",Tbl_ResidentData[[#This Row],[PRN Med Started]]&lt;=NOW(),Tbl_ResidentData[[#This Row],[PRN Med Started]]&lt;=BD$4,OR(Tbl_ResidentData[[#This Row],[PRN Med Discontinued]]&gt;BD$4,ISBLANK(Tbl_ResidentData[[#This Row],[PRN Med Discontinued]])))</f>
        <v>0</v>
      </c>
      <c r="CC65" s="121" t="b">
        <f ca="1">AND(Tbl_ResidentData[[#This Row],[PRN Med Started]]&lt;&gt;"",Tbl_ResidentData[[#This Row],[PRN Med Started]]&lt;=NOW(),Tbl_ResidentData[[#This Row],[PRN Med Started]]&lt;=BE$4,OR(Tbl_ResidentData[[#This Row],[PRN Med Discontinued]]&gt;BE$4,ISBLANK(Tbl_ResidentData[[#This Row],[PRN Med Discontinued]])))</f>
        <v>0</v>
      </c>
      <c r="CD65" s="121" t="b">
        <f ca="1">AND(Tbl_ResidentData[[#This Row],[PRN Med Started]]&lt;&gt;"",Tbl_ResidentData[[#This Row],[PRN Med Started]]&lt;=NOW(),Tbl_ResidentData[[#This Row],[PRN Med Started]]&lt;=BF$4,OR(Tbl_ResidentData[[#This Row],[PRN Med Discontinued]]&gt;BF$4,ISBLANK(Tbl_ResidentData[[#This Row],[PRN Med Discontinued]])))</f>
        <v>0</v>
      </c>
      <c r="CE65" s="121" t="b">
        <f ca="1">AND(Tbl_ResidentData[[#This Row],[PRN Med Started]]&lt;&gt;"",Tbl_ResidentData[[#This Row],[PRN Med Started]]&lt;=NOW(),Tbl_ResidentData[[#This Row],[PRN Med Started]]&lt;=BG$4,OR(Tbl_ResidentData[[#This Row],[PRN Med Discontinued]]&gt;BG$4,ISBLANK(Tbl_ResidentData[[#This Row],[PRN Med Discontinued]])))</f>
        <v>0</v>
      </c>
      <c r="CF65" s="121" t="b">
        <f ca="1">AND(Tbl_ResidentData[[#This Row],[PRN Med Started]]&lt;&gt;"",Tbl_ResidentData[[#This Row],[PRN Med Started]]&lt;=NOW(),Tbl_ResidentData[[#This Row],[PRN Med Started]]&lt;=BH$4,OR(Tbl_ResidentData[[#This Row],[PRN Med Discontinued]]&gt;BH$4,ISBLANK(Tbl_ResidentData[[#This Row],[PRN Med Discontinued]])))</f>
        <v>0</v>
      </c>
      <c r="CG65" s="121" t="b">
        <f ca="1">AND(Tbl_ResidentData[[#This Row],[PRN Med Started]]&lt;&gt;"",Tbl_ResidentData[[#This Row],[PRN Med Started]]&lt;=NOW(),Tbl_ResidentData[[#This Row],[PRN Med Started]]&lt;=BI$4,OR(Tbl_ResidentData[[#This Row],[PRN Med Discontinued]]&gt;BI$4,ISBLANK(Tbl_ResidentData[[#This Row],[PRN Med Discontinued]])))</f>
        <v>0</v>
      </c>
      <c r="CH65" s="121" t="b">
        <f ca="1">AND(Tbl_ResidentData[[#This Row],[PRN Med Started]]&lt;&gt;"",Tbl_ResidentData[[#This Row],[PRN Med Started]]&lt;=NOW(),Tbl_ResidentData[[#This Row],[PRN Med Started]]&lt;=BJ$4,OR(Tbl_ResidentData[[#This Row],[PRN Med Discontinued]]&gt;BJ$4,ISBLANK(Tbl_ResidentData[[#This Row],[PRN Med Discontinued]])))</f>
        <v>0</v>
      </c>
      <c r="CI65" s="121" t="b">
        <f ca="1">AND(Tbl_ResidentData[[#This Row],[PRN Med Started]]&lt;&gt;"",Tbl_ResidentData[[#This Row],[PRN Med Started]]&lt;=NOW(),Tbl_ResidentData[[#This Row],[PRN Med Started]]&lt;=BK$4,OR(Tbl_ResidentData[[#This Row],[PRN Med Discontinued]]&gt;BK$4,ISBLANK(Tbl_ResidentData[[#This Row],[PRN Med Discontinued]])))</f>
        <v>0</v>
      </c>
      <c r="CJ65" s="121" t="b">
        <f ca="1">AND(Tbl_ResidentData[[#This Row],[PRN Med Started]]&lt;&gt;"",Tbl_ResidentData[[#This Row],[PRN Med Started]]&lt;=NOW(),Tbl_ResidentData[[#This Row],[PRN Med Started]]&lt;=BL$4,OR(Tbl_ResidentData[[#This Row],[PRN Med Discontinued]]&gt;BL$4,ISBLANK(Tbl_ResidentData[[#This Row],[PRN Med Discontinued]])))</f>
        <v>0</v>
      </c>
      <c r="CK65" s="121" t="b">
        <f ca="1">AND(Tbl_ResidentData[[#This Row],[PRN Med Started]]&lt;&gt;"",Tbl_ResidentData[[#This Row],[PRN Med Started]]&lt;=NOW(),Tbl_ResidentData[[#This Row],[PRN Med Started]]&lt;=BM$4,OR(Tbl_ResidentData[[#This Row],[PRN Med Discontinued]]&gt;BM$4,ISBLANK(Tbl_ResidentData[[#This Row],[PRN Med Discontinued]])))</f>
        <v>0</v>
      </c>
      <c r="CL65" s="121" t="b">
        <f ca="1">AND(Tbl_ResidentData[[#This Row],[PRN Med Started]]&lt;&gt;"",Tbl_ResidentData[[#This Row],[PRN Med Started]]&lt;=NOW(),Tbl_ResidentData[[#This Row],[PRN Med Started]]&lt;=BN$4,OR(Tbl_ResidentData[[#This Row],[PRN Med Discontinued]]&gt;BN$4,ISBLANK(Tbl_ResidentData[[#This Row],[PRN Med Discontinued]])))</f>
        <v>0</v>
      </c>
      <c r="CM65" s="121" t="b">
        <f ca="1">AND(Tbl_ResidentData[[#This Row],[PRN Med Started]]&lt;&gt;"",Tbl_ResidentData[[#This Row],[PRN Med Started]]&lt;=NOW(),Tbl_ResidentData[[#This Row],[PRN Med Started]]&lt;=BO$4,OR(Tbl_ResidentData[[#This Row],[PRN Med Discontinued]]&gt;BO$4,ISBLANK(Tbl_ResidentData[[#This Row],[PRN Med Discontinued]])))</f>
        <v>0</v>
      </c>
      <c r="CN65" s="122" t="b">
        <f ca="1">AND(Tbl_ResidentData[[#This Row],[PRN Med Started]]&lt;&gt;"",Tbl_ResidentData[[#This Row],[PRN Med Started]]&lt;=NOW(),Tbl_ResidentData[[#This Row],[PRN Med Started]]&lt;=BP$4,OR(Tbl_ResidentData[[#This Row],[PRN Med Discontinued]]&gt;BP$4,ISBLANK(Tbl_ResidentData[[#This Row],[PRN Med Discontinued]])))</f>
        <v>0</v>
      </c>
      <c r="CO65" s="120">
        <f ca="1">IF(OR(Tbl_ResidentData[[#This Row],[S1]]=TRUE,Tbl_ResidentData[[#This Row],[P1]]=TRUE),1,0)</f>
        <v>0</v>
      </c>
      <c r="CP65" s="121">
        <f ca="1">IF(OR(Tbl_ResidentData[[#This Row],[S2]]=TRUE,Tbl_ResidentData[[#This Row],[P2]]=TRUE),1,0)</f>
        <v>0</v>
      </c>
      <c r="CQ65" s="121">
        <f ca="1">IF(OR(Tbl_ResidentData[[#This Row],[S3]]=TRUE,Tbl_ResidentData[[#This Row],[P3]]=TRUE),1,0)</f>
        <v>0</v>
      </c>
      <c r="CR65" s="120">
        <f ca="1">IF(OR(Tbl_ResidentData[[#This Row],[S4]]=TRUE,Tbl_ResidentData[[#This Row],[P4]]=TRUE),1,0)</f>
        <v>0</v>
      </c>
      <c r="CS65" s="120">
        <f ca="1">IF(OR(Tbl_ResidentData[[#This Row],[S5]]=TRUE,Tbl_ResidentData[[#This Row],[P5]]=TRUE),1,0)</f>
        <v>0</v>
      </c>
      <c r="CT65" s="120">
        <f ca="1">IF(OR(Tbl_ResidentData[[#This Row],[S6]]=TRUE,Tbl_ResidentData[[#This Row],[P6]]=TRUE),1,0)</f>
        <v>0</v>
      </c>
      <c r="CU65" s="120">
        <f ca="1">IF(OR(Tbl_ResidentData[[#This Row],[S7]]=TRUE,Tbl_ResidentData[[#This Row],[P7]]=TRUE),1,0)</f>
        <v>0</v>
      </c>
      <c r="CV65" s="120">
        <f ca="1">IF(OR(Tbl_ResidentData[[#This Row],[S8]]=TRUE,Tbl_ResidentData[[#This Row],[P8]]=TRUE),1,0)</f>
        <v>0</v>
      </c>
      <c r="CW65" s="120">
        <f ca="1">IF(OR(Tbl_ResidentData[[#This Row],[S9]]=TRUE,Tbl_ResidentData[[#This Row],[P9]]=TRUE),1,0)</f>
        <v>0</v>
      </c>
      <c r="CX65" s="120">
        <f ca="1">IF(OR(Tbl_ResidentData[[#This Row],[S10]]=TRUE,Tbl_ResidentData[[#This Row],[P10]]=TRUE),1,0)</f>
        <v>0</v>
      </c>
      <c r="CY65" s="120">
        <f ca="1">IF(OR(Tbl_ResidentData[[#This Row],[S11]]=TRUE,Tbl_ResidentData[[#This Row],[P11]]=TRUE),1,0)</f>
        <v>0</v>
      </c>
      <c r="CZ65" s="120">
        <f ca="1">IF(OR(Tbl_ResidentData[[#This Row],[S12]]=TRUE,Tbl_ResidentData[[#This Row],[P12]]=TRUE),1,0)</f>
        <v>0</v>
      </c>
      <c r="DA65" s="120">
        <f ca="1">IF(OR(Tbl_ResidentData[[#This Row],[S13]]=TRUE,Tbl_ResidentData[[#This Row],[P13]]=TRUE),1,0)</f>
        <v>0</v>
      </c>
      <c r="DB65" s="120">
        <f ca="1">IF(OR(Tbl_ResidentData[[#This Row],[S14]]=TRUE,Tbl_ResidentData[[#This Row],[P14]]=TRUE),1,0)</f>
        <v>0</v>
      </c>
      <c r="DC65" s="120">
        <f ca="1">IF(OR(Tbl_ResidentData[[#This Row],[S15]]=TRUE,Tbl_ResidentData[[#This Row],[P15]]=TRUE),1,0)</f>
        <v>0</v>
      </c>
      <c r="DD65" s="120">
        <f ca="1">IF(OR(Tbl_ResidentData[[#This Row],[S16]]=TRUE,Tbl_ResidentData[[#This Row],[P16]]=TRUE),1,0)</f>
        <v>0</v>
      </c>
      <c r="DE65" s="120">
        <f ca="1">IF(OR(Tbl_ResidentData[[#This Row],[S17]]=TRUE,Tbl_ResidentData[[#This Row],[P17]]=TRUE),1,0)</f>
        <v>0</v>
      </c>
      <c r="DF65" s="120">
        <f ca="1">IF(OR(Tbl_ResidentData[[#This Row],[S18]]=TRUE,Tbl_ResidentData[[#This Row],[P18]]=TRUE),1,0)</f>
        <v>0</v>
      </c>
      <c r="DG65" s="120">
        <f ca="1">IF(OR(Tbl_ResidentData[[#This Row],[S19]]=TRUE,Tbl_ResidentData[[#This Row],[P19]]=TRUE),1,0)</f>
        <v>0</v>
      </c>
      <c r="DH65" s="120">
        <f ca="1">IF(OR(Tbl_ResidentData[[#This Row],[S20]]=TRUE,Tbl_ResidentData[[#This Row],[P20]]=TRUE),1,0)</f>
        <v>0</v>
      </c>
      <c r="DI65" s="120">
        <f ca="1">IF(OR(Tbl_ResidentData[[#This Row],[S21]]=TRUE,Tbl_ResidentData[[#This Row],[P21]]=TRUE),1,0)</f>
        <v>0</v>
      </c>
      <c r="DJ65" s="120">
        <f ca="1">IF(OR(Tbl_ResidentData[[#This Row],[S22]]=TRUE,Tbl_ResidentData[[#This Row],[P22]]=TRUE),1,0)</f>
        <v>0</v>
      </c>
      <c r="DK65" s="120">
        <f ca="1">IF(OR(Tbl_ResidentData[[#This Row],[S23]]=TRUE,Tbl_ResidentData[[#This Row],[P23]]=TRUE),1,0)</f>
        <v>0</v>
      </c>
      <c r="DL65" s="120">
        <f ca="1">IF(OR(Tbl_ResidentData[[#This Row],[S24]]=TRUE,Tbl_ResidentData[[#This Row],[P24]]=TRUE),1,0)</f>
        <v>0</v>
      </c>
      <c r="DM65" s="123" t="str">
        <f ca="1">IFERROR(INDEX($CO$4:$DL$4,MATCH(TRUE,INDEX((Tbl_ResidentData[[#This Row],[Over1]:[Over24]]&lt;&gt;0),0),0)),"")</f>
        <v/>
      </c>
      <c r="DN65" s="133" t="str">
        <f>IFERROR(INDEX(Tbl_PDSAData[Last DRT],MATCH(Tbl_ResidentData[Resident Name '[last, first']],Tbl_PDSAData[Resident Name (last, first)],0)),"")</f>
        <v/>
      </c>
      <c r="DO65" s="222" t="str">
        <f>IFERROR(INDEX(Tbl_PDSAData[Last MR],MATCH(Tbl_ResidentData[Resident Name '[last, first']],Tbl_PDSAData[Resident Name (last, first)],0)),"")</f>
        <v/>
      </c>
    </row>
    <row r="66" spans="1:119" x14ac:dyDescent="0.25">
      <c r="A66" s="179"/>
      <c r="B66" s="180"/>
      <c r="C66" s="180"/>
      <c r="D66" s="218"/>
      <c r="E66" s="179"/>
      <c r="F66" s="181"/>
      <c r="G66" s="181"/>
      <c r="H66" s="182"/>
      <c r="I66" s="185"/>
      <c r="J66" s="387"/>
      <c r="K66" s="178"/>
      <c r="L66" s="388"/>
      <c r="M66" s="185"/>
      <c r="N66" s="386"/>
      <c r="O66" s="178"/>
      <c r="P66" s="388"/>
      <c r="Q66" s="394"/>
      <c r="R66" s="388"/>
      <c r="S66" s="131" t="str">
        <f>IF(ISBLANK(Tbl_ResidentData[[#This Row],[Discharge '[mmm-yyyy']]]),IF(ISBLANK(Tbl_ResidentData[[#This Row],[Enrollment '[mmm-yyyy']]]),"","In Care Home"),"Discharged")</f>
        <v/>
      </c>
      <c r="T66" s="119" t="str">
        <f>IF(ISBLANK(Tbl_ResidentData[[#This Row],[Diagnosis (RAI)]]),IF(ISBLANK(Tbl_ResidentData[[#This Row],[Resident Name '[last, first']]]),"",0),IF(Tbl_ResidentData[[#This Row],[Diagnosis (RAI)]]="Other (see clinical notes)",0,1))</f>
        <v/>
      </c>
      <c r="U66" s="120" t="str">
        <f ca="1">IF(U$4&gt;NOW(),"-",IF(ISBLANK(Tbl_ResidentData[[#This Row],[Enrollment '[mmm-yyyy']]]),"-",AND((Tbl_ResidentData[[#This Row],[Enrollment '[mmm-yyyy']]]&lt;=U$4),IF(ISBLANK(Tbl_ResidentData[[#This Row],[Discharge '[mmm-yyyy']]]),TRUE,(Tbl_ResidentData[[#This Row],[Discharge '[mmm-yyyy']]]&gt;=U$4)))))</f>
        <v>-</v>
      </c>
      <c r="V66" s="121" t="str">
        <f ca="1">IF(V$4&gt;NOW(),"-",IF(ISBLANK(Tbl_ResidentData[[#This Row],[Enrollment '[mmm-yyyy']]]),"-",AND((Tbl_ResidentData[[#This Row],[Enrollment '[mmm-yyyy']]]&lt;=V$4),IF(ISBLANK(Tbl_ResidentData[[#This Row],[Discharge '[mmm-yyyy']]]),TRUE,(Tbl_ResidentData[[#This Row],[Discharge '[mmm-yyyy']]]&gt;=V$4)))))</f>
        <v>-</v>
      </c>
      <c r="W66" s="121" t="str">
        <f ca="1">IF(W$4&gt;NOW(),"-",IF(ISBLANK(Tbl_ResidentData[[#This Row],[Enrollment '[mmm-yyyy']]]),"-",AND((Tbl_ResidentData[[#This Row],[Enrollment '[mmm-yyyy']]]&lt;=W$4),IF(ISBLANK(Tbl_ResidentData[[#This Row],[Discharge '[mmm-yyyy']]]),TRUE,(Tbl_ResidentData[[#This Row],[Discharge '[mmm-yyyy']]]&gt;=W$4)))))</f>
        <v>-</v>
      </c>
      <c r="X66" s="121" t="str">
        <f ca="1">IF(X$4&gt;NOW(),"-",IF(ISBLANK(Tbl_ResidentData[[#This Row],[Enrollment '[mmm-yyyy']]]),"-",AND((Tbl_ResidentData[[#This Row],[Enrollment '[mmm-yyyy']]]&lt;=X$4),IF(ISBLANK(Tbl_ResidentData[[#This Row],[Discharge '[mmm-yyyy']]]),TRUE,(Tbl_ResidentData[[#This Row],[Discharge '[mmm-yyyy']]]&gt;=X$4)))))</f>
        <v>-</v>
      </c>
      <c r="Y66" s="121" t="str">
        <f ca="1">IF(Y$4&gt;NOW(),"-",IF(ISBLANK(Tbl_ResidentData[[#This Row],[Enrollment '[mmm-yyyy']]]),"-",AND((Tbl_ResidentData[[#This Row],[Enrollment '[mmm-yyyy']]]&lt;=Y$4),IF(ISBLANK(Tbl_ResidentData[[#This Row],[Discharge '[mmm-yyyy']]]),TRUE,(Tbl_ResidentData[[#This Row],[Discharge '[mmm-yyyy']]]&gt;=Y$4)))))</f>
        <v>-</v>
      </c>
      <c r="Z66" s="121" t="str">
        <f ca="1">IF(Z$4&gt;NOW(),"-",IF(ISBLANK(Tbl_ResidentData[[#This Row],[Enrollment '[mmm-yyyy']]]),"-",AND((Tbl_ResidentData[[#This Row],[Enrollment '[mmm-yyyy']]]&lt;=Z$4),IF(ISBLANK(Tbl_ResidentData[[#This Row],[Discharge '[mmm-yyyy']]]),TRUE,(Tbl_ResidentData[[#This Row],[Discharge '[mmm-yyyy']]]&gt;=Z$4)))))</f>
        <v>-</v>
      </c>
      <c r="AA66" s="121" t="str">
        <f ca="1">IF(AA$4&gt;NOW(),"-",IF(ISBLANK(Tbl_ResidentData[[#This Row],[Enrollment '[mmm-yyyy']]]),"-",AND((Tbl_ResidentData[[#This Row],[Enrollment '[mmm-yyyy']]]&lt;=AA$4),IF(ISBLANK(Tbl_ResidentData[[#This Row],[Discharge '[mmm-yyyy']]]),TRUE,(Tbl_ResidentData[[#This Row],[Discharge '[mmm-yyyy']]]&gt;=AA$4)))))</f>
        <v>-</v>
      </c>
      <c r="AB66" s="121" t="str">
        <f ca="1">IF(AB$4&gt;NOW(),"-",IF(ISBLANK(Tbl_ResidentData[[#This Row],[Enrollment '[mmm-yyyy']]]),"-",AND((Tbl_ResidentData[[#This Row],[Enrollment '[mmm-yyyy']]]&lt;=AB$4),IF(ISBLANK(Tbl_ResidentData[[#This Row],[Discharge '[mmm-yyyy']]]),TRUE,(Tbl_ResidentData[[#This Row],[Discharge '[mmm-yyyy']]]&gt;=AB$4)))))</f>
        <v>-</v>
      </c>
      <c r="AC66" s="121" t="str">
        <f ca="1">IF(AC$4&gt;NOW(),"-",IF(ISBLANK(Tbl_ResidentData[[#This Row],[Enrollment '[mmm-yyyy']]]),"-",AND((Tbl_ResidentData[[#This Row],[Enrollment '[mmm-yyyy']]]&lt;=AC$4),IF(ISBLANK(Tbl_ResidentData[[#This Row],[Discharge '[mmm-yyyy']]]),TRUE,(Tbl_ResidentData[[#This Row],[Discharge '[mmm-yyyy']]]&gt;=AC$4)))))</f>
        <v>-</v>
      </c>
      <c r="AD66" s="121" t="str">
        <f ca="1">IF(AD$4&gt;NOW(),"-",IF(ISBLANK(Tbl_ResidentData[[#This Row],[Enrollment '[mmm-yyyy']]]),"-",AND((Tbl_ResidentData[[#This Row],[Enrollment '[mmm-yyyy']]]&lt;=AD$4),IF(ISBLANK(Tbl_ResidentData[[#This Row],[Discharge '[mmm-yyyy']]]),TRUE,(Tbl_ResidentData[[#This Row],[Discharge '[mmm-yyyy']]]&gt;=AD$4)))))</f>
        <v>-</v>
      </c>
      <c r="AE66" s="121" t="str">
        <f ca="1">IF(AE$4&gt;NOW(),"-",IF(ISBLANK(Tbl_ResidentData[[#This Row],[Enrollment '[mmm-yyyy']]]),"-",AND((Tbl_ResidentData[[#This Row],[Enrollment '[mmm-yyyy']]]&lt;=AE$4),IF(ISBLANK(Tbl_ResidentData[[#This Row],[Discharge '[mmm-yyyy']]]),TRUE,(Tbl_ResidentData[[#This Row],[Discharge '[mmm-yyyy']]]&gt;=AE$4)))))</f>
        <v>-</v>
      </c>
      <c r="AF66" s="121" t="str">
        <f ca="1">IF(AF$4&gt;NOW(),"-",IF(ISBLANK(Tbl_ResidentData[[#This Row],[Enrollment '[mmm-yyyy']]]),"-",AND((Tbl_ResidentData[[#This Row],[Enrollment '[mmm-yyyy']]]&lt;=AF$4),IF(ISBLANK(Tbl_ResidentData[[#This Row],[Discharge '[mmm-yyyy']]]),TRUE,(Tbl_ResidentData[[#This Row],[Discharge '[mmm-yyyy']]]&gt;=AF$4)))))</f>
        <v>-</v>
      </c>
      <c r="AG66" s="121" t="str">
        <f ca="1">IF(AG$4&gt;NOW(),"-",IF(ISBLANK(Tbl_ResidentData[[#This Row],[Enrollment '[mmm-yyyy']]]),"-",AND((Tbl_ResidentData[[#This Row],[Enrollment '[mmm-yyyy']]]&lt;=AG$4),IF(ISBLANK(Tbl_ResidentData[[#This Row],[Discharge '[mmm-yyyy']]]),TRUE,(Tbl_ResidentData[[#This Row],[Discharge '[mmm-yyyy']]]&gt;=AG$4)))))</f>
        <v>-</v>
      </c>
      <c r="AH66" s="121" t="str">
        <f ca="1">IF(AH$4&gt;NOW(),"-",IF(ISBLANK(Tbl_ResidentData[[#This Row],[Enrollment '[mmm-yyyy']]]),"-",AND((Tbl_ResidentData[[#This Row],[Enrollment '[mmm-yyyy']]]&lt;=AH$4),IF(ISBLANK(Tbl_ResidentData[[#This Row],[Discharge '[mmm-yyyy']]]),TRUE,(Tbl_ResidentData[[#This Row],[Discharge '[mmm-yyyy']]]&gt;=AH$4)))))</f>
        <v>-</v>
      </c>
      <c r="AI66" s="121" t="str">
        <f ca="1">IF(AI$4&gt;NOW(),"-",IF(ISBLANK(Tbl_ResidentData[[#This Row],[Enrollment '[mmm-yyyy']]]),"-",AND((Tbl_ResidentData[[#This Row],[Enrollment '[mmm-yyyy']]]&lt;=AI$4),IF(ISBLANK(Tbl_ResidentData[[#This Row],[Discharge '[mmm-yyyy']]]),TRUE,(Tbl_ResidentData[[#This Row],[Discharge '[mmm-yyyy']]]&gt;=AI$4)))))</f>
        <v>-</v>
      </c>
      <c r="AJ66" s="121" t="str">
        <f ca="1">IF(AJ$4&gt;NOW(),"-",IF(ISBLANK(Tbl_ResidentData[[#This Row],[Enrollment '[mmm-yyyy']]]),"-",AND((Tbl_ResidentData[[#This Row],[Enrollment '[mmm-yyyy']]]&lt;=AJ$4),IF(ISBLANK(Tbl_ResidentData[[#This Row],[Discharge '[mmm-yyyy']]]),TRUE,(Tbl_ResidentData[[#This Row],[Discharge '[mmm-yyyy']]]&gt;=AJ$4)))))</f>
        <v>-</v>
      </c>
      <c r="AK66" s="121" t="str">
        <f ca="1">IF(AK$4&gt;NOW(),"-",IF(ISBLANK(Tbl_ResidentData[[#This Row],[Enrollment '[mmm-yyyy']]]),"-",AND((Tbl_ResidentData[[#This Row],[Enrollment '[mmm-yyyy']]]&lt;=AK$4),IF(ISBLANK(Tbl_ResidentData[[#This Row],[Discharge '[mmm-yyyy']]]),TRUE,(Tbl_ResidentData[[#This Row],[Discharge '[mmm-yyyy']]]&gt;=AK$4)))))</f>
        <v>-</v>
      </c>
      <c r="AL66" s="121" t="str">
        <f ca="1">IF(AL$4&gt;NOW(),"-",IF(ISBLANK(Tbl_ResidentData[[#This Row],[Enrollment '[mmm-yyyy']]]),"-",AND((Tbl_ResidentData[[#This Row],[Enrollment '[mmm-yyyy']]]&lt;=AL$4),IF(ISBLANK(Tbl_ResidentData[[#This Row],[Discharge '[mmm-yyyy']]]),TRUE,(Tbl_ResidentData[[#This Row],[Discharge '[mmm-yyyy']]]&gt;=AL$4)))))</f>
        <v>-</v>
      </c>
      <c r="AM66" s="121" t="str">
        <f ca="1">IF(AM$4&gt;NOW(),"-",IF(ISBLANK(Tbl_ResidentData[[#This Row],[Enrollment '[mmm-yyyy']]]),"-",AND((Tbl_ResidentData[[#This Row],[Enrollment '[mmm-yyyy']]]&lt;=AM$4),IF(ISBLANK(Tbl_ResidentData[[#This Row],[Discharge '[mmm-yyyy']]]),TRUE,(Tbl_ResidentData[[#This Row],[Discharge '[mmm-yyyy']]]&gt;=AM$4)))))</f>
        <v>-</v>
      </c>
      <c r="AN66" s="121" t="str">
        <f ca="1">IF(AN$4&gt;NOW(),"-",IF(ISBLANK(Tbl_ResidentData[[#This Row],[Enrollment '[mmm-yyyy']]]),"-",AND((Tbl_ResidentData[[#This Row],[Enrollment '[mmm-yyyy']]]&lt;=AN$4),IF(ISBLANK(Tbl_ResidentData[[#This Row],[Discharge '[mmm-yyyy']]]),TRUE,(Tbl_ResidentData[[#This Row],[Discharge '[mmm-yyyy']]]&gt;=AN$4)))))</f>
        <v>-</v>
      </c>
      <c r="AO66" s="121" t="str">
        <f ca="1">IF(AO$4&gt;NOW(),"-",IF(ISBLANK(Tbl_ResidentData[[#This Row],[Enrollment '[mmm-yyyy']]]),"-",AND((Tbl_ResidentData[[#This Row],[Enrollment '[mmm-yyyy']]]&lt;=AO$4),IF(ISBLANK(Tbl_ResidentData[[#This Row],[Discharge '[mmm-yyyy']]]),TRUE,(Tbl_ResidentData[[#This Row],[Discharge '[mmm-yyyy']]]&gt;=AO$4)))))</f>
        <v>-</v>
      </c>
      <c r="AP66" s="121" t="str">
        <f ca="1">IF(AP$4&gt;NOW(),"-",IF(ISBLANK(Tbl_ResidentData[[#This Row],[Enrollment '[mmm-yyyy']]]),"-",AND((Tbl_ResidentData[[#This Row],[Enrollment '[mmm-yyyy']]]&lt;=AP$4),IF(ISBLANK(Tbl_ResidentData[[#This Row],[Discharge '[mmm-yyyy']]]),TRUE,(Tbl_ResidentData[[#This Row],[Discharge '[mmm-yyyy']]]&gt;=AP$4)))))</f>
        <v>-</v>
      </c>
      <c r="AQ66" s="121" t="str">
        <f ca="1">IF(AQ$4&gt;NOW(),"-",IF(ISBLANK(Tbl_ResidentData[[#This Row],[Enrollment '[mmm-yyyy']]]),"-",AND((Tbl_ResidentData[[#This Row],[Enrollment '[mmm-yyyy']]]&lt;=AQ$4),IF(ISBLANK(Tbl_ResidentData[[#This Row],[Discharge '[mmm-yyyy']]]),TRUE,(Tbl_ResidentData[[#This Row],[Discharge '[mmm-yyyy']]]&gt;=AQ$4)))))</f>
        <v>-</v>
      </c>
      <c r="AR66" s="122" t="str">
        <f ca="1">IF(AR$4&gt;NOW(),"-",IF(ISBLANK(Tbl_ResidentData[[#This Row],[Enrollment '[mmm-yyyy']]]),"-",AND((Tbl_ResidentData[[#This Row],[Enrollment '[mmm-yyyy']]]&lt;=AR$4),IF(ISBLANK(Tbl_ResidentData[[#This Row],[Discharge '[mmm-yyyy']]]),TRUE,(Tbl_ResidentData[[#This Row],[Discharge '[mmm-yyyy']]]&gt;=AR$4)))))</f>
        <v>-</v>
      </c>
      <c r="AS6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6" s="120" t="b">
        <f ca="1">AND(Tbl_ResidentData[[#This Row],[PRN Med Started]]&lt;&gt;"",Tbl_ResidentData[[#This Row],[PRN Med Started]]&lt;=NOW(),Tbl_ResidentData[[#This Row],[PRN Med Started]]&lt;=AS$4,OR(Tbl_ResidentData[[#This Row],[PRN Med Discontinued]]&gt;AS$4,ISBLANK(Tbl_ResidentData[[#This Row],[PRN Med Discontinued]])))</f>
        <v>0</v>
      </c>
      <c r="BR66" s="121" t="b">
        <f ca="1">AND(Tbl_ResidentData[[#This Row],[PRN Med Started]]&lt;&gt;"",Tbl_ResidentData[[#This Row],[PRN Med Started]]&lt;=NOW(),Tbl_ResidentData[[#This Row],[PRN Med Started]]&lt;=AT$4,OR(Tbl_ResidentData[[#This Row],[PRN Med Discontinued]]&gt;AT$4,ISBLANK(Tbl_ResidentData[[#This Row],[PRN Med Discontinued]])))</f>
        <v>0</v>
      </c>
      <c r="BS66" s="121" t="b">
        <f ca="1">AND(Tbl_ResidentData[[#This Row],[PRN Med Started]]&lt;&gt;"",Tbl_ResidentData[[#This Row],[PRN Med Started]]&lt;=NOW(),Tbl_ResidentData[[#This Row],[PRN Med Started]]&lt;=AU$4,OR(Tbl_ResidentData[[#This Row],[PRN Med Discontinued]]&gt;AU$4,ISBLANK(Tbl_ResidentData[[#This Row],[PRN Med Discontinued]])))</f>
        <v>0</v>
      </c>
      <c r="BT66" s="121" t="b">
        <f ca="1">AND(Tbl_ResidentData[[#This Row],[PRN Med Started]]&lt;&gt;"",Tbl_ResidentData[[#This Row],[PRN Med Started]]&lt;=NOW(),Tbl_ResidentData[[#This Row],[PRN Med Started]]&lt;=AV$4,OR(Tbl_ResidentData[[#This Row],[PRN Med Discontinued]]&gt;AV$4,ISBLANK(Tbl_ResidentData[[#This Row],[PRN Med Discontinued]])))</f>
        <v>0</v>
      </c>
      <c r="BU66" s="121" t="b">
        <f ca="1">AND(Tbl_ResidentData[[#This Row],[PRN Med Started]]&lt;&gt;"",Tbl_ResidentData[[#This Row],[PRN Med Started]]&lt;=NOW(),Tbl_ResidentData[[#This Row],[PRN Med Started]]&lt;=AW$4,OR(Tbl_ResidentData[[#This Row],[PRN Med Discontinued]]&gt;AW$4,ISBLANK(Tbl_ResidentData[[#This Row],[PRN Med Discontinued]])))</f>
        <v>0</v>
      </c>
      <c r="BV66" s="121" t="b">
        <f ca="1">AND(Tbl_ResidentData[[#This Row],[PRN Med Started]]&lt;&gt;"",Tbl_ResidentData[[#This Row],[PRN Med Started]]&lt;=NOW(),Tbl_ResidentData[[#This Row],[PRN Med Started]]&lt;=AX$4,OR(Tbl_ResidentData[[#This Row],[PRN Med Discontinued]]&gt;AX$4,ISBLANK(Tbl_ResidentData[[#This Row],[PRN Med Discontinued]])))</f>
        <v>0</v>
      </c>
      <c r="BW66" s="121" t="b">
        <f ca="1">AND(Tbl_ResidentData[[#This Row],[PRN Med Started]]&lt;&gt;"",Tbl_ResidentData[[#This Row],[PRN Med Started]]&lt;=NOW(),Tbl_ResidentData[[#This Row],[PRN Med Started]]&lt;=AY$4,OR(Tbl_ResidentData[[#This Row],[PRN Med Discontinued]]&gt;AY$4,ISBLANK(Tbl_ResidentData[[#This Row],[PRN Med Discontinued]])))</f>
        <v>0</v>
      </c>
      <c r="BX66" s="121" t="b">
        <f ca="1">AND(Tbl_ResidentData[[#This Row],[PRN Med Started]]&lt;&gt;"",Tbl_ResidentData[[#This Row],[PRN Med Started]]&lt;=NOW(),Tbl_ResidentData[[#This Row],[PRN Med Started]]&lt;=AZ$4,OR(Tbl_ResidentData[[#This Row],[PRN Med Discontinued]]&gt;AZ$4,ISBLANK(Tbl_ResidentData[[#This Row],[PRN Med Discontinued]])))</f>
        <v>0</v>
      </c>
      <c r="BY66" s="121" t="b">
        <f ca="1">AND(Tbl_ResidentData[[#This Row],[PRN Med Started]]&lt;&gt;"",Tbl_ResidentData[[#This Row],[PRN Med Started]]&lt;=NOW(),Tbl_ResidentData[[#This Row],[PRN Med Started]]&lt;=BA$4,OR(Tbl_ResidentData[[#This Row],[PRN Med Discontinued]]&gt;BA$4,ISBLANK(Tbl_ResidentData[[#This Row],[PRN Med Discontinued]])))</f>
        <v>0</v>
      </c>
      <c r="BZ66" s="121" t="b">
        <f ca="1">AND(Tbl_ResidentData[[#This Row],[PRN Med Started]]&lt;&gt;"",Tbl_ResidentData[[#This Row],[PRN Med Started]]&lt;=NOW(),Tbl_ResidentData[[#This Row],[PRN Med Started]]&lt;=BB$4,OR(Tbl_ResidentData[[#This Row],[PRN Med Discontinued]]&gt;BB$4,ISBLANK(Tbl_ResidentData[[#This Row],[PRN Med Discontinued]])))</f>
        <v>0</v>
      </c>
      <c r="CA66" s="121" t="b">
        <f ca="1">AND(Tbl_ResidentData[[#This Row],[PRN Med Started]]&lt;&gt;"",Tbl_ResidentData[[#This Row],[PRN Med Started]]&lt;=NOW(),Tbl_ResidentData[[#This Row],[PRN Med Started]]&lt;=BC$4,OR(Tbl_ResidentData[[#This Row],[PRN Med Discontinued]]&gt;BC$4,ISBLANK(Tbl_ResidentData[[#This Row],[PRN Med Discontinued]])))</f>
        <v>0</v>
      </c>
      <c r="CB66" s="121" t="b">
        <f ca="1">AND(Tbl_ResidentData[[#This Row],[PRN Med Started]]&lt;&gt;"",Tbl_ResidentData[[#This Row],[PRN Med Started]]&lt;=NOW(),Tbl_ResidentData[[#This Row],[PRN Med Started]]&lt;=BD$4,OR(Tbl_ResidentData[[#This Row],[PRN Med Discontinued]]&gt;BD$4,ISBLANK(Tbl_ResidentData[[#This Row],[PRN Med Discontinued]])))</f>
        <v>0</v>
      </c>
      <c r="CC66" s="121" t="b">
        <f ca="1">AND(Tbl_ResidentData[[#This Row],[PRN Med Started]]&lt;&gt;"",Tbl_ResidentData[[#This Row],[PRN Med Started]]&lt;=NOW(),Tbl_ResidentData[[#This Row],[PRN Med Started]]&lt;=BE$4,OR(Tbl_ResidentData[[#This Row],[PRN Med Discontinued]]&gt;BE$4,ISBLANK(Tbl_ResidentData[[#This Row],[PRN Med Discontinued]])))</f>
        <v>0</v>
      </c>
      <c r="CD66" s="121" t="b">
        <f ca="1">AND(Tbl_ResidentData[[#This Row],[PRN Med Started]]&lt;&gt;"",Tbl_ResidentData[[#This Row],[PRN Med Started]]&lt;=NOW(),Tbl_ResidentData[[#This Row],[PRN Med Started]]&lt;=BF$4,OR(Tbl_ResidentData[[#This Row],[PRN Med Discontinued]]&gt;BF$4,ISBLANK(Tbl_ResidentData[[#This Row],[PRN Med Discontinued]])))</f>
        <v>0</v>
      </c>
      <c r="CE66" s="121" t="b">
        <f ca="1">AND(Tbl_ResidentData[[#This Row],[PRN Med Started]]&lt;&gt;"",Tbl_ResidentData[[#This Row],[PRN Med Started]]&lt;=NOW(),Tbl_ResidentData[[#This Row],[PRN Med Started]]&lt;=BG$4,OR(Tbl_ResidentData[[#This Row],[PRN Med Discontinued]]&gt;BG$4,ISBLANK(Tbl_ResidentData[[#This Row],[PRN Med Discontinued]])))</f>
        <v>0</v>
      </c>
      <c r="CF66" s="121" t="b">
        <f ca="1">AND(Tbl_ResidentData[[#This Row],[PRN Med Started]]&lt;&gt;"",Tbl_ResidentData[[#This Row],[PRN Med Started]]&lt;=NOW(),Tbl_ResidentData[[#This Row],[PRN Med Started]]&lt;=BH$4,OR(Tbl_ResidentData[[#This Row],[PRN Med Discontinued]]&gt;BH$4,ISBLANK(Tbl_ResidentData[[#This Row],[PRN Med Discontinued]])))</f>
        <v>0</v>
      </c>
      <c r="CG66" s="121" t="b">
        <f ca="1">AND(Tbl_ResidentData[[#This Row],[PRN Med Started]]&lt;&gt;"",Tbl_ResidentData[[#This Row],[PRN Med Started]]&lt;=NOW(),Tbl_ResidentData[[#This Row],[PRN Med Started]]&lt;=BI$4,OR(Tbl_ResidentData[[#This Row],[PRN Med Discontinued]]&gt;BI$4,ISBLANK(Tbl_ResidentData[[#This Row],[PRN Med Discontinued]])))</f>
        <v>0</v>
      </c>
      <c r="CH66" s="121" t="b">
        <f ca="1">AND(Tbl_ResidentData[[#This Row],[PRN Med Started]]&lt;&gt;"",Tbl_ResidentData[[#This Row],[PRN Med Started]]&lt;=NOW(),Tbl_ResidentData[[#This Row],[PRN Med Started]]&lt;=BJ$4,OR(Tbl_ResidentData[[#This Row],[PRN Med Discontinued]]&gt;BJ$4,ISBLANK(Tbl_ResidentData[[#This Row],[PRN Med Discontinued]])))</f>
        <v>0</v>
      </c>
      <c r="CI66" s="121" t="b">
        <f ca="1">AND(Tbl_ResidentData[[#This Row],[PRN Med Started]]&lt;&gt;"",Tbl_ResidentData[[#This Row],[PRN Med Started]]&lt;=NOW(),Tbl_ResidentData[[#This Row],[PRN Med Started]]&lt;=BK$4,OR(Tbl_ResidentData[[#This Row],[PRN Med Discontinued]]&gt;BK$4,ISBLANK(Tbl_ResidentData[[#This Row],[PRN Med Discontinued]])))</f>
        <v>0</v>
      </c>
      <c r="CJ66" s="121" t="b">
        <f ca="1">AND(Tbl_ResidentData[[#This Row],[PRN Med Started]]&lt;&gt;"",Tbl_ResidentData[[#This Row],[PRN Med Started]]&lt;=NOW(),Tbl_ResidentData[[#This Row],[PRN Med Started]]&lt;=BL$4,OR(Tbl_ResidentData[[#This Row],[PRN Med Discontinued]]&gt;BL$4,ISBLANK(Tbl_ResidentData[[#This Row],[PRN Med Discontinued]])))</f>
        <v>0</v>
      </c>
      <c r="CK66" s="121" t="b">
        <f ca="1">AND(Tbl_ResidentData[[#This Row],[PRN Med Started]]&lt;&gt;"",Tbl_ResidentData[[#This Row],[PRN Med Started]]&lt;=NOW(),Tbl_ResidentData[[#This Row],[PRN Med Started]]&lt;=BM$4,OR(Tbl_ResidentData[[#This Row],[PRN Med Discontinued]]&gt;BM$4,ISBLANK(Tbl_ResidentData[[#This Row],[PRN Med Discontinued]])))</f>
        <v>0</v>
      </c>
      <c r="CL66" s="121" t="b">
        <f ca="1">AND(Tbl_ResidentData[[#This Row],[PRN Med Started]]&lt;&gt;"",Tbl_ResidentData[[#This Row],[PRN Med Started]]&lt;=NOW(),Tbl_ResidentData[[#This Row],[PRN Med Started]]&lt;=BN$4,OR(Tbl_ResidentData[[#This Row],[PRN Med Discontinued]]&gt;BN$4,ISBLANK(Tbl_ResidentData[[#This Row],[PRN Med Discontinued]])))</f>
        <v>0</v>
      </c>
      <c r="CM66" s="121" t="b">
        <f ca="1">AND(Tbl_ResidentData[[#This Row],[PRN Med Started]]&lt;&gt;"",Tbl_ResidentData[[#This Row],[PRN Med Started]]&lt;=NOW(),Tbl_ResidentData[[#This Row],[PRN Med Started]]&lt;=BO$4,OR(Tbl_ResidentData[[#This Row],[PRN Med Discontinued]]&gt;BO$4,ISBLANK(Tbl_ResidentData[[#This Row],[PRN Med Discontinued]])))</f>
        <v>0</v>
      </c>
      <c r="CN66" s="122" t="b">
        <f ca="1">AND(Tbl_ResidentData[[#This Row],[PRN Med Started]]&lt;&gt;"",Tbl_ResidentData[[#This Row],[PRN Med Started]]&lt;=NOW(),Tbl_ResidentData[[#This Row],[PRN Med Started]]&lt;=BP$4,OR(Tbl_ResidentData[[#This Row],[PRN Med Discontinued]]&gt;BP$4,ISBLANK(Tbl_ResidentData[[#This Row],[PRN Med Discontinued]])))</f>
        <v>0</v>
      </c>
      <c r="CO66" s="120">
        <f ca="1">IF(OR(Tbl_ResidentData[[#This Row],[S1]]=TRUE,Tbl_ResidentData[[#This Row],[P1]]=TRUE),1,0)</f>
        <v>0</v>
      </c>
      <c r="CP66" s="121">
        <f ca="1">IF(OR(Tbl_ResidentData[[#This Row],[S2]]=TRUE,Tbl_ResidentData[[#This Row],[P2]]=TRUE),1,0)</f>
        <v>0</v>
      </c>
      <c r="CQ66" s="121">
        <f ca="1">IF(OR(Tbl_ResidentData[[#This Row],[S3]]=TRUE,Tbl_ResidentData[[#This Row],[P3]]=TRUE),1,0)</f>
        <v>0</v>
      </c>
      <c r="CR66" s="120">
        <f ca="1">IF(OR(Tbl_ResidentData[[#This Row],[S4]]=TRUE,Tbl_ResidentData[[#This Row],[P4]]=TRUE),1,0)</f>
        <v>0</v>
      </c>
      <c r="CS66" s="120">
        <f ca="1">IF(OR(Tbl_ResidentData[[#This Row],[S5]]=TRUE,Tbl_ResidentData[[#This Row],[P5]]=TRUE),1,0)</f>
        <v>0</v>
      </c>
      <c r="CT66" s="120">
        <f ca="1">IF(OR(Tbl_ResidentData[[#This Row],[S6]]=TRUE,Tbl_ResidentData[[#This Row],[P6]]=TRUE),1,0)</f>
        <v>0</v>
      </c>
      <c r="CU66" s="120">
        <f ca="1">IF(OR(Tbl_ResidentData[[#This Row],[S7]]=TRUE,Tbl_ResidentData[[#This Row],[P7]]=TRUE),1,0)</f>
        <v>0</v>
      </c>
      <c r="CV66" s="120">
        <f ca="1">IF(OR(Tbl_ResidentData[[#This Row],[S8]]=TRUE,Tbl_ResidentData[[#This Row],[P8]]=TRUE),1,0)</f>
        <v>0</v>
      </c>
      <c r="CW66" s="120">
        <f ca="1">IF(OR(Tbl_ResidentData[[#This Row],[S9]]=TRUE,Tbl_ResidentData[[#This Row],[P9]]=TRUE),1,0)</f>
        <v>0</v>
      </c>
      <c r="CX66" s="120">
        <f ca="1">IF(OR(Tbl_ResidentData[[#This Row],[S10]]=TRUE,Tbl_ResidentData[[#This Row],[P10]]=TRUE),1,0)</f>
        <v>0</v>
      </c>
      <c r="CY66" s="120">
        <f ca="1">IF(OR(Tbl_ResidentData[[#This Row],[S11]]=TRUE,Tbl_ResidentData[[#This Row],[P11]]=TRUE),1,0)</f>
        <v>0</v>
      </c>
      <c r="CZ66" s="120">
        <f ca="1">IF(OR(Tbl_ResidentData[[#This Row],[S12]]=TRUE,Tbl_ResidentData[[#This Row],[P12]]=TRUE),1,0)</f>
        <v>0</v>
      </c>
      <c r="DA66" s="120">
        <f ca="1">IF(OR(Tbl_ResidentData[[#This Row],[S13]]=TRUE,Tbl_ResidentData[[#This Row],[P13]]=TRUE),1,0)</f>
        <v>0</v>
      </c>
      <c r="DB66" s="120">
        <f ca="1">IF(OR(Tbl_ResidentData[[#This Row],[S14]]=TRUE,Tbl_ResidentData[[#This Row],[P14]]=TRUE),1,0)</f>
        <v>0</v>
      </c>
      <c r="DC66" s="120">
        <f ca="1">IF(OR(Tbl_ResidentData[[#This Row],[S15]]=TRUE,Tbl_ResidentData[[#This Row],[P15]]=TRUE),1,0)</f>
        <v>0</v>
      </c>
      <c r="DD66" s="120">
        <f ca="1">IF(OR(Tbl_ResidentData[[#This Row],[S16]]=TRUE,Tbl_ResidentData[[#This Row],[P16]]=TRUE),1,0)</f>
        <v>0</v>
      </c>
      <c r="DE66" s="120">
        <f ca="1">IF(OR(Tbl_ResidentData[[#This Row],[S17]]=TRUE,Tbl_ResidentData[[#This Row],[P17]]=TRUE),1,0)</f>
        <v>0</v>
      </c>
      <c r="DF66" s="120">
        <f ca="1">IF(OR(Tbl_ResidentData[[#This Row],[S18]]=TRUE,Tbl_ResidentData[[#This Row],[P18]]=TRUE),1,0)</f>
        <v>0</v>
      </c>
      <c r="DG66" s="120">
        <f ca="1">IF(OR(Tbl_ResidentData[[#This Row],[S19]]=TRUE,Tbl_ResidentData[[#This Row],[P19]]=TRUE),1,0)</f>
        <v>0</v>
      </c>
      <c r="DH66" s="120">
        <f ca="1">IF(OR(Tbl_ResidentData[[#This Row],[S20]]=TRUE,Tbl_ResidentData[[#This Row],[P20]]=TRUE),1,0)</f>
        <v>0</v>
      </c>
      <c r="DI66" s="120">
        <f ca="1">IF(OR(Tbl_ResidentData[[#This Row],[S21]]=TRUE,Tbl_ResidentData[[#This Row],[P21]]=TRUE),1,0)</f>
        <v>0</v>
      </c>
      <c r="DJ66" s="120">
        <f ca="1">IF(OR(Tbl_ResidentData[[#This Row],[S22]]=TRUE,Tbl_ResidentData[[#This Row],[P22]]=TRUE),1,0)</f>
        <v>0</v>
      </c>
      <c r="DK66" s="120">
        <f ca="1">IF(OR(Tbl_ResidentData[[#This Row],[S23]]=TRUE,Tbl_ResidentData[[#This Row],[P23]]=TRUE),1,0)</f>
        <v>0</v>
      </c>
      <c r="DL66" s="120">
        <f ca="1">IF(OR(Tbl_ResidentData[[#This Row],[S24]]=TRUE,Tbl_ResidentData[[#This Row],[P24]]=TRUE),1,0)</f>
        <v>0</v>
      </c>
      <c r="DM66" s="123" t="str">
        <f ca="1">IFERROR(INDEX($CO$4:$DL$4,MATCH(TRUE,INDEX((Tbl_ResidentData[[#This Row],[Over1]:[Over24]]&lt;&gt;0),0),0)),"")</f>
        <v/>
      </c>
      <c r="DN66" s="133" t="str">
        <f>IFERROR(INDEX(Tbl_PDSAData[Last DRT],MATCH(Tbl_ResidentData[Resident Name '[last, first']],Tbl_PDSAData[Resident Name (last, first)],0)),"")</f>
        <v/>
      </c>
      <c r="DO66" s="222" t="str">
        <f>IFERROR(INDEX(Tbl_PDSAData[Last MR],MATCH(Tbl_ResidentData[Resident Name '[last, first']],Tbl_PDSAData[Resident Name (last, first)],0)),"")</f>
        <v/>
      </c>
    </row>
    <row r="67" spans="1:119" x14ac:dyDescent="0.25">
      <c r="A67" s="179"/>
      <c r="B67" s="180"/>
      <c r="C67" s="180"/>
      <c r="D67" s="218"/>
      <c r="E67" s="179"/>
      <c r="F67" s="181"/>
      <c r="G67" s="181"/>
      <c r="H67" s="375"/>
      <c r="I67" s="185"/>
      <c r="J67" s="387"/>
      <c r="K67" s="178"/>
      <c r="L67" s="388"/>
      <c r="M67" s="185"/>
      <c r="N67" s="386"/>
      <c r="O67" s="178"/>
      <c r="P67" s="388"/>
      <c r="Q67" s="395"/>
      <c r="R67" s="396"/>
      <c r="S67" s="131" t="str">
        <f>IF(ISBLANK(Tbl_ResidentData[[#This Row],[Discharge '[mmm-yyyy']]]),IF(ISBLANK(Tbl_ResidentData[[#This Row],[Enrollment '[mmm-yyyy']]]),"","In Care Home"),"Discharged")</f>
        <v/>
      </c>
      <c r="T67" s="119" t="str">
        <f>IF(ISBLANK(Tbl_ResidentData[[#This Row],[Diagnosis (RAI)]]),IF(ISBLANK(Tbl_ResidentData[[#This Row],[Resident Name '[last, first']]]),"",0),IF(Tbl_ResidentData[[#This Row],[Diagnosis (RAI)]]="Other (see clinical notes)",0,1))</f>
        <v/>
      </c>
      <c r="U67" s="120" t="str">
        <f ca="1">IF(U$4&gt;NOW(),"-",IF(ISBLANK(Tbl_ResidentData[[#This Row],[Enrollment '[mmm-yyyy']]]),"-",AND((Tbl_ResidentData[[#This Row],[Enrollment '[mmm-yyyy']]]&lt;=U$4),IF(ISBLANK(Tbl_ResidentData[[#This Row],[Discharge '[mmm-yyyy']]]),TRUE,(Tbl_ResidentData[[#This Row],[Discharge '[mmm-yyyy']]]&gt;=U$4)))))</f>
        <v>-</v>
      </c>
      <c r="V67" s="121" t="str">
        <f ca="1">IF(V$4&gt;NOW(),"-",IF(ISBLANK(Tbl_ResidentData[[#This Row],[Enrollment '[mmm-yyyy']]]),"-",AND((Tbl_ResidentData[[#This Row],[Enrollment '[mmm-yyyy']]]&lt;=V$4),IF(ISBLANK(Tbl_ResidentData[[#This Row],[Discharge '[mmm-yyyy']]]),TRUE,(Tbl_ResidentData[[#This Row],[Discharge '[mmm-yyyy']]]&gt;=V$4)))))</f>
        <v>-</v>
      </c>
      <c r="W67" s="121" t="str">
        <f ca="1">IF(W$4&gt;NOW(),"-",IF(ISBLANK(Tbl_ResidentData[[#This Row],[Enrollment '[mmm-yyyy']]]),"-",AND((Tbl_ResidentData[[#This Row],[Enrollment '[mmm-yyyy']]]&lt;=W$4),IF(ISBLANK(Tbl_ResidentData[[#This Row],[Discharge '[mmm-yyyy']]]),TRUE,(Tbl_ResidentData[[#This Row],[Discharge '[mmm-yyyy']]]&gt;=W$4)))))</f>
        <v>-</v>
      </c>
      <c r="X67" s="121" t="str">
        <f ca="1">IF(X$4&gt;NOW(),"-",IF(ISBLANK(Tbl_ResidentData[[#This Row],[Enrollment '[mmm-yyyy']]]),"-",AND((Tbl_ResidentData[[#This Row],[Enrollment '[mmm-yyyy']]]&lt;=X$4),IF(ISBLANK(Tbl_ResidentData[[#This Row],[Discharge '[mmm-yyyy']]]),TRUE,(Tbl_ResidentData[[#This Row],[Discharge '[mmm-yyyy']]]&gt;=X$4)))))</f>
        <v>-</v>
      </c>
      <c r="Y67" s="121" t="str">
        <f ca="1">IF(Y$4&gt;NOW(),"-",IF(ISBLANK(Tbl_ResidentData[[#This Row],[Enrollment '[mmm-yyyy']]]),"-",AND((Tbl_ResidentData[[#This Row],[Enrollment '[mmm-yyyy']]]&lt;=Y$4),IF(ISBLANK(Tbl_ResidentData[[#This Row],[Discharge '[mmm-yyyy']]]),TRUE,(Tbl_ResidentData[[#This Row],[Discharge '[mmm-yyyy']]]&gt;=Y$4)))))</f>
        <v>-</v>
      </c>
      <c r="Z67" s="121" t="str">
        <f ca="1">IF(Z$4&gt;NOW(),"-",IF(ISBLANK(Tbl_ResidentData[[#This Row],[Enrollment '[mmm-yyyy']]]),"-",AND((Tbl_ResidentData[[#This Row],[Enrollment '[mmm-yyyy']]]&lt;=Z$4),IF(ISBLANK(Tbl_ResidentData[[#This Row],[Discharge '[mmm-yyyy']]]),TRUE,(Tbl_ResidentData[[#This Row],[Discharge '[mmm-yyyy']]]&gt;=Z$4)))))</f>
        <v>-</v>
      </c>
      <c r="AA67" s="121" t="str">
        <f ca="1">IF(AA$4&gt;NOW(),"-",IF(ISBLANK(Tbl_ResidentData[[#This Row],[Enrollment '[mmm-yyyy']]]),"-",AND((Tbl_ResidentData[[#This Row],[Enrollment '[mmm-yyyy']]]&lt;=AA$4),IF(ISBLANK(Tbl_ResidentData[[#This Row],[Discharge '[mmm-yyyy']]]),TRUE,(Tbl_ResidentData[[#This Row],[Discharge '[mmm-yyyy']]]&gt;=AA$4)))))</f>
        <v>-</v>
      </c>
      <c r="AB67" s="121" t="str">
        <f ca="1">IF(AB$4&gt;NOW(),"-",IF(ISBLANK(Tbl_ResidentData[[#This Row],[Enrollment '[mmm-yyyy']]]),"-",AND((Tbl_ResidentData[[#This Row],[Enrollment '[mmm-yyyy']]]&lt;=AB$4),IF(ISBLANK(Tbl_ResidentData[[#This Row],[Discharge '[mmm-yyyy']]]),TRUE,(Tbl_ResidentData[[#This Row],[Discharge '[mmm-yyyy']]]&gt;=AB$4)))))</f>
        <v>-</v>
      </c>
      <c r="AC67" s="121" t="str">
        <f ca="1">IF(AC$4&gt;NOW(),"-",IF(ISBLANK(Tbl_ResidentData[[#This Row],[Enrollment '[mmm-yyyy']]]),"-",AND((Tbl_ResidentData[[#This Row],[Enrollment '[mmm-yyyy']]]&lt;=AC$4),IF(ISBLANK(Tbl_ResidentData[[#This Row],[Discharge '[mmm-yyyy']]]),TRUE,(Tbl_ResidentData[[#This Row],[Discharge '[mmm-yyyy']]]&gt;=AC$4)))))</f>
        <v>-</v>
      </c>
      <c r="AD67" s="121" t="str">
        <f ca="1">IF(AD$4&gt;NOW(),"-",IF(ISBLANK(Tbl_ResidentData[[#This Row],[Enrollment '[mmm-yyyy']]]),"-",AND((Tbl_ResidentData[[#This Row],[Enrollment '[mmm-yyyy']]]&lt;=AD$4),IF(ISBLANK(Tbl_ResidentData[[#This Row],[Discharge '[mmm-yyyy']]]),TRUE,(Tbl_ResidentData[[#This Row],[Discharge '[mmm-yyyy']]]&gt;=AD$4)))))</f>
        <v>-</v>
      </c>
      <c r="AE67" s="121" t="str">
        <f ca="1">IF(AE$4&gt;NOW(),"-",IF(ISBLANK(Tbl_ResidentData[[#This Row],[Enrollment '[mmm-yyyy']]]),"-",AND((Tbl_ResidentData[[#This Row],[Enrollment '[mmm-yyyy']]]&lt;=AE$4),IF(ISBLANK(Tbl_ResidentData[[#This Row],[Discharge '[mmm-yyyy']]]),TRUE,(Tbl_ResidentData[[#This Row],[Discharge '[mmm-yyyy']]]&gt;=AE$4)))))</f>
        <v>-</v>
      </c>
      <c r="AF67" s="121" t="str">
        <f ca="1">IF(AF$4&gt;NOW(),"-",IF(ISBLANK(Tbl_ResidentData[[#This Row],[Enrollment '[mmm-yyyy']]]),"-",AND((Tbl_ResidentData[[#This Row],[Enrollment '[mmm-yyyy']]]&lt;=AF$4),IF(ISBLANK(Tbl_ResidentData[[#This Row],[Discharge '[mmm-yyyy']]]),TRUE,(Tbl_ResidentData[[#This Row],[Discharge '[mmm-yyyy']]]&gt;=AF$4)))))</f>
        <v>-</v>
      </c>
      <c r="AG67" s="121" t="str">
        <f ca="1">IF(AG$4&gt;NOW(),"-",IF(ISBLANK(Tbl_ResidentData[[#This Row],[Enrollment '[mmm-yyyy']]]),"-",AND((Tbl_ResidentData[[#This Row],[Enrollment '[mmm-yyyy']]]&lt;=AG$4),IF(ISBLANK(Tbl_ResidentData[[#This Row],[Discharge '[mmm-yyyy']]]),TRUE,(Tbl_ResidentData[[#This Row],[Discharge '[mmm-yyyy']]]&gt;=AG$4)))))</f>
        <v>-</v>
      </c>
      <c r="AH67" s="121" t="str">
        <f ca="1">IF(AH$4&gt;NOW(),"-",IF(ISBLANK(Tbl_ResidentData[[#This Row],[Enrollment '[mmm-yyyy']]]),"-",AND((Tbl_ResidentData[[#This Row],[Enrollment '[mmm-yyyy']]]&lt;=AH$4),IF(ISBLANK(Tbl_ResidentData[[#This Row],[Discharge '[mmm-yyyy']]]),TRUE,(Tbl_ResidentData[[#This Row],[Discharge '[mmm-yyyy']]]&gt;=AH$4)))))</f>
        <v>-</v>
      </c>
      <c r="AI67" s="121" t="str">
        <f ca="1">IF(AI$4&gt;NOW(),"-",IF(ISBLANK(Tbl_ResidentData[[#This Row],[Enrollment '[mmm-yyyy']]]),"-",AND((Tbl_ResidentData[[#This Row],[Enrollment '[mmm-yyyy']]]&lt;=AI$4),IF(ISBLANK(Tbl_ResidentData[[#This Row],[Discharge '[mmm-yyyy']]]),TRUE,(Tbl_ResidentData[[#This Row],[Discharge '[mmm-yyyy']]]&gt;=AI$4)))))</f>
        <v>-</v>
      </c>
      <c r="AJ67" s="121" t="str">
        <f ca="1">IF(AJ$4&gt;NOW(),"-",IF(ISBLANK(Tbl_ResidentData[[#This Row],[Enrollment '[mmm-yyyy']]]),"-",AND((Tbl_ResidentData[[#This Row],[Enrollment '[mmm-yyyy']]]&lt;=AJ$4),IF(ISBLANK(Tbl_ResidentData[[#This Row],[Discharge '[mmm-yyyy']]]),TRUE,(Tbl_ResidentData[[#This Row],[Discharge '[mmm-yyyy']]]&gt;=AJ$4)))))</f>
        <v>-</v>
      </c>
      <c r="AK67" s="121" t="str">
        <f ca="1">IF(AK$4&gt;NOW(),"-",IF(ISBLANK(Tbl_ResidentData[[#This Row],[Enrollment '[mmm-yyyy']]]),"-",AND((Tbl_ResidentData[[#This Row],[Enrollment '[mmm-yyyy']]]&lt;=AK$4),IF(ISBLANK(Tbl_ResidentData[[#This Row],[Discharge '[mmm-yyyy']]]),TRUE,(Tbl_ResidentData[[#This Row],[Discharge '[mmm-yyyy']]]&gt;=AK$4)))))</f>
        <v>-</v>
      </c>
      <c r="AL67" s="121" t="str">
        <f ca="1">IF(AL$4&gt;NOW(),"-",IF(ISBLANK(Tbl_ResidentData[[#This Row],[Enrollment '[mmm-yyyy']]]),"-",AND((Tbl_ResidentData[[#This Row],[Enrollment '[mmm-yyyy']]]&lt;=AL$4),IF(ISBLANK(Tbl_ResidentData[[#This Row],[Discharge '[mmm-yyyy']]]),TRUE,(Tbl_ResidentData[[#This Row],[Discharge '[mmm-yyyy']]]&gt;=AL$4)))))</f>
        <v>-</v>
      </c>
      <c r="AM67" s="121" t="str">
        <f ca="1">IF(AM$4&gt;NOW(),"-",IF(ISBLANK(Tbl_ResidentData[[#This Row],[Enrollment '[mmm-yyyy']]]),"-",AND((Tbl_ResidentData[[#This Row],[Enrollment '[mmm-yyyy']]]&lt;=AM$4),IF(ISBLANK(Tbl_ResidentData[[#This Row],[Discharge '[mmm-yyyy']]]),TRUE,(Tbl_ResidentData[[#This Row],[Discharge '[mmm-yyyy']]]&gt;=AM$4)))))</f>
        <v>-</v>
      </c>
      <c r="AN67" s="121" t="str">
        <f ca="1">IF(AN$4&gt;NOW(),"-",IF(ISBLANK(Tbl_ResidentData[[#This Row],[Enrollment '[mmm-yyyy']]]),"-",AND((Tbl_ResidentData[[#This Row],[Enrollment '[mmm-yyyy']]]&lt;=AN$4),IF(ISBLANK(Tbl_ResidentData[[#This Row],[Discharge '[mmm-yyyy']]]),TRUE,(Tbl_ResidentData[[#This Row],[Discharge '[mmm-yyyy']]]&gt;=AN$4)))))</f>
        <v>-</v>
      </c>
      <c r="AO67" s="121" t="str">
        <f ca="1">IF(AO$4&gt;NOW(),"-",IF(ISBLANK(Tbl_ResidentData[[#This Row],[Enrollment '[mmm-yyyy']]]),"-",AND((Tbl_ResidentData[[#This Row],[Enrollment '[mmm-yyyy']]]&lt;=AO$4),IF(ISBLANK(Tbl_ResidentData[[#This Row],[Discharge '[mmm-yyyy']]]),TRUE,(Tbl_ResidentData[[#This Row],[Discharge '[mmm-yyyy']]]&gt;=AO$4)))))</f>
        <v>-</v>
      </c>
      <c r="AP67" s="121" t="str">
        <f ca="1">IF(AP$4&gt;NOW(),"-",IF(ISBLANK(Tbl_ResidentData[[#This Row],[Enrollment '[mmm-yyyy']]]),"-",AND((Tbl_ResidentData[[#This Row],[Enrollment '[mmm-yyyy']]]&lt;=AP$4),IF(ISBLANK(Tbl_ResidentData[[#This Row],[Discharge '[mmm-yyyy']]]),TRUE,(Tbl_ResidentData[[#This Row],[Discharge '[mmm-yyyy']]]&gt;=AP$4)))))</f>
        <v>-</v>
      </c>
      <c r="AQ67" s="121" t="str">
        <f ca="1">IF(AQ$4&gt;NOW(),"-",IF(ISBLANK(Tbl_ResidentData[[#This Row],[Enrollment '[mmm-yyyy']]]),"-",AND((Tbl_ResidentData[[#This Row],[Enrollment '[mmm-yyyy']]]&lt;=AQ$4),IF(ISBLANK(Tbl_ResidentData[[#This Row],[Discharge '[mmm-yyyy']]]),TRUE,(Tbl_ResidentData[[#This Row],[Discharge '[mmm-yyyy']]]&gt;=AQ$4)))))</f>
        <v>-</v>
      </c>
      <c r="AR67" s="122" t="str">
        <f ca="1">IF(AR$4&gt;NOW(),"-",IF(ISBLANK(Tbl_ResidentData[[#This Row],[Enrollment '[mmm-yyyy']]]),"-",AND((Tbl_ResidentData[[#This Row],[Enrollment '[mmm-yyyy']]]&lt;=AR$4),IF(ISBLANK(Tbl_ResidentData[[#This Row],[Discharge '[mmm-yyyy']]]),TRUE,(Tbl_ResidentData[[#This Row],[Discharge '[mmm-yyyy']]]&gt;=AR$4)))))</f>
        <v>-</v>
      </c>
      <c r="AS6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7" s="120" t="b">
        <f ca="1">AND(Tbl_ResidentData[[#This Row],[PRN Med Started]]&lt;&gt;"",Tbl_ResidentData[[#This Row],[PRN Med Started]]&lt;=NOW(),Tbl_ResidentData[[#This Row],[PRN Med Started]]&lt;=AS$4,OR(Tbl_ResidentData[[#This Row],[PRN Med Discontinued]]&gt;AS$4,ISBLANK(Tbl_ResidentData[[#This Row],[PRN Med Discontinued]])))</f>
        <v>0</v>
      </c>
      <c r="BR67" s="121" t="b">
        <f ca="1">AND(Tbl_ResidentData[[#This Row],[PRN Med Started]]&lt;&gt;"",Tbl_ResidentData[[#This Row],[PRN Med Started]]&lt;=NOW(),Tbl_ResidentData[[#This Row],[PRN Med Started]]&lt;=AT$4,OR(Tbl_ResidentData[[#This Row],[PRN Med Discontinued]]&gt;AT$4,ISBLANK(Tbl_ResidentData[[#This Row],[PRN Med Discontinued]])))</f>
        <v>0</v>
      </c>
      <c r="BS67" s="121" t="b">
        <f ca="1">AND(Tbl_ResidentData[[#This Row],[PRN Med Started]]&lt;&gt;"",Tbl_ResidentData[[#This Row],[PRN Med Started]]&lt;=NOW(),Tbl_ResidentData[[#This Row],[PRN Med Started]]&lt;=AU$4,OR(Tbl_ResidentData[[#This Row],[PRN Med Discontinued]]&gt;AU$4,ISBLANK(Tbl_ResidentData[[#This Row],[PRN Med Discontinued]])))</f>
        <v>0</v>
      </c>
      <c r="BT67" s="121" t="b">
        <f ca="1">AND(Tbl_ResidentData[[#This Row],[PRN Med Started]]&lt;&gt;"",Tbl_ResidentData[[#This Row],[PRN Med Started]]&lt;=NOW(),Tbl_ResidentData[[#This Row],[PRN Med Started]]&lt;=AV$4,OR(Tbl_ResidentData[[#This Row],[PRN Med Discontinued]]&gt;AV$4,ISBLANK(Tbl_ResidentData[[#This Row],[PRN Med Discontinued]])))</f>
        <v>0</v>
      </c>
      <c r="BU67" s="121" t="b">
        <f ca="1">AND(Tbl_ResidentData[[#This Row],[PRN Med Started]]&lt;&gt;"",Tbl_ResidentData[[#This Row],[PRN Med Started]]&lt;=NOW(),Tbl_ResidentData[[#This Row],[PRN Med Started]]&lt;=AW$4,OR(Tbl_ResidentData[[#This Row],[PRN Med Discontinued]]&gt;AW$4,ISBLANK(Tbl_ResidentData[[#This Row],[PRN Med Discontinued]])))</f>
        <v>0</v>
      </c>
      <c r="BV67" s="121" t="b">
        <f ca="1">AND(Tbl_ResidentData[[#This Row],[PRN Med Started]]&lt;&gt;"",Tbl_ResidentData[[#This Row],[PRN Med Started]]&lt;=NOW(),Tbl_ResidentData[[#This Row],[PRN Med Started]]&lt;=AX$4,OR(Tbl_ResidentData[[#This Row],[PRN Med Discontinued]]&gt;AX$4,ISBLANK(Tbl_ResidentData[[#This Row],[PRN Med Discontinued]])))</f>
        <v>0</v>
      </c>
      <c r="BW67" s="121" t="b">
        <f ca="1">AND(Tbl_ResidentData[[#This Row],[PRN Med Started]]&lt;&gt;"",Tbl_ResidentData[[#This Row],[PRN Med Started]]&lt;=NOW(),Tbl_ResidentData[[#This Row],[PRN Med Started]]&lt;=AY$4,OR(Tbl_ResidentData[[#This Row],[PRN Med Discontinued]]&gt;AY$4,ISBLANK(Tbl_ResidentData[[#This Row],[PRN Med Discontinued]])))</f>
        <v>0</v>
      </c>
      <c r="BX67" s="121" t="b">
        <f ca="1">AND(Tbl_ResidentData[[#This Row],[PRN Med Started]]&lt;&gt;"",Tbl_ResidentData[[#This Row],[PRN Med Started]]&lt;=NOW(),Tbl_ResidentData[[#This Row],[PRN Med Started]]&lt;=AZ$4,OR(Tbl_ResidentData[[#This Row],[PRN Med Discontinued]]&gt;AZ$4,ISBLANK(Tbl_ResidentData[[#This Row],[PRN Med Discontinued]])))</f>
        <v>0</v>
      </c>
      <c r="BY67" s="121" t="b">
        <f ca="1">AND(Tbl_ResidentData[[#This Row],[PRN Med Started]]&lt;&gt;"",Tbl_ResidentData[[#This Row],[PRN Med Started]]&lt;=NOW(),Tbl_ResidentData[[#This Row],[PRN Med Started]]&lt;=BA$4,OR(Tbl_ResidentData[[#This Row],[PRN Med Discontinued]]&gt;BA$4,ISBLANK(Tbl_ResidentData[[#This Row],[PRN Med Discontinued]])))</f>
        <v>0</v>
      </c>
      <c r="BZ67" s="121" t="b">
        <f ca="1">AND(Tbl_ResidentData[[#This Row],[PRN Med Started]]&lt;&gt;"",Tbl_ResidentData[[#This Row],[PRN Med Started]]&lt;=NOW(),Tbl_ResidentData[[#This Row],[PRN Med Started]]&lt;=BB$4,OR(Tbl_ResidentData[[#This Row],[PRN Med Discontinued]]&gt;BB$4,ISBLANK(Tbl_ResidentData[[#This Row],[PRN Med Discontinued]])))</f>
        <v>0</v>
      </c>
      <c r="CA67" s="121" t="b">
        <f ca="1">AND(Tbl_ResidentData[[#This Row],[PRN Med Started]]&lt;&gt;"",Tbl_ResidentData[[#This Row],[PRN Med Started]]&lt;=NOW(),Tbl_ResidentData[[#This Row],[PRN Med Started]]&lt;=BC$4,OR(Tbl_ResidentData[[#This Row],[PRN Med Discontinued]]&gt;BC$4,ISBLANK(Tbl_ResidentData[[#This Row],[PRN Med Discontinued]])))</f>
        <v>0</v>
      </c>
      <c r="CB67" s="121" t="b">
        <f ca="1">AND(Tbl_ResidentData[[#This Row],[PRN Med Started]]&lt;&gt;"",Tbl_ResidentData[[#This Row],[PRN Med Started]]&lt;=NOW(),Tbl_ResidentData[[#This Row],[PRN Med Started]]&lt;=BD$4,OR(Tbl_ResidentData[[#This Row],[PRN Med Discontinued]]&gt;BD$4,ISBLANK(Tbl_ResidentData[[#This Row],[PRN Med Discontinued]])))</f>
        <v>0</v>
      </c>
      <c r="CC67" s="121" t="b">
        <f ca="1">AND(Tbl_ResidentData[[#This Row],[PRN Med Started]]&lt;&gt;"",Tbl_ResidentData[[#This Row],[PRN Med Started]]&lt;=NOW(),Tbl_ResidentData[[#This Row],[PRN Med Started]]&lt;=BE$4,OR(Tbl_ResidentData[[#This Row],[PRN Med Discontinued]]&gt;BE$4,ISBLANK(Tbl_ResidentData[[#This Row],[PRN Med Discontinued]])))</f>
        <v>0</v>
      </c>
      <c r="CD67" s="121" t="b">
        <f ca="1">AND(Tbl_ResidentData[[#This Row],[PRN Med Started]]&lt;&gt;"",Tbl_ResidentData[[#This Row],[PRN Med Started]]&lt;=NOW(),Tbl_ResidentData[[#This Row],[PRN Med Started]]&lt;=BF$4,OR(Tbl_ResidentData[[#This Row],[PRN Med Discontinued]]&gt;BF$4,ISBLANK(Tbl_ResidentData[[#This Row],[PRN Med Discontinued]])))</f>
        <v>0</v>
      </c>
      <c r="CE67" s="121" t="b">
        <f ca="1">AND(Tbl_ResidentData[[#This Row],[PRN Med Started]]&lt;&gt;"",Tbl_ResidentData[[#This Row],[PRN Med Started]]&lt;=NOW(),Tbl_ResidentData[[#This Row],[PRN Med Started]]&lt;=BG$4,OR(Tbl_ResidentData[[#This Row],[PRN Med Discontinued]]&gt;BG$4,ISBLANK(Tbl_ResidentData[[#This Row],[PRN Med Discontinued]])))</f>
        <v>0</v>
      </c>
      <c r="CF67" s="121" t="b">
        <f ca="1">AND(Tbl_ResidentData[[#This Row],[PRN Med Started]]&lt;&gt;"",Tbl_ResidentData[[#This Row],[PRN Med Started]]&lt;=NOW(),Tbl_ResidentData[[#This Row],[PRN Med Started]]&lt;=BH$4,OR(Tbl_ResidentData[[#This Row],[PRN Med Discontinued]]&gt;BH$4,ISBLANK(Tbl_ResidentData[[#This Row],[PRN Med Discontinued]])))</f>
        <v>0</v>
      </c>
      <c r="CG67" s="121" t="b">
        <f ca="1">AND(Tbl_ResidentData[[#This Row],[PRN Med Started]]&lt;&gt;"",Tbl_ResidentData[[#This Row],[PRN Med Started]]&lt;=NOW(),Tbl_ResidentData[[#This Row],[PRN Med Started]]&lt;=BI$4,OR(Tbl_ResidentData[[#This Row],[PRN Med Discontinued]]&gt;BI$4,ISBLANK(Tbl_ResidentData[[#This Row],[PRN Med Discontinued]])))</f>
        <v>0</v>
      </c>
      <c r="CH67" s="121" t="b">
        <f ca="1">AND(Tbl_ResidentData[[#This Row],[PRN Med Started]]&lt;&gt;"",Tbl_ResidentData[[#This Row],[PRN Med Started]]&lt;=NOW(),Tbl_ResidentData[[#This Row],[PRN Med Started]]&lt;=BJ$4,OR(Tbl_ResidentData[[#This Row],[PRN Med Discontinued]]&gt;BJ$4,ISBLANK(Tbl_ResidentData[[#This Row],[PRN Med Discontinued]])))</f>
        <v>0</v>
      </c>
      <c r="CI67" s="121" t="b">
        <f ca="1">AND(Tbl_ResidentData[[#This Row],[PRN Med Started]]&lt;&gt;"",Tbl_ResidentData[[#This Row],[PRN Med Started]]&lt;=NOW(),Tbl_ResidentData[[#This Row],[PRN Med Started]]&lt;=BK$4,OR(Tbl_ResidentData[[#This Row],[PRN Med Discontinued]]&gt;BK$4,ISBLANK(Tbl_ResidentData[[#This Row],[PRN Med Discontinued]])))</f>
        <v>0</v>
      </c>
      <c r="CJ67" s="121" t="b">
        <f ca="1">AND(Tbl_ResidentData[[#This Row],[PRN Med Started]]&lt;&gt;"",Tbl_ResidentData[[#This Row],[PRN Med Started]]&lt;=NOW(),Tbl_ResidentData[[#This Row],[PRN Med Started]]&lt;=BL$4,OR(Tbl_ResidentData[[#This Row],[PRN Med Discontinued]]&gt;BL$4,ISBLANK(Tbl_ResidentData[[#This Row],[PRN Med Discontinued]])))</f>
        <v>0</v>
      </c>
      <c r="CK67" s="121" t="b">
        <f ca="1">AND(Tbl_ResidentData[[#This Row],[PRN Med Started]]&lt;&gt;"",Tbl_ResidentData[[#This Row],[PRN Med Started]]&lt;=NOW(),Tbl_ResidentData[[#This Row],[PRN Med Started]]&lt;=BM$4,OR(Tbl_ResidentData[[#This Row],[PRN Med Discontinued]]&gt;BM$4,ISBLANK(Tbl_ResidentData[[#This Row],[PRN Med Discontinued]])))</f>
        <v>0</v>
      </c>
      <c r="CL67" s="121" t="b">
        <f ca="1">AND(Tbl_ResidentData[[#This Row],[PRN Med Started]]&lt;&gt;"",Tbl_ResidentData[[#This Row],[PRN Med Started]]&lt;=NOW(),Tbl_ResidentData[[#This Row],[PRN Med Started]]&lt;=BN$4,OR(Tbl_ResidentData[[#This Row],[PRN Med Discontinued]]&gt;BN$4,ISBLANK(Tbl_ResidentData[[#This Row],[PRN Med Discontinued]])))</f>
        <v>0</v>
      </c>
      <c r="CM67" s="121" t="b">
        <f ca="1">AND(Tbl_ResidentData[[#This Row],[PRN Med Started]]&lt;&gt;"",Tbl_ResidentData[[#This Row],[PRN Med Started]]&lt;=NOW(),Tbl_ResidentData[[#This Row],[PRN Med Started]]&lt;=BO$4,OR(Tbl_ResidentData[[#This Row],[PRN Med Discontinued]]&gt;BO$4,ISBLANK(Tbl_ResidentData[[#This Row],[PRN Med Discontinued]])))</f>
        <v>0</v>
      </c>
      <c r="CN67" s="122" t="b">
        <f ca="1">AND(Tbl_ResidentData[[#This Row],[PRN Med Started]]&lt;&gt;"",Tbl_ResidentData[[#This Row],[PRN Med Started]]&lt;=NOW(),Tbl_ResidentData[[#This Row],[PRN Med Started]]&lt;=BP$4,OR(Tbl_ResidentData[[#This Row],[PRN Med Discontinued]]&gt;BP$4,ISBLANK(Tbl_ResidentData[[#This Row],[PRN Med Discontinued]])))</f>
        <v>0</v>
      </c>
      <c r="CO67" s="120">
        <f ca="1">IF(OR(Tbl_ResidentData[[#This Row],[S1]]=TRUE,Tbl_ResidentData[[#This Row],[P1]]=TRUE),1,0)</f>
        <v>0</v>
      </c>
      <c r="CP67" s="121">
        <f ca="1">IF(OR(Tbl_ResidentData[[#This Row],[S2]]=TRUE,Tbl_ResidentData[[#This Row],[P2]]=TRUE),1,0)</f>
        <v>0</v>
      </c>
      <c r="CQ67" s="121">
        <f ca="1">IF(OR(Tbl_ResidentData[[#This Row],[S3]]=TRUE,Tbl_ResidentData[[#This Row],[P3]]=TRUE),1,0)</f>
        <v>0</v>
      </c>
      <c r="CR67" s="120">
        <f ca="1">IF(OR(Tbl_ResidentData[[#This Row],[S4]]=TRUE,Tbl_ResidentData[[#This Row],[P4]]=TRUE),1,0)</f>
        <v>0</v>
      </c>
      <c r="CS67" s="120">
        <f ca="1">IF(OR(Tbl_ResidentData[[#This Row],[S5]]=TRUE,Tbl_ResidentData[[#This Row],[P5]]=TRUE),1,0)</f>
        <v>0</v>
      </c>
      <c r="CT67" s="120">
        <f ca="1">IF(OR(Tbl_ResidentData[[#This Row],[S6]]=TRUE,Tbl_ResidentData[[#This Row],[P6]]=TRUE),1,0)</f>
        <v>0</v>
      </c>
      <c r="CU67" s="120">
        <f ca="1">IF(OR(Tbl_ResidentData[[#This Row],[S7]]=TRUE,Tbl_ResidentData[[#This Row],[P7]]=TRUE),1,0)</f>
        <v>0</v>
      </c>
      <c r="CV67" s="120">
        <f ca="1">IF(OR(Tbl_ResidentData[[#This Row],[S8]]=TRUE,Tbl_ResidentData[[#This Row],[P8]]=TRUE),1,0)</f>
        <v>0</v>
      </c>
      <c r="CW67" s="120">
        <f ca="1">IF(OR(Tbl_ResidentData[[#This Row],[S9]]=TRUE,Tbl_ResidentData[[#This Row],[P9]]=TRUE),1,0)</f>
        <v>0</v>
      </c>
      <c r="CX67" s="120">
        <f ca="1">IF(OR(Tbl_ResidentData[[#This Row],[S10]]=TRUE,Tbl_ResidentData[[#This Row],[P10]]=TRUE),1,0)</f>
        <v>0</v>
      </c>
      <c r="CY67" s="120">
        <f ca="1">IF(OR(Tbl_ResidentData[[#This Row],[S11]]=TRUE,Tbl_ResidentData[[#This Row],[P11]]=TRUE),1,0)</f>
        <v>0</v>
      </c>
      <c r="CZ67" s="120">
        <f ca="1">IF(OR(Tbl_ResidentData[[#This Row],[S12]]=TRUE,Tbl_ResidentData[[#This Row],[P12]]=TRUE),1,0)</f>
        <v>0</v>
      </c>
      <c r="DA67" s="120">
        <f ca="1">IF(OR(Tbl_ResidentData[[#This Row],[S13]]=TRUE,Tbl_ResidentData[[#This Row],[P13]]=TRUE),1,0)</f>
        <v>0</v>
      </c>
      <c r="DB67" s="120">
        <f ca="1">IF(OR(Tbl_ResidentData[[#This Row],[S14]]=TRUE,Tbl_ResidentData[[#This Row],[P14]]=TRUE),1,0)</f>
        <v>0</v>
      </c>
      <c r="DC67" s="120">
        <f ca="1">IF(OR(Tbl_ResidentData[[#This Row],[S15]]=TRUE,Tbl_ResidentData[[#This Row],[P15]]=TRUE),1,0)</f>
        <v>0</v>
      </c>
      <c r="DD67" s="120">
        <f ca="1">IF(OR(Tbl_ResidentData[[#This Row],[S16]]=TRUE,Tbl_ResidentData[[#This Row],[P16]]=TRUE),1,0)</f>
        <v>0</v>
      </c>
      <c r="DE67" s="120">
        <f ca="1">IF(OR(Tbl_ResidentData[[#This Row],[S17]]=TRUE,Tbl_ResidentData[[#This Row],[P17]]=TRUE),1,0)</f>
        <v>0</v>
      </c>
      <c r="DF67" s="120">
        <f ca="1">IF(OR(Tbl_ResidentData[[#This Row],[S18]]=TRUE,Tbl_ResidentData[[#This Row],[P18]]=TRUE),1,0)</f>
        <v>0</v>
      </c>
      <c r="DG67" s="120">
        <f ca="1">IF(OR(Tbl_ResidentData[[#This Row],[S19]]=TRUE,Tbl_ResidentData[[#This Row],[P19]]=TRUE),1,0)</f>
        <v>0</v>
      </c>
      <c r="DH67" s="120">
        <f ca="1">IF(OR(Tbl_ResidentData[[#This Row],[S20]]=TRUE,Tbl_ResidentData[[#This Row],[P20]]=TRUE),1,0)</f>
        <v>0</v>
      </c>
      <c r="DI67" s="120">
        <f ca="1">IF(OR(Tbl_ResidentData[[#This Row],[S21]]=TRUE,Tbl_ResidentData[[#This Row],[P21]]=TRUE),1,0)</f>
        <v>0</v>
      </c>
      <c r="DJ67" s="120">
        <f ca="1">IF(OR(Tbl_ResidentData[[#This Row],[S22]]=TRUE,Tbl_ResidentData[[#This Row],[P22]]=TRUE),1,0)</f>
        <v>0</v>
      </c>
      <c r="DK67" s="120">
        <f ca="1">IF(OR(Tbl_ResidentData[[#This Row],[S23]]=TRUE,Tbl_ResidentData[[#This Row],[P23]]=TRUE),1,0)</f>
        <v>0</v>
      </c>
      <c r="DL67" s="120">
        <f ca="1">IF(OR(Tbl_ResidentData[[#This Row],[S24]]=TRUE,Tbl_ResidentData[[#This Row],[P24]]=TRUE),1,0)</f>
        <v>0</v>
      </c>
      <c r="DM67" s="123" t="str">
        <f ca="1">IFERROR(INDEX($CO$4:$DL$4,MATCH(TRUE,INDEX((Tbl_ResidentData[[#This Row],[Over1]:[Over24]]&lt;&gt;0),0),0)),"")</f>
        <v/>
      </c>
      <c r="DN67" s="133" t="str">
        <f>IFERROR(INDEX(Tbl_PDSAData[Last DRT],MATCH(Tbl_ResidentData[Resident Name '[last, first']],Tbl_PDSAData[Resident Name (last, first)],0)),"")</f>
        <v/>
      </c>
      <c r="DO67" s="222" t="str">
        <f>IFERROR(INDEX(Tbl_PDSAData[Last MR],MATCH(Tbl_ResidentData[Resident Name '[last, first']],Tbl_PDSAData[Resident Name (last, first)],0)),"")</f>
        <v/>
      </c>
    </row>
    <row r="68" spans="1:119" x14ac:dyDescent="0.25">
      <c r="A68" s="179"/>
      <c r="B68" s="180"/>
      <c r="C68" s="180"/>
      <c r="D68" s="218"/>
      <c r="E68" s="179"/>
      <c r="F68" s="181"/>
      <c r="G68" s="181"/>
      <c r="H68" s="375"/>
      <c r="I68" s="185"/>
      <c r="J68" s="387"/>
      <c r="K68" s="178"/>
      <c r="L68" s="388"/>
      <c r="M68" s="185"/>
      <c r="N68" s="386"/>
      <c r="O68" s="178"/>
      <c r="P68" s="388"/>
      <c r="Q68" s="394"/>
      <c r="R68" s="388"/>
      <c r="S68" s="131" t="str">
        <f>IF(ISBLANK(Tbl_ResidentData[[#This Row],[Discharge '[mmm-yyyy']]]),IF(ISBLANK(Tbl_ResidentData[[#This Row],[Enrollment '[mmm-yyyy']]]),"","In Care Home"),"Discharged")</f>
        <v/>
      </c>
      <c r="T68" s="119" t="str">
        <f>IF(ISBLANK(Tbl_ResidentData[[#This Row],[Diagnosis (RAI)]]),IF(ISBLANK(Tbl_ResidentData[[#This Row],[Resident Name '[last, first']]]),"",0),IF(Tbl_ResidentData[[#This Row],[Diagnosis (RAI)]]="Other (see clinical notes)",0,1))</f>
        <v/>
      </c>
      <c r="U68" s="120" t="str">
        <f ca="1">IF(U$4&gt;NOW(),"-",IF(ISBLANK(Tbl_ResidentData[[#This Row],[Enrollment '[mmm-yyyy']]]),"-",AND((Tbl_ResidentData[[#This Row],[Enrollment '[mmm-yyyy']]]&lt;=U$4),IF(ISBLANK(Tbl_ResidentData[[#This Row],[Discharge '[mmm-yyyy']]]),TRUE,(Tbl_ResidentData[[#This Row],[Discharge '[mmm-yyyy']]]&gt;=U$4)))))</f>
        <v>-</v>
      </c>
      <c r="V68" s="121" t="str">
        <f ca="1">IF(V$4&gt;NOW(),"-",IF(ISBLANK(Tbl_ResidentData[[#This Row],[Enrollment '[mmm-yyyy']]]),"-",AND((Tbl_ResidentData[[#This Row],[Enrollment '[mmm-yyyy']]]&lt;=V$4),IF(ISBLANK(Tbl_ResidentData[[#This Row],[Discharge '[mmm-yyyy']]]),TRUE,(Tbl_ResidentData[[#This Row],[Discharge '[mmm-yyyy']]]&gt;=V$4)))))</f>
        <v>-</v>
      </c>
      <c r="W68" s="121" t="str">
        <f ca="1">IF(W$4&gt;NOW(),"-",IF(ISBLANK(Tbl_ResidentData[[#This Row],[Enrollment '[mmm-yyyy']]]),"-",AND((Tbl_ResidentData[[#This Row],[Enrollment '[mmm-yyyy']]]&lt;=W$4),IF(ISBLANK(Tbl_ResidentData[[#This Row],[Discharge '[mmm-yyyy']]]),TRUE,(Tbl_ResidentData[[#This Row],[Discharge '[mmm-yyyy']]]&gt;=W$4)))))</f>
        <v>-</v>
      </c>
      <c r="X68" s="121" t="str">
        <f ca="1">IF(X$4&gt;NOW(),"-",IF(ISBLANK(Tbl_ResidentData[[#This Row],[Enrollment '[mmm-yyyy']]]),"-",AND((Tbl_ResidentData[[#This Row],[Enrollment '[mmm-yyyy']]]&lt;=X$4),IF(ISBLANK(Tbl_ResidentData[[#This Row],[Discharge '[mmm-yyyy']]]),TRUE,(Tbl_ResidentData[[#This Row],[Discharge '[mmm-yyyy']]]&gt;=X$4)))))</f>
        <v>-</v>
      </c>
      <c r="Y68" s="121" t="str">
        <f ca="1">IF(Y$4&gt;NOW(),"-",IF(ISBLANK(Tbl_ResidentData[[#This Row],[Enrollment '[mmm-yyyy']]]),"-",AND((Tbl_ResidentData[[#This Row],[Enrollment '[mmm-yyyy']]]&lt;=Y$4),IF(ISBLANK(Tbl_ResidentData[[#This Row],[Discharge '[mmm-yyyy']]]),TRUE,(Tbl_ResidentData[[#This Row],[Discharge '[mmm-yyyy']]]&gt;=Y$4)))))</f>
        <v>-</v>
      </c>
      <c r="Z68" s="121" t="str">
        <f ca="1">IF(Z$4&gt;NOW(),"-",IF(ISBLANK(Tbl_ResidentData[[#This Row],[Enrollment '[mmm-yyyy']]]),"-",AND((Tbl_ResidentData[[#This Row],[Enrollment '[mmm-yyyy']]]&lt;=Z$4),IF(ISBLANK(Tbl_ResidentData[[#This Row],[Discharge '[mmm-yyyy']]]),TRUE,(Tbl_ResidentData[[#This Row],[Discharge '[mmm-yyyy']]]&gt;=Z$4)))))</f>
        <v>-</v>
      </c>
      <c r="AA68" s="121" t="str">
        <f ca="1">IF(AA$4&gt;NOW(),"-",IF(ISBLANK(Tbl_ResidentData[[#This Row],[Enrollment '[mmm-yyyy']]]),"-",AND((Tbl_ResidentData[[#This Row],[Enrollment '[mmm-yyyy']]]&lt;=AA$4),IF(ISBLANK(Tbl_ResidentData[[#This Row],[Discharge '[mmm-yyyy']]]),TRUE,(Tbl_ResidentData[[#This Row],[Discharge '[mmm-yyyy']]]&gt;=AA$4)))))</f>
        <v>-</v>
      </c>
      <c r="AB68" s="121" t="str">
        <f ca="1">IF(AB$4&gt;NOW(),"-",IF(ISBLANK(Tbl_ResidentData[[#This Row],[Enrollment '[mmm-yyyy']]]),"-",AND((Tbl_ResidentData[[#This Row],[Enrollment '[mmm-yyyy']]]&lt;=AB$4),IF(ISBLANK(Tbl_ResidentData[[#This Row],[Discharge '[mmm-yyyy']]]),TRUE,(Tbl_ResidentData[[#This Row],[Discharge '[mmm-yyyy']]]&gt;=AB$4)))))</f>
        <v>-</v>
      </c>
      <c r="AC68" s="121" t="str">
        <f ca="1">IF(AC$4&gt;NOW(),"-",IF(ISBLANK(Tbl_ResidentData[[#This Row],[Enrollment '[mmm-yyyy']]]),"-",AND((Tbl_ResidentData[[#This Row],[Enrollment '[mmm-yyyy']]]&lt;=AC$4),IF(ISBLANK(Tbl_ResidentData[[#This Row],[Discharge '[mmm-yyyy']]]),TRUE,(Tbl_ResidentData[[#This Row],[Discharge '[mmm-yyyy']]]&gt;=AC$4)))))</f>
        <v>-</v>
      </c>
      <c r="AD68" s="121" t="str">
        <f ca="1">IF(AD$4&gt;NOW(),"-",IF(ISBLANK(Tbl_ResidentData[[#This Row],[Enrollment '[mmm-yyyy']]]),"-",AND((Tbl_ResidentData[[#This Row],[Enrollment '[mmm-yyyy']]]&lt;=AD$4),IF(ISBLANK(Tbl_ResidentData[[#This Row],[Discharge '[mmm-yyyy']]]),TRUE,(Tbl_ResidentData[[#This Row],[Discharge '[mmm-yyyy']]]&gt;=AD$4)))))</f>
        <v>-</v>
      </c>
      <c r="AE68" s="121" t="str">
        <f ca="1">IF(AE$4&gt;NOW(),"-",IF(ISBLANK(Tbl_ResidentData[[#This Row],[Enrollment '[mmm-yyyy']]]),"-",AND((Tbl_ResidentData[[#This Row],[Enrollment '[mmm-yyyy']]]&lt;=AE$4),IF(ISBLANK(Tbl_ResidentData[[#This Row],[Discharge '[mmm-yyyy']]]),TRUE,(Tbl_ResidentData[[#This Row],[Discharge '[mmm-yyyy']]]&gt;=AE$4)))))</f>
        <v>-</v>
      </c>
      <c r="AF68" s="121" t="str">
        <f ca="1">IF(AF$4&gt;NOW(),"-",IF(ISBLANK(Tbl_ResidentData[[#This Row],[Enrollment '[mmm-yyyy']]]),"-",AND((Tbl_ResidentData[[#This Row],[Enrollment '[mmm-yyyy']]]&lt;=AF$4),IF(ISBLANK(Tbl_ResidentData[[#This Row],[Discharge '[mmm-yyyy']]]),TRUE,(Tbl_ResidentData[[#This Row],[Discharge '[mmm-yyyy']]]&gt;=AF$4)))))</f>
        <v>-</v>
      </c>
      <c r="AG68" s="121" t="str">
        <f ca="1">IF(AG$4&gt;NOW(),"-",IF(ISBLANK(Tbl_ResidentData[[#This Row],[Enrollment '[mmm-yyyy']]]),"-",AND((Tbl_ResidentData[[#This Row],[Enrollment '[mmm-yyyy']]]&lt;=AG$4),IF(ISBLANK(Tbl_ResidentData[[#This Row],[Discharge '[mmm-yyyy']]]),TRUE,(Tbl_ResidentData[[#This Row],[Discharge '[mmm-yyyy']]]&gt;=AG$4)))))</f>
        <v>-</v>
      </c>
      <c r="AH68" s="121" t="str">
        <f ca="1">IF(AH$4&gt;NOW(),"-",IF(ISBLANK(Tbl_ResidentData[[#This Row],[Enrollment '[mmm-yyyy']]]),"-",AND((Tbl_ResidentData[[#This Row],[Enrollment '[mmm-yyyy']]]&lt;=AH$4),IF(ISBLANK(Tbl_ResidentData[[#This Row],[Discharge '[mmm-yyyy']]]),TRUE,(Tbl_ResidentData[[#This Row],[Discharge '[mmm-yyyy']]]&gt;=AH$4)))))</f>
        <v>-</v>
      </c>
      <c r="AI68" s="121" t="str">
        <f ca="1">IF(AI$4&gt;NOW(),"-",IF(ISBLANK(Tbl_ResidentData[[#This Row],[Enrollment '[mmm-yyyy']]]),"-",AND((Tbl_ResidentData[[#This Row],[Enrollment '[mmm-yyyy']]]&lt;=AI$4),IF(ISBLANK(Tbl_ResidentData[[#This Row],[Discharge '[mmm-yyyy']]]),TRUE,(Tbl_ResidentData[[#This Row],[Discharge '[mmm-yyyy']]]&gt;=AI$4)))))</f>
        <v>-</v>
      </c>
      <c r="AJ68" s="121" t="str">
        <f ca="1">IF(AJ$4&gt;NOW(),"-",IF(ISBLANK(Tbl_ResidentData[[#This Row],[Enrollment '[mmm-yyyy']]]),"-",AND((Tbl_ResidentData[[#This Row],[Enrollment '[mmm-yyyy']]]&lt;=AJ$4),IF(ISBLANK(Tbl_ResidentData[[#This Row],[Discharge '[mmm-yyyy']]]),TRUE,(Tbl_ResidentData[[#This Row],[Discharge '[mmm-yyyy']]]&gt;=AJ$4)))))</f>
        <v>-</v>
      </c>
      <c r="AK68" s="121" t="str">
        <f ca="1">IF(AK$4&gt;NOW(),"-",IF(ISBLANK(Tbl_ResidentData[[#This Row],[Enrollment '[mmm-yyyy']]]),"-",AND((Tbl_ResidentData[[#This Row],[Enrollment '[mmm-yyyy']]]&lt;=AK$4),IF(ISBLANK(Tbl_ResidentData[[#This Row],[Discharge '[mmm-yyyy']]]),TRUE,(Tbl_ResidentData[[#This Row],[Discharge '[mmm-yyyy']]]&gt;=AK$4)))))</f>
        <v>-</v>
      </c>
      <c r="AL68" s="121" t="str">
        <f ca="1">IF(AL$4&gt;NOW(),"-",IF(ISBLANK(Tbl_ResidentData[[#This Row],[Enrollment '[mmm-yyyy']]]),"-",AND((Tbl_ResidentData[[#This Row],[Enrollment '[mmm-yyyy']]]&lt;=AL$4),IF(ISBLANK(Tbl_ResidentData[[#This Row],[Discharge '[mmm-yyyy']]]),TRUE,(Tbl_ResidentData[[#This Row],[Discharge '[mmm-yyyy']]]&gt;=AL$4)))))</f>
        <v>-</v>
      </c>
      <c r="AM68" s="121" t="str">
        <f ca="1">IF(AM$4&gt;NOW(),"-",IF(ISBLANK(Tbl_ResidentData[[#This Row],[Enrollment '[mmm-yyyy']]]),"-",AND((Tbl_ResidentData[[#This Row],[Enrollment '[mmm-yyyy']]]&lt;=AM$4),IF(ISBLANK(Tbl_ResidentData[[#This Row],[Discharge '[mmm-yyyy']]]),TRUE,(Tbl_ResidentData[[#This Row],[Discharge '[mmm-yyyy']]]&gt;=AM$4)))))</f>
        <v>-</v>
      </c>
      <c r="AN68" s="121" t="str">
        <f ca="1">IF(AN$4&gt;NOW(),"-",IF(ISBLANK(Tbl_ResidentData[[#This Row],[Enrollment '[mmm-yyyy']]]),"-",AND((Tbl_ResidentData[[#This Row],[Enrollment '[mmm-yyyy']]]&lt;=AN$4),IF(ISBLANK(Tbl_ResidentData[[#This Row],[Discharge '[mmm-yyyy']]]),TRUE,(Tbl_ResidentData[[#This Row],[Discharge '[mmm-yyyy']]]&gt;=AN$4)))))</f>
        <v>-</v>
      </c>
      <c r="AO68" s="121" t="str">
        <f ca="1">IF(AO$4&gt;NOW(),"-",IF(ISBLANK(Tbl_ResidentData[[#This Row],[Enrollment '[mmm-yyyy']]]),"-",AND((Tbl_ResidentData[[#This Row],[Enrollment '[mmm-yyyy']]]&lt;=AO$4),IF(ISBLANK(Tbl_ResidentData[[#This Row],[Discharge '[mmm-yyyy']]]),TRUE,(Tbl_ResidentData[[#This Row],[Discharge '[mmm-yyyy']]]&gt;=AO$4)))))</f>
        <v>-</v>
      </c>
      <c r="AP68" s="121" t="str">
        <f ca="1">IF(AP$4&gt;NOW(),"-",IF(ISBLANK(Tbl_ResidentData[[#This Row],[Enrollment '[mmm-yyyy']]]),"-",AND((Tbl_ResidentData[[#This Row],[Enrollment '[mmm-yyyy']]]&lt;=AP$4),IF(ISBLANK(Tbl_ResidentData[[#This Row],[Discharge '[mmm-yyyy']]]),TRUE,(Tbl_ResidentData[[#This Row],[Discharge '[mmm-yyyy']]]&gt;=AP$4)))))</f>
        <v>-</v>
      </c>
      <c r="AQ68" s="121" t="str">
        <f ca="1">IF(AQ$4&gt;NOW(),"-",IF(ISBLANK(Tbl_ResidentData[[#This Row],[Enrollment '[mmm-yyyy']]]),"-",AND((Tbl_ResidentData[[#This Row],[Enrollment '[mmm-yyyy']]]&lt;=AQ$4),IF(ISBLANK(Tbl_ResidentData[[#This Row],[Discharge '[mmm-yyyy']]]),TRUE,(Tbl_ResidentData[[#This Row],[Discharge '[mmm-yyyy']]]&gt;=AQ$4)))))</f>
        <v>-</v>
      </c>
      <c r="AR68" s="122" t="str">
        <f ca="1">IF(AR$4&gt;NOW(),"-",IF(ISBLANK(Tbl_ResidentData[[#This Row],[Enrollment '[mmm-yyyy']]]),"-",AND((Tbl_ResidentData[[#This Row],[Enrollment '[mmm-yyyy']]]&lt;=AR$4),IF(ISBLANK(Tbl_ResidentData[[#This Row],[Discharge '[mmm-yyyy']]]),TRUE,(Tbl_ResidentData[[#This Row],[Discharge '[mmm-yyyy']]]&gt;=AR$4)))))</f>
        <v>-</v>
      </c>
      <c r="AS6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8" s="120" t="b">
        <f ca="1">AND(Tbl_ResidentData[[#This Row],[PRN Med Started]]&lt;&gt;"",Tbl_ResidentData[[#This Row],[PRN Med Started]]&lt;=NOW(),Tbl_ResidentData[[#This Row],[PRN Med Started]]&lt;=AS$4,OR(Tbl_ResidentData[[#This Row],[PRN Med Discontinued]]&gt;AS$4,ISBLANK(Tbl_ResidentData[[#This Row],[PRN Med Discontinued]])))</f>
        <v>0</v>
      </c>
      <c r="BR68" s="121" t="b">
        <f ca="1">AND(Tbl_ResidentData[[#This Row],[PRN Med Started]]&lt;&gt;"",Tbl_ResidentData[[#This Row],[PRN Med Started]]&lt;=NOW(),Tbl_ResidentData[[#This Row],[PRN Med Started]]&lt;=AT$4,OR(Tbl_ResidentData[[#This Row],[PRN Med Discontinued]]&gt;AT$4,ISBLANK(Tbl_ResidentData[[#This Row],[PRN Med Discontinued]])))</f>
        <v>0</v>
      </c>
      <c r="BS68" s="121" t="b">
        <f ca="1">AND(Tbl_ResidentData[[#This Row],[PRN Med Started]]&lt;&gt;"",Tbl_ResidentData[[#This Row],[PRN Med Started]]&lt;=NOW(),Tbl_ResidentData[[#This Row],[PRN Med Started]]&lt;=AU$4,OR(Tbl_ResidentData[[#This Row],[PRN Med Discontinued]]&gt;AU$4,ISBLANK(Tbl_ResidentData[[#This Row],[PRN Med Discontinued]])))</f>
        <v>0</v>
      </c>
      <c r="BT68" s="121" t="b">
        <f ca="1">AND(Tbl_ResidentData[[#This Row],[PRN Med Started]]&lt;&gt;"",Tbl_ResidentData[[#This Row],[PRN Med Started]]&lt;=NOW(),Tbl_ResidentData[[#This Row],[PRN Med Started]]&lt;=AV$4,OR(Tbl_ResidentData[[#This Row],[PRN Med Discontinued]]&gt;AV$4,ISBLANK(Tbl_ResidentData[[#This Row],[PRN Med Discontinued]])))</f>
        <v>0</v>
      </c>
      <c r="BU68" s="121" t="b">
        <f ca="1">AND(Tbl_ResidentData[[#This Row],[PRN Med Started]]&lt;&gt;"",Tbl_ResidentData[[#This Row],[PRN Med Started]]&lt;=NOW(),Tbl_ResidentData[[#This Row],[PRN Med Started]]&lt;=AW$4,OR(Tbl_ResidentData[[#This Row],[PRN Med Discontinued]]&gt;AW$4,ISBLANK(Tbl_ResidentData[[#This Row],[PRN Med Discontinued]])))</f>
        <v>0</v>
      </c>
      <c r="BV68" s="121" t="b">
        <f ca="1">AND(Tbl_ResidentData[[#This Row],[PRN Med Started]]&lt;&gt;"",Tbl_ResidentData[[#This Row],[PRN Med Started]]&lt;=NOW(),Tbl_ResidentData[[#This Row],[PRN Med Started]]&lt;=AX$4,OR(Tbl_ResidentData[[#This Row],[PRN Med Discontinued]]&gt;AX$4,ISBLANK(Tbl_ResidentData[[#This Row],[PRN Med Discontinued]])))</f>
        <v>0</v>
      </c>
      <c r="BW68" s="121" t="b">
        <f ca="1">AND(Tbl_ResidentData[[#This Row],[PRN Med Started]]&lt;&gt;"",Tbl_ResidentData[[#This Row],[PRN Med Started]]&lt;=NOW(),Tbl_ResidentData[[#This Row],[PRN Med Started]]&lt;=AY$4,OR(Tbl_ResidentData[[#This Row],[PRN Med Discontinued]]&gt;AY$4,ISBLANK(Tbl_ResidentData[[#This Row],[PRN Med Discontinued]])))</f>
        <v>0</v>
      </c>
      <c r="BX68" s="121" t="b">
        <f ca="1">AND(Tbl_ResidentData[[#This Row],[PRN Med Started]]&lt;&gt;"",Tbl_ResidentData[[#This Row],[PRN Med Started]]&lt;=NOW(),Tbl_ResidentData[[#This Row],[PRN Med Started]]&lt;=AZ$4,OR(Tbl_ResidentData[[#This Row],[PRN Med Discontinued]]&gt;AZ$4,ISBLANK(Tbl_ResidentData[[#This Row],[PRN Med Discontinued]])))</f>
        <v>0</v>
      </c>
      <c r="BY68" s="121" t="b">
        <f ca="1">AND(Tbl_ResidentData[[#This Row],[PRN Med Started]]&lt;&gt;"",Tbl_ResidentData[[#This Row],[PRN Med Started]]&lt;=NOW(),Tbl_ResidentData[[#This Row],[PRN Med Started]]&lt;=BA$4,OR(Tbl_ResidentData[[#This Row],[PRN Med Discontinued]]&gt;BA$4,ISBLANK(Tbl_ResidentData[[#This Row],[PRN Med Discontinued]])))</f>
        <v>0</v>
      </c>
      <c r="BZ68" s="121" t="b">
        <f ca="1">AND(Tbl_ResidentData[[#This Row],[PRN Med Started]]&lt;&gt;"",Tbl_ResidentData[[#This Row],[PRN Med Started]]&lt;=NOW(),Tbl_ResidentData[[#This Row],[PRN Med Started]]&lt;=BB$4,OR(Tbl_ResidentData[[#This Row],[PRN Med Discontinued]]&gt;BB$4,ISBLANK(Tbl_ResidentData[[#This Row],[PRN Med Discontinued]])))</f>
        <v>0</v>
      </c>
      <c r="CA68" s="121" t="b">
        <f ca="1">AND(Tbl_ResidentData[[#This Row],[PRN Med Started]]&lt;&gt;"",Tbl_ResidentData[[#This Row],[PRN Med Started]]&lt;=NOW(),Tbl_ResidentData[[#This Row],[PRN Med Started]]&lt;=BC$4,OR(Tbl_ResidentData[[#This Row],[PRN Med Discontinued]]&gt;BC$4,ISBLANK(Tbl_ResidentData[[#This Row],[PRN Med Discontinued]])))</f>
        <v>0</v>
      </c>
      <c r="CB68" s="121" t="b">
        <f ca="1">AND(Tbl_ResidentData[[#This Row],[PRN Med Started]]&lt;&gt;"",Tbl_ResidentData[[#This Row],[PRN Med Started]]&lt;=NOW(),Tbl_ResidentData[[#This Row],[PRN Med Started]]&lt;=BD$4,OR(Tbl_ResidentData[[#This Row],[PRN Med Discontinued]]&gt;BD$4,ISBLANK(Tbl_ResidentData[[#This Row],[PRN Med Discontinued]])))</f>
        <v>0</v>
      </c>
      <c r="CC68" s="121" t="b">
        <f ca="1">AND(Tbl_ResidentData[[#This Row],[PRN Med Started]]&lt;&gt;"",Tbl_ResidentData[[#This Row],[PRN Med Started]]&lt;=NOW(),Tbl_ResidentData[[#This Row],[PRN Med Started]]&lt;=BE$4,OR(Tbl_ResidentData[[#This Row],[PRN Med Discontinued]]&gt;BE$4,ISBLANK(Tbl_ResidentData[[#This Row],[PRN Med Discontinued]])))</f>
        <v>0</v>
      </c>
      <c r="CD68" s="121" t="b">
        <f ca="1">AND(Tbl_ResidentData[[#This Row],[PRN Med Started]]&lt;&gt;"",Tbl_ResidentData[[#This Row],[PRN Med Started]]&lt;=NOW(),Tbl_ResidentData[[#This Row],[PRN Med Started]]&lt;=BF$4,OR(Tbl_ResidentData[[#This Row],[PRN Med Discontinued]]&gt;BF$4,ISBLANK(Tbl_ResidentData[[#This Row],[PRN Med Discontinued]])))</f>
        <v>0</v>
      </c>
      <c r="CE68" s="121" t="b">
        <f ca="1">AND(Tbl_ResidentData[[#This Row],[PRN Med Started]]&lt;&gt;"",Tbl_ResidentData[[#This Row],[PRN Med Started]]&lt;=NOW(),Tbl_ResidentData[[#This Row],[PRN Med Started]]&lt;=BG$4,OR(Tbl_ResidentData[[#This Row],[PRN Med Discontinued]]&gt;BG$4,ISBLANK(Tbl_ResidentData[[#This Row],[PRN Med Discontinued]])))</f>
        <v>0</v>
      </c>
      <c r="CF68" s="121" t="b">
        <f ca="1">AND(Tbl_ResidentData[[#This Row],[PRN Med Started]]&lt;&gt;"",Tbl_ResidentData[[#This Row],[PRN Med Started]]&lt;=NOW(),Tbl_ResidentData[[#This Row],[PRN Med Started]]&lt;=BH$4,OR(Tbl_ResidentData[[#This Row],[PRN Med Discontinued]]&gt;BH$4,ISBLANK(Tbl_ResidentData[[#This Row],[PRN Med Discontinued]])))</f>
        <v>0</v>
      </c>
      <c r="CG68" s="121" t="b">
        <f ca="1">AND(Tbl_ResidentData[[#This Row],[PRN Med Started]]&lt;&gt;"",Tbl_ResidentData[[#This Row],[PRN Med Started]]&lt;=NOW(),Tbl_ResidentData[[#This Row],[PRN Med Started]]&lt;=BI$4,OR(Tbl_ResidentData[[#This Row],[PRN Med Discontinued]]&gt;BI$4,ISBLANK(Tbl_ResidentData[[#This Row],[PRN Med Discontinued]])))</f>
        <v>0</v>
      </c>
      <c r="CH68" s="121" t="b">
        <f ca="1">AND(Tbl_ResidentData[[#This Row],[PRN Med Started]]&lt;&gt;"",Tbl_ResidentData[[#This Row],[PRN Med Started]]&lt;=NOW(),Tbl_ResidentData[[#This Row],[PRN Med Started]]&lt;=BJ$4,OR(Tbl_ResidentData[[#This Row],[PRN Med Discontinued]]&gt;BJ$4,ISBLANK(Tbl_ResidentData[[#This Row],[PRN Med Discontinued]])))</f>
        <v>0</v>
      </c>
      <c r="CI68" s="121" t="b">
        <f ca="1">AND(Tbl_ResidentData[[#This Row],[PRN Med Started]]&lt;&gt;"",Tbl_ResidentData[[#This Row],[PRN Med Started]]&lt;=NOW(),Tbl_ResidentData[[#This Row],[PRN Med Started]]&lt;=BK$4,OR(Tbl_ResidentData[[#This Row],[PRN Med Discontinued]]&gt;BK$4,ISBLANK(Tbl_ResidentData[[#This Row],[PRN Med Discontinued]])))</f>
        <v>0</v>
      </c>
      <c r="CJ68" s="121" t="b">
        <f ca="1">AND(Tbl_ResidentData[[#This Row],[PRN Med Started]]&lt;&gt;"",Tbl_ResidentData[[#This Row],[PRN Med Started]]&lt;=NOW(),Tbl_ResidentData[[#This Row],[PRN Med Started]]&lt;=BL$4,OR(Tbl_ResidentData[[#This Row],[PRN Med Discontinued]]&gt;BL$4,ISBLANK(Tbl_ResidentData[[#This Row],[PRN Med Discontinued]])))</f>
        <v>0</v>
      </c>
      <c r="CK68" s="121" t="b">
        <f ca="1">AND(Tbl_ResidentData[[#This Row],[PRN Med Started]]&lt;&gt;"",Tbl_ResidentData[[#This Row],[PRN Med Started]]&lt;=NOW(),Tbl_ResidentData[[#This Row],[PRN Med Started]]&lt;=BM$4,OR(Tbl_ResidentData[[#This Row],[PRN Med Discontinued]]&gt;BM$4,ISBLANK(Tbl_ResidentData[[#This Row],[PRN Med Discontinued]])))</f>
        <v>0</v>
      </c>
      <c r="CL68" s="121" t="b">
        <f ca="1">AND(Tbl_ResidentData[[#This Row],[PRN Med Started]]&lt;&gt;"",Tbl_ResidentData[[#This Row],[PRN Med Started]]&lt;=NOW(),Tbl_ResidentData[[#This Row],[PRN Med Started]]&lt;=BN$4,OR(Tbl_ResidentData[[#This Row],[PRN Med Discontinued]]&gt;BN$4,ISBLANK(Tbl_ResidentData[[#This Row],[PRN Med Discontinued]])))</f>
        <v>0</v>
      </c>
      <c r="CM68" s="121" t="b">
        <f ca="1">AND(Tbl_ResidentData[[#This Row],[PRN Med Started]]&lt;&gt;"",Tbl_ResidentData[[#This Row],[PRN Med Started]]&lt;=NOW(),Tbl_ResidentData[[#This Row],[PRN Med Started]]&lt;=BO$4,OR(Tbl_ResidentData[[#This Row],[PRN Med Discontinued]]&gt;BO$4,ISBLANK(Tbl_ResidentData[[#This Row],[PRN Med Discontinued]])))</f>
        <v>0</v>
      </c>
      <c r="CN68" s="122" t="b">
        <f ca="1">AND(Tbl_ResidentData[[#This Row],[PRN Med Started]]&lt;&gt;"",Tbl_ResidentData[[#This Row],[PRN Med Started]]&lt;=NOW(),Tbl_ResidentData[[#This Row],[PRN Med Started]]&lt;=BP$4,OR(Tbl_ResidentData[[#This Row],[PRN Med Discontinued]]&gt;BP$4,ISBLANK(Tbl_ResidentData[[#This Row],[PRN Med Discontinued]])))</f>
        <v>0</v>
      </c>
      <c r="CO68" s="120">
        <f ca="1">IF(OR(Tbl_ResidentData[[#This Row],[S1]]=TRUE,Tbl_ResidentData[[#This Row],[P1]]=TRUE),1,0)</f>
        <v>0</v>
      </c>
      <c r="CP68" s="121">
        <f ca="1">IF(OR(Tbl_ResidentData[[#This Row],[S2]]=TRUE,Tbl_ResidentData[[#This Row],[P2]]=TRUE),1,0)</f>
        <v>0</v>
      </c>
      <c r="CQ68" s="121">
        <f ca="1">IF(OR(Tbl_ResidentData[[#This Row],[S3]]=TRUE,Tbl_ResidentData[[#This Row],[P3]]=TRUE),1,0)</f>
        <v>0</v>
      </c>
      <c r="CR68" s="120">
        <f ca="1">IF(OR(Tbl_ResidentData[[#This Row],[S4]]=TRUE,Tbl_ResidentData[[#This Row],[P4]]=TRUE),1,0)</f>
        <v>0</v>
      </c>
      <c r="CS68" s="120">
        <f ca="1">IF(OR(Tbl_ResidentData[[#This Row],[S5]]=TRUE,Tbl_ResidentData[[#This Row],[P5]]=TRUE),1,0)</f>
        <v>0</v>
      </c>
      <c r="CT68" s="120">
        <f ca="1">IF(OR(Tbl_ResidentData[[#This Row],[S6]]=TRUE,Tbl_ResidentData[[#This Row],[P6]]=TRUE),1,0)</f>
        <v>0</v>
      </c>
      <c r="CU68" s="120">
        <f ca="1">IF(OR(Tbl_ResidentData[[#This Row],[S7]]=TRUE,Tbl_ResidentData[[#This Row],[P7]]=TRUE),1,0)</f>
        <v>0</v>
      </c>
      <c r="CV68" s="120">
        <f ca="1">IF(OR(Tbl_ResidentData[[#This Row],[S8]]=TRUE,Tbl_ResidentData[[#This Row],[P8]]=TRUE),1,0)</f>
        <v>0</v>
      </c>
      <c r="CW68" s="120">
        <f ca="1">IF(OR(Tbl_ResidentData[[#This Row],[S9]]=TRUE,Tbl_ResidentData[[#This Row],[P9]]=TRUE),1,0)</f>
        <v>0</v>
      </c>
      <c r="CX68" s="120">
        <f ca="1">IF(OR(Tbl_ResidentData[[#This Row],[S10]]=TRUE,Tbl_ResidentData[[#This Row],[P10]]=TRUE),1,0)</f>
        <v>0</v>
      </c>
      <c r="CY68" s="120">
        <f ca="1">IF(OR(Tbl_ResidentData[[#This Row],[S11]]=TRUE,Tbl_ResidentData[[#This Row],[P11]]=TRUE),1,0)</f>
        <v>0</v>
      </c>
      <c r="CZ68" s="120">
        <f ca="1">IF(OR(Tbl_ResidentData[[#This Row],[S12]]=TRUE,Tbl_ResidentData[[#This Row],[P12]]=TRUE),1,0)</f>
        <v>0</v>
      </c>
      <c r="DA68" s="120">
        <f ca="1">IF(OR(Tbl_ResidentData[[#This Row],[S13]]=TRUE,Tbl_ResidentData[[#This Row],[P13]]=TRUE),1,0)</f>
        <v>0</v>
      </c>
      <c r="DB68" s="120">
        <f ca="1">IF(OR(Tbl_ResidentData[[#This Row],[S14]]=TRUE,Tbl_ResidentData[[#This Row],[P14]]=TRUE),1,0)</f>
        <v>0</v>
      </c>
      <c r="DC68" s="120">
        <f ca="1">IF(OR(Tbl_ResidentData[[#This Row],[S15]]=TRUE,Tbl_ResidentData[[#This Row],[P15]]=TRUE),1,0)</f>
        <v>0</v>
      </c>
      <c r="DD68" s="120">
        <f ca="1">IF(OR(Tbl_ResidentData[[#This Row],[S16]]=TRUE,Tbl_ResidentData[[#This Row],[P16]]=TRUE),1,0)</f>
        <v>0</v>
      </c>
      <c r="DE68" s="120">
        <f ca="1">IF(OR(Tbl_ResidentData[[#This Row],[S17]]=TRUE,Tbl_ResidentData[[#This Row],[P17]]=TRUE),1,0)</f>
        <v>0</v>
      </c>
      <c r="DF68" s="120">
        <f ca="1">IF(OR(Tbl_ResidentData[[#This Row],[S18]]=TRUE,Tbl_ResidentData[[#This Row],[P18]]=TRUE),1,0)</f>
        <v>0</v>
      </c>
      <c r="DG68" s="120">
        <f ca="1">IF(OR(Tbl_ResidentData[[#This Row],[S19]]=TRUE,Tbl_ResidentData[[#This Row],[P19]]=TRUE),1,0)</f>
        <v>0</v>
      </c>
      <c r="DH68" s="120">
        <f ca="1">IF(OR(Tbl_ResidentData[[#This Row],[S20]]=TRUE,Tbl_ResidentData[[#This Row],[P20]]=TRUE),1,0)</f>
        <v>0</v>
      </c>
      <c r="DI68" s="120">
        <f ca="1">IF(OR(Tbl_ResidentData[[#This Row],[S21]]=TRUE,Tbl_ResidentData[[#This Row],[P21]]=TRUE),1,0)</f>
        <v>0</v>
      </c>
      <c r="DJ68" s="120">
        <f ca="1">IF(OR(Tbl_ResidentData[[#This Row],[S22]]=TRUE,Tbl_ResidentData[[#This Row],[P22]]=TRUE),1,0)</f>
        <v>0</v>
      </c>
      <c r="DK68" s="120">
        <f ca="1">IF(OR(Tbl_ResidentData[[#This Row],[S23]]=TRUE,Tbl_ResidentData[[#This Row],[P23]]=TRUE),1,0)</f>
        <v>0</v>
      </c>
      <c r="DL68" s="120">
        <f ca="1">IF(OR(Tbl_ResidentData[[#This Row],[S24]]=TRUE,Tbl_ResidentData[[#This Row],[P24]]=TRUE),1,0)</f>
        <v>0</v>
      </c>
      <c r="DM68" s="123" t="str">
        <f ca="1">IFERROR(INDEX($CO$4:$DL$4,MATCH(TRUE,INDEX((Tbl_ResidentData[[#This Row],[Over1]:[Over24]]&lt;&gt;0),0),0)),"")</f>
        <v/>
      </c>
      <c r="DN68" s="133" t="str">
        <f>IFERROR(INDEX(Tbl_PDSAData[Last DRT],MATCH(Tbl_ResidentData[Resident Name '[last, first']],Tbl_PDSAData[Resident Name (last, first)],0)),"")</f>
        <v/>
      </c>
      <c r="DO68" s="222" t="str">
        <f>IFERROR(INDEX(Tbl_PDSAData[Last MR],MATCH(Tbl_ResidentData[Resident Name '[last, first']],Tbl_PDSAData[Resident Name (last, first)],0)),"")</f>
        <v/>
      </c>
    </row>
    <row r="69" spans="1:119" x14ac:dyDescent="0.25">
      <c r="A69" s="179"/>
      <c r="B69" s="180"/>
      <c r="C69" s="180"/>
      <c r="D69" s="218"/>
      <c r="E69" s="179"/>
      <c r="F69" s="181"/>
      <c r="G69" s="181"/>
      <c r="H69" s="182"/>
      <c r="I69" s="185"/>
      <c r="J69" s="387"/>
      <c r="K69" s="178"/>
      <c r="L69" s="388"/>
      <c r="M69" s="185"/>
      <c r="N69" s="386"/>
      <c r="O69" s="178"/>
      <c r="P69" s="388"/>
      <c r="Q69" s="395"/>
      <c r="R69" s="396"/>
      <c r="S69" s="131" t="str">
        <f>IF(ISBLANK(Tbl_ResidentData[[#This Row],[Discharge '[mmm-yyyy']]]),IF(ISBLANK(Tbl_ResidentData[[#This Row],[Enrollment '[mmm-yyyy']]]),"","In Care Home"),"Discharged")</f>
        <v/>
      </c>
      <c r="T69" s="119" t="str">
        <f>IF(ISBLANK(Tbl_ResidentData[[#This Row],[Diagnosis (RAI)]]),IF(ISBLANK(Tbl_ResidentData[[#This Row],[Resident Name '[last, first']]]),"",0),IF(Tbl_ResidentData[[#This Row],[Diagnosis (RAI)]]="Other (see clinical notes)",0,1))</f>
        <v/>
      </c>
      <c r="U69" s="120" t="str">
        <f ca="1">IF(U$4&gt;NOW(),"-",IF(ISBLANK(Tbl_ResidentData[[#This Row],[Enrollment '[mmm-yyyy']]]),"-",AND((Tbl_ResidentData[[#This Row],[Enrollment '[mmm-yyyy']]]&lt;=U$4),IF(ISBLANK(Tbl_ResidentData[[#This Row],[Discharge '[mmm-yyyy']]]),TRUE,(Tbl_ResidentData[[#This Row],[Discharge '[mmm-yyyy']]]&gt;=U$4)))))</f>
        <v>-</v>
      </c>
      <c r="V69" s="121" t="str">
        <f ca="1">IF(V$4&gt;NOW(),"-",IF(ISBLANK(Tbl_ResidentData[[#This Row],[Enrollment '[mmm-yyyy']]]),"-",AND((Tbl_ResidentData[[#This Row],[Enrollment '[mmm-yyyy']]]&lt;=V$4),IF(ISBLANK(Tbl_ResidentData[[#This Row],[Discharge '[mmm-yyyy']]]),TRUE,(Tbl_ResidentData[[#This Row],[Discharge '[mmm-yyyy']]]&gt;=V$4)))))</f>
        <v>-</v>
      </c>
      <c r="W69" s="121" t="str">
        <f ca="1">IF(W$4&gt;NOW(),"-",IF(ISBLANK(Tbl_ResidentData[[#This Row],[Enrollment '[mmm-yyyy']]]),"-",AND((Tbl_ResidentData[[#This Row],[Enrollment '[mmm-yyyy']]]&lt;=W$4),IF(ISBLANK(Tbl_ResidentData[[#This Row],[Discharge '[mmm-yyyy']]]),TRUE,(Tbl_ResidentData[[#This Row],[Discharge '[mmm-yyyy']]]&gt;=W$4)))))</f>
        <v>-</v>
      </c>
      <c r="X69" s="121" t="str">
        <f ca="1">IF(X$4&gt;NOW(),"-",IF(ISBLANK(Tbl_ResidentData[[#This Row],[Enrollment '[mmm-yyyy']]]),"-",AND((Tbl_ResidentData[[#This Row],[Enrollment '[mmm-yyyy']]]&lt;=X$4),IF(ISBLANK(Tbl_ResidentData[[#This Row],[Discharge '[mmm-yyyy']]]),TRUE,(Tbl_ResidentData[[#This Row],[Discharge '[mmm-yyyy']]]&gt;=X$4)))))</f>
        <v>-</v>
      </c>
      <c r="Y69" s="121" t="str">
        <f ca="1">IF(Y$4&gt;NOW(),"-",IF(ISBLANK(Tbl_ResidentData[[#This Row],[Enrollment '[mmm-yyyy']]]),"-",AND((Tbl_ResidentData[[#This Row],[Enrollment '[mmm-yyyy']]]&lt;=Y$4),IF(ISBLANK(Tbl_ResidentData[[#This Row],[Discharge '[mmm-yyyy']]]),TRUE,(Tbl_ResidentData[[#This Row],[Discharge '[mmm-yyyy']]]&gt;=Y$4)))))</f>
        <v>-</v>
      </c>
      <c r="Z69" s="121" t="str">
        <f ca="1">IF(Z$4&gt;NOW(),"-",IF(ISBLANK(Tbl_ResidentData[[#This Row],[Enrollment '[mmm-yyyy']]]),"-",AND((Tbl_ResidentData[[#This Row],[Enrollment '[mmm-yyyy']]]&lt;=Z$4),IF(ISBLANK(Tbl_ResidentData[[#This Row],[Discharge '[mmm-yyyy']]]),TRUE,(Tbl_ResidentData[[#This Row],[Discharge '[mmm-yyyy']]]&gt;=Z$4)))))</f>
        <v>-</v>
      </c>
      <c r="AA69" s="121" t="str">
        <f ca="1">IF(AA$4&gt;NOW(),"-",IF(ISBLANK(Tbl_ResidentData[[#This Row],[Enrollment '[mmm-yyyy']]]),"-",AND((Tbl_ResidentData[[#This Row],[Enrollment '[mmm-yyyy']]]&lt;=AA$4),IF(ISBLANK(Tbl_ResidentData[[#This Row],[Discharge '[mmm-yyyy']]]),TRUE,(Tbl_ResidentData[[#This Row],[Discharge '[mmm-yyyy']]]&gt;=AA$4)))))</f>
        <v>-</v>
      </c>
      <c r="AB69" s="121" t="str">
        <f ca="1">IF(AB$4&gt;NOW(),"-",IF(ISBLANK(Tbl_ResidentData[[#This Row],[Enrollment '[mmm-yyyy']]]),"-",AND((Tbl_ResidentData[[#This Row],[Enrollment '[mmm-yyyy']]]&lt;=AB$4),IF(ISBLANK(Tbl_ResidentData[[#This Row],[Discharge '[mmm-yyyy']]]),TRUE,(Tbl_ResidentData[[#This Row],[Discharge '[mmm-yyyy']]]&gt;=AB$4)))))</f>
        <v>-</v>
      </c>
      <c r="AC69" s="121" t="str">
        <f ca="1">IF(AC$4&gt;NOW(),"-",IF(ISBLANK(Tbl_ResidentData[[#This Row],[Enrollment '[mmm-yyyy']]]),"-",AND((Tbl_ResidentData[[#This Row],[Enrollment '[mmm-yyyy']]]&lt;=AC$4),IF(ISBLANK(Tbl_ResidentData[[#This Row],[Discharge '[mmm-yyyy']]]),TRUE,(Tbl_ResidentData[[#This Row],[Discharge '[mmm-yyyy']]]&gt;=AC$4)))))</f>
        <v>-</v>
      </c>
      <c r="AD69" s="121" t="str">
        <f ca="1">IF(AD$4&gt;NOW(),"-",IF(ISBLANK(Tbl_ResidentData[[#This Row],[Enrollment '[mmm-yyyy']]]),"-",AND((Tbl_ResidentData[[#This Row],[Enrollment '[mmm-yyyy']]]&lt;=AD$4),IF(ISBLANK(Tbl_ResidentData[[#This Row],[Discharge '[mmm-yyyy']]]),TRUE,(Tbl_ResidentData[[#This Row],[Discharge '[mmm-yyyy']]]&gt;=AD$4)))))</f>
        <v>-</v>
      </c>
      <c r="AE69" s="121" t="str">
        <f ca="1">IF(AE$4&gt;NOW(),"-",IF(ISBLANK(Tbl_ResidentData[[#This Row],[Enrollment '[mmm-yyyy']]]),"-",AND((Tbl_ResidentData[[#This Row],[Enrollment '[mmm-yyyy']]]&lt;=AE$4),IF(ISBLANK(Tbl_ResidentData[[#This Row],[Discharge '[mmm-yyyy']]]),TRUE,(Tbl_ResidentData[[#This Row],[Discharge '[mmm-yyyy']]]&gt;=AE$4)))))</f>
        <v>-</v>
      </c>
      <c r="AF69" s="121" t="str">
        <f ca="1">IF(AF$4&gt;NOW(),"-",IF(ISBLANK(Tbl_ResidentData[[#This Row],[Enrollment '[mmm-yyyy']]]),"-",AND((Tbl_ResidentData[[#This Row],[Enrollment '[mmm-yyyy']]]&lt;=AF$4),IF(ISBLANK(Tbl_ResidentData[[#This Row],[Discharge '[mmm-yyyy']]]),TRUE,(Tbl_ResidentData[[#This Row],[Discharge '[mmm-yyyy']]]&gt;=AF$4)))))</f>
        <v>-</v>
      </c>
      <c r="AG69" s="121" t="str">
        <f ca="1">IF(AG$4&gt;NOW(),"-",IF(ISBLANK(Tbl_ResidentData[[#This Row],[Enrollment '[mmm-yyyy']]]),"-",AND((Tbl_ResidentData[[#This Row],[Enrollment '[mmm-yyyy']]]&lt;=AG$4),IF(ISBLANK(Tbl_ResidentData[[#This Row],[Discharge '[mmm-yyyy']]]),TRUE,(Tbl_ResidentData[[#This Row],[Discharge '[mmm-yyyy']]]&gt;=AG$4)))))</f>
        <v>-</v>
      </c>
      <c r="AH69" s="121" t="str">
        <f ca="1">IF(AH$4&gt;NOW(),"-",IF(ISBLANK(Tbl_ResidentData[[#This Row],[Enrollment '[mmm-yyyy']]]),"-",AND((Tbl_ResidentData[[#This Row],[Enrollment '[mmm-yyyy']]]&lt;=AH$4),IF(ISBLANK(Tbl_ResidentData[[#This Row],[Discharge '[mmm-yyyy']]]),TRUE,(Tbl_ResidentData[[#This Row],[Discharge '[mmm-yyyy']]]&gt;=AH$4)))))</f>
        <v>-</v>
      </c>
      <c r="AI69" s="121" t="str">
        <f ca="1">IF(AI$4&gt;NOW(),"-",IF(ISBLANK(Tbl_ResidentData[[#This Row],[Enrollment '[mmm-yyyy']]]),"-",AND((Tbl_ResidentData[[#This Row],[Enrollment '[mmm-yyyy']]]&lt;=AI$4),IF(ISBLANK(Tbl_ResidentData[[#This Row],[Discharge '[mmm-yyyy']]]),TRUE,(Tbl_ResidentData[[#This Row],[Discharge '[mmm-yyyy']]]&gt;=AI$4)))))</f>
        <v>-</v>
      </c>
      <c r="AJ69" s="121" t="str">
        <f ca="1">IF(AJ$4&gt;NOW(),"-",IF(ISBLANK(Tbl_ResidentData[[#This Row],[Enrollment '[mmm-yyyy']]]),"-",AND((Tbl_ResidentData[[#This Row],[Enrollment '[mmm-yyyy']]]&lt;=AJ$4),IF(ISBLANK(Tbl_ResidentData[[#This Row],[Discharge '[mmm-yyyy']]]),TRUE,(Tbl_ResidentData[[#This Row],[Discharge '[mmm-yyyy']]]&gt;=AJ$4)))))</f>
        <v>-</v>
      </c>
      <c r="AK69" s="121" t="str">
        <f ca="1">IF(AK$4&gt;NOW(),"-",IF(ISBLANK(Tbl_ResidentData[[#This Row],[Enrollment '[mmm-yyyy']]]),"-",AND((Tbl_ResidentData[[#This Row],[Enrollment '[mmm-yyyy']]]&lt;=AK$4),IF(ISBLANK(Tbl_ResidentData[[#This Row],[Discharge '[mmm-yyyy']]]),TRUE,(Tbl_ResidentData[[#This Row],[Discharge '[mmm-yyyy']]]&gt;=AK$4)))))</f>
        <v>-</v>
      </c>
      <c r="AL69" s="121" t="str">
        <f ca="1">IF(AL$4&gt;NOW(),"-",IF(ISBLANK(Tbl_ResidentData[[#This Row],[Enrollment '[mmm-yyyy']]]),"-",AND((Tbl_ResidentData[[#This Row],[Enrollment '[mmm-yyyy']]]&lt;=AL$4),IF(ISBLANK(Tbl_ResidentData[[#This Row],[Discharge '[mmm-yyyy']]]),TRUE,(Tbl_ResidentData[[#This Row],[Discharge '[mmm-yyyy']]]&gt;=AL$4)))))</f>
        <v>-</v>
      </c>
      <c r="AM69" s="121" t="str">
        <f ca="1">IF(AM$4&gt;NOW(),"-",IF(ISBLANK(Tbl_ResidentData[[#This Row],[Enrollment '[mmm-yyyy']]]),"-",AND((Tbl_ResidentData[[#This Row],[Enrollment '[mmm-yyyy']]]&lt;=AM$4),IF(ISBLANK(Tbl_ResidentData[[#This Row],[Discharge '[mmm-yyyy']]]),TRUE,(Tbl_ResidentData[[#This Row],[Discharge '[mmm-yyyy']]]&gt;=AM$4)))))</f>
        <v>-</v>
      </c>
      <c r="AN69" s="121" t="str">
        <f ca="1">IF(AN$4&gt;NOW(),"-",IF(ISBLANK(Tbl_ResidentData[[#This Row],[Enrollment '[mmm-yyyy']]]),"-",AND((Tbl_ResidentData[[#This Row],[Enrollment '[mmm-yyyy']]]&lt;=AN$4),IF(ISBLANK(Tbl_ResidentData[[#This Row],[Discharge '[mmm-yyyy']]]),TRUE,(Tbl_ResidentData[[#This Row],[Discharge '[mmm-yyyy']]]&gt;=AN$4)))))</f>
        <v>-</v>
      </c>
      <c r="AO69" s="121" t="str">
        <f ca="1">IF(AO$4&gt;NOW(),"-",IF(ISBLANK(Tbl_ResidentData[[#This Row],[Enrollment '[mmm-yyyy']]]),"-",AND((Tbl_ResidentData[[#This Row],[Enrollment '[mmm-yyyy']]]&lt;=AO$4),IF(ISBLANK(Tbl_ResidentData[[#This Row],[Discharge '[mmm-yyyy']]]),TRUE,(Tbl_ResidentData[[#This Row],[Discharge '[mmm-yyyy']]]&gt;=AO$4)))))</f>
        <v>-</v>
      </c>
      <c r="AP69" s="121" t="str">
        <f ca="1">IF(AP$4&gt;NOW(),"-",IF(ISBLANK(Tbl_ResidentData[[#This Row],[Enrollment '[mmm-yyyy']]]),"-",AND((Tbl_ResidentData[[#This Row],[Enrollment '[mmm-yyyy']]]&lt;=AP$4),IF(ISBLANK(Tbl_ResidentData[[#This Row],[Discharge '[mmm-yyyy']]]),TRUE,(Tbl_ResidentData[[#This Row],[Discharge '[mmm-yyyy']]]&gt;=AP$4)))))</f>
        <v>-</v>
      </c>
      <c r="AQ69" s="121" t="str">
        <f ca="1">IF(AQ$4&gt;NOW(),"-",IF(ISBLANK(Tbl_ResidentData[[#This Row],[Enrollment '[mmm-yyyy']]]),"-",AND((Tbl_ResidentData[[#This Row],[Enrollment '[mmm-yyyy']]]&lt;=AQ$4),IF(ISBLANK(Tbl_ResidentData[[#This Row],[Discharge '[mmm-yyyy']]]),TRUE,(Tbl_ResidentData[[#This Row],[Discharge '[mmm-yyyy']]]&gt;=AQ$4)))))</f>
        <v>-</v>
      </c>
      <c r="AR69" s="122" t="str">
        <f ca="1">IF(AR$4&gt;NOW(),"-",IF(ISBLANK(Tbl_ResidentData[[#This Row],[Enrollment '[mmm-yyyy']]]),"-",AND((Tbl_ResidentData[[#This Row],[Enrollment '[mmm-yyyy']]]&lt;=AR$4),IF(ISBLANK(Tbl_ResidentData[[#This Row],[Discharge '[mmm-yyyy']]]),TRUE,(Tbl_ResidentData[[#This Row],[Discharge '[mmm-yyyy']]]&gt;=AR$4)))))</f>
        <v>-</v>
      </c>
      <c r="AS6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9" s="120" t="b">
        <f ca="1">AND(Tbl_ResidentData[[#This Row],[PRN Med Started]]&lt;&gt;"",Tbl_ResidentData[[#This Row],[PRN Med Started]]&lt;=NOW(),Tbl_ResidentData[[#This Row],[PRN Med Started]]&lt;=AS$4,OR(Tbl_ResidentData[[#This Row],[PRN Med Discontinued]]&gt;AS$4,ISBLANK(Tbl_ResidentData[[#This Row],[PRN Med Discontinued]])))</f>
        <v>0</v>
      </c>
      <c r="BR69" s="121" t="b">
        <f ca="1">AND(Tbl_ResidentData[[#This Row],[PRN Med Started]]&lt;&gt;"",Tbl_ResidentData[[#This Row],[PRN Med Started]]&lt;=NOW(),Tbl_ResidentData[[#This Row],[PRN Med Started]]&lt;=AT$4,OR(Tbl_ResidentData[[#This Row],[PRN Med Discontinued]]&gt;AT$4,ISBLANK(Tbl_ResidentData[[#This Row],[PRN Med Discontinued]])))</f>
        <v>0</v>
      </c>
      <c r="BS69" s="121" t="b">
        <f ca="1">AND(Tbl_ResidentData[[#This Row],[PRN Med Started]]&lt;&gt;"",Tbl_ResidentData[[#This Row],[PRN Med Started]]&lt;=NOW(),Tbl_ResidentData[[#This Row],[PRN Med Started]]&lt;=AU$4,OR(Tbl_ResidentData[[#This Row],[PRN Med Discontinued]]&gt;AU$4,ISBLANK(Tbl_ResidentData[[#This Row],[PRN Med Discontinued]])))</f>
        <v>0</v>
      </c>
      <c r="BT69" s="121" t="b">
        <f ca="1">AND(Tbl_ResidentData[[#This Row],[PRN Med Started]]&lt;&gt;"",Tbl_ResidentData[[#This Row],[PRN Med Started]]&lt;=NOW(),Tbl_ResidentData[[#This Row],[PRN Med Started]]&lt;=AV$4,OR(Tbl_ResidentData[[#This Row],[PRN Med Discontinued]]&gt;AV$4,ISBLANK(Tbl_ResidentData[[#This Row],[PRN Med Discontinued]])))</f>
        <v>0</v>
      </c>
      <c r="BU69" s="121" t="b">
        <f ca="1">AND(Tbl_ResidentData[[#This Row],[PRN Med Started]]&lt;&gt;"",Tbl_ResidentData[[#This Row],[PRN Med Started]]&lt;=NOW(),Tbl_ResidentData[[#This Row],[PRN Med Started]]&lt;=AW$4,OR(Tbl_ResidentData[[#This Row],[PRN Med Discontinued]]&gt;AW$4,ISBLANK(Tbl_ResidentData[[#This Row],[PRN Med Discontinued]])))</f>
        <v>0</v>
      </c>
      <c r="BV69" s="121" t="b">
        <f ca="1">AND(Tbl_ResidentData[[#This Row],[PRN Med Started]]&lt;&gt;"",Tbl_ResidentData[[#This Row],[PRN Med Started]]&lt;=NOW(),Tbl_ResidentData[[#This Row],[PRN Med Started]]&lt;=AX$4,OR(Tbl_ResidentData[[#This Row],[PRN Med Discontinued]]&gt;AX$4,ISBLANK(Tbl_ResidentData[[#This Row],[PRN Med Discontinued]])))</f>
        <v>0</v>
      </c>
      <c r="BW69" s="121" t="b">
        <f ca="1">AND(Tbl_ResidentData[[#This Row],[PRN Med Started]]&lt;&gt;"",Tbl_ResidentData[[#This Row],[PRN Med Started]]&lt;=NOW(),Tbl_ResidentData[[#This Row],[PRN Med Started]]&lt;=AY$4,OR(Tbl_ResidentData[[#This Row],[PRN Med Discontinued]]&gt;AY$4,ISBLANK(Tbl_ResidentData[[#This Row],[PRN Med Discontinued]])))</f>
        <v>0</v>
      </c>
      <c r="BX69" s="121" t="b">
        <f ca="1">AND(Tbl_ResidentData[[#This Row],[PRN Med Started]]&lt;&gt;"",Tbl_ResidentData[[#This Row],[PRN Med Started]]&lt;=NOW(),Tbl_ResidentData[[#This Row],[PRN Med Started]]&lt;=AZ$4,OR(Tbl_ResidentData[[#This Row],[PRN Med Discontinued]]&gt;AZ$4,ISBLANK(Tbl_ResidentData[[#This Row],[PRN Med Discontinued]])))</f>
        <v>0</v>
      </c>
      <c r="BY69" s="121" t="b">
        <f ca="1">AND(Tbl_ResidentData[[#This Row],[PRN Med Started]]&lt;&gt;"",Tbl_ResidentData[[#This Row],[PRN Med Started]]&lt;=NOW(),Tbl_ResidentData[[#This Row],[PRN Med Started]]&lt;=BA$4,OR(Tbl_ResidentData[[#This Row],[PRN Med Discontinued]]&gt;BA$4,ISBLANK(Tbl_ResidentData[[#This Row],[PRN Med Discontinued]])))</f>
        <v>0</v>
      </c>
      <c r="BZ69" s="121" t="b">
        <f ca="1">AND(Tbl_ResidentData[[#This Row],[PRN Med Started]]&lt;&gt;"",Tbl_ResidentData[[#This Row],[PRN Med Started]]&lt;=NOW(),Tbl_ResidentData[[#This Row],[PRN Med Started]]&lt;=BB$4,OR(Tbl_ResidentData[[#This Row],[PRN Med Discontinued]]&gt;BB$4,ISBLANK(Tbl_ResidentData[[#This Row],[PRN Med Discontinued]])))</f>
        <v>0</v>
      </c>
      <c r="CA69" s="121" t="b">
        <f ca="1">AND(Tbl_ResidentData[[#This Row],[PRN Med Started]]&lt;&gt;"",Tbl_ResidentData[[#This Row],[PRN Med Started]]&lt;=NOW(),Tbl_ResidentData[[#This Row],[PRN Med Started]]&lt;=BC$4,OR(Tbl_ResidentData[[#This Row],[PRN Med Discontinued]]&gt;BC$4,ISBLANK(Tbl_ResidentData[[#This Row],[PRN Med Discontinued]])))</f>
        <v>0</v>
      </c>
      <c r="CB69" s="121" t="b">
        <f ca="1">AND(Tbl_ResidentData[[#This Row],[PRN Med Started]]&lt;&gt;"",Tbl_ResidentData[[#This Row],[PRN Med Started]]&lt;=NOW(),Tbl_ResidentData[[#This Row],[PRN Med Started]]&lt;=BD$4,OR(Tbl_ResidentData[[#This Row],[PRN Med Discontinued]]&gt;BD$4,ISBLANK(Tbl_ResidentData[[#This Row],[PRN Med Discontinued]])))</f>
        <v>0</v>
      </c>
      <c r="CC69" s="121" t="b">
        <f ca="1">AND(Tbl_ResidentData[[#This Row],[PRN Med Started]]&lt;&gt;"",Tbl_ResidentData[[#This Row],[PRN Med Started]]&lt;=NOW(),Tbl_ResidentData[[#This Row],[PRN Med Started]]&lt;=BE$4,OR(Tbl_ResidentData[[#This Row],[PRN Med Discontinued]]&gt;BE$4,ISBLANK(Tbl_ResidentData[[#This Row],[PRN Med Discontinued]])))</f>
        <v>0</v>
      </c>
      <c r="CD69" s="121" t="b">
        <f ca="1">AND(Tbl_ResidentData[[#This Row],[PRN Med Started]]&lt;&gt;"",Tbl_ResidentData[[#This Row],[PRN Med Started]]&lt;=NOW(),Tbl_ResidentData[[#This Row],[PRN Med Started]]&lt;=BF$4,OR(Tbl_ResidentData[[#This Row],[PRN Med Discontinued]]&gt;BF$4,ISBLANK(Tbl_ResidentData[[#This Row],[PRN Med Discontinued]])))</f>
        <v>0</v>
      </c>
      <c r="CE69" s="121" t="b">
        <f ca="1">AND(Tbl_ResidentData[[#This Row],[PRN Med Started]]&lt;&gt;"",Tbl_ResidentData[[#This Row],[PRN Med Started]]&lt;=NOW(),Tbl_ResidentData[[#This Row],[PRN Med Started]]&lt;=BG$4,OR(Tbl_ResidentData[[#This Row],[PRN Med Discontinued]]&gt;BG$4,ISBLANK(Tbl_ResidentData[[#This Row],[PRN Med Discontinued]])))</f>
        <v>0</v>
      </c>
      <c r="CF69" s="121" t="b">
        <f ca="1">AND(Tbl_ResidentData[[#This Row],[PRN Med Started]]&lt;&gt;"",Tbl_ResidentData[[#This Row],[PRN Med Started]]&lt;=NOW(),Tbl_ResidentData[[#This Row],[PRN Med Started]]&lt;=BH$4,OR(Tbl_ResidentData[[#This Row],[PRN Med Discontinued]]&gt;BH$4,ISBLANK(Tbl_ResidentData[[#This Row],[PRN Med Discontinued]])))</f>
        <v>0</v>
      </c>
      <c r="CG69" s="121" t="b">
        <f ca="1">AND(Tbl_ResidentData[[#This Row],[PRN Med Started]]&lt;&gt;"",Tbl_ResidentData[[#This Row],[PRN Med Started]]&lt;=NOW(),Tbl_ResidentData[[#This Row],[PRN Med Started]]&lt;=BI$4,OR(Tbl_ResidentData[[#This Row],[PRN Med Discontinued]]&gt;BI$4,ISBLANK(Tbl_ResidentData[[#This Row],[PRN Med Discontinued]])))</f>
        <v>0</v>
      </c>
      <c r="CH69" s="121" t="b">
        <f ca="1">AND(Tbl_ResidentData[[#This Row],[PRN Med Started]]&lt;&gt;"",Tbl_ResidentData[[#This Row],[PRN Med Started]]&lt;=NOW(),Tbl_ResidentData[[#This Row],[PRN Med Started]]&lt;=BJ$4,OR(Tbl_ResidentData[[#This Row],[PRN Med Discontinued]]&gt;BJ$4,ISBLANK(Tbl_ResidentData[[#This Row],[PRN Med Discontinued]])))</f>
        <v>0</v>
      </c>
      <c r="CI69" s="121" t="b">
        <f ca="1">AND(Tbl_ResidentData[[#This Row],[PRN Med Started]]&lt;&gt;"",Tbl_ResidentData[[#This Row],[PRN Med Started]]&lt;=NOW(),Tbl_ResidentData[[#This Row],[PRN Med Started]]&lt;=BK$4,OR(Tbl_ResidentData[[#This Row],[PRN Med Discontinued]]&gt;BK$4,ISBLANK(Tbl_ResidentData[[#This Row],[PRN Med Discontinued]])))</f>
        <v>0</v>
      </c>
      <c r="CJ69" s="121" t="b">
        <f ca="1">AND(Tbl_ResidentData[[#This Row],[PRN Med Started]]&lt;&gt;"",Tbl_ResidentData[[#This Row],[PRN Med Started]]&lt;=NOW(),Tbl_ResidentData[[#This Row],[PRN Med Started]]&lt;=BL$4,OR(Tbl_ResidentData[[#This Row],[PRN Med Discontinued]]&gt;BL$4,ISBLANK(Tbl_ResidentData[[#This Row],[PRN Med Discontinued]])))</f>
        <v>0</v>
      </c>
      <c r="CK69" s="121" t="b">
        <f ca="1">AND(Tbl_ResidentData[[#This Row],[PRN Med Started]]&lt;&gt;"",Tbl_ResidentData[[#This Row],[PRN Med Started]]&lt;=NOW(),Tbl_ResidentData[[#This Row],[PRN Med Started]]&lt;=BM$4,OR(Tbl_ResidentData[[#This Row],[PRN Med Discontinued]]&gt;BM$4,ISBLANK(Tbl_ResidentData[[#This Row],[PRN Med Discontinued]])))</f>
        <v>0</v>
      </c>
      <c r="CL69" s="121" t="b">
        <f ca="1">AND(Tbl_ResidentData[[#This Row],[PRN Med Started]]&lt;&gt;"",Tbl_ResidentData[[#This Row],[PRN Med Started]]&lt;=NOW(),Tbl_ResidentData[[#This Row],[PRN Med Started]]&lt;=BN$4,OR(Tbl_ResidentData[[#This Row],[PRN Med Discontinued]]&gt;BN$4,ISBLANK(Tbl_ResidentData[[#This Row],[PRN Med Discontinued]])))</f>
        <v>0</v>
      </c>
      <c r="CM69" s="121" t="b">
        <f ca="1">AND(Tbl_ResidentData[[#This Row],[PRN Med Started]]&lt;&gt;"",Tbl_ResidentData[[#This Row],[PRN Med Started]]&lt;=NOW(),Tbl_ResidentData[[#This Row],[PRN Med Started]]&lt;=BO$4,OR(Tbl_ResidentData[[#This Row],[PRN Med Discontinued]]&gt;BO$4,ISBLANK(Tbl_ResidentData[[#This Row],[PRN Med Discontinued]])))</f>
        <v>0</v>
      </c>
      <c r="CN69" s="122" t="b">
        <f ca="1">AND(Tbl_ResidentData[[#This Row],[PRN Med Started]]&lt;&gt;"",Tbl_ResidentData[[#This Row],[PRN Med Started]]&lt;=NOW(),Tbl_ResidentData[[#This Row],[PRN Med Started]]&lt;=BP$4,OR(Tbl_ResidentData[[#This Row],[PRN Med Discontinued]]&gt;BP$4,ISBLANK(Tbl_ResidentData[[#This Row],[PRN Med Discontinued]])))</f>
        <v>0</v>
      </c>
      <c r="CO69" s="120">
        <f ca="1">IF(OR(Tbl_ResidentData[[#This Row],[S1]]=TRUE,Tbl_ResidentData[[#This Row],[P1]]=TRUE),1,0)</f>
        <v>0</v>
      </c>
      <c r="CP69" s="121">
        <f ca="1">IF(OR(Tbl_ResidentData[[#This Row],[S2]]=TRUE,Tbl_ResidentData[[#This Row],[P2]]=TRUE),1,0)</f>
        <v>0</v>
      </c>
      <c r="CQ69" s="121">
        <f ca="1">IF(OR(Tbl_ResidentData[[#This Row],[S3]]=TRUE,Tbl_ResidentData[[#This Row],[P3]]=TRUE),1,0)</f>
        <v>0</v>
      </c>
      <c r="CR69" s="120">
        <f ca="1">IF(OR(Tbl_ResidentData[[#This Row],[S4]]=TRUE,Tbl_ResidentData[[#This Row],[P4]]=TRUE),1,0)</f>
        <v>0</v>
      </c>
      <c r="CS69" s="120">
        <f ca="1">IF(OR(Tbl_ResidentData[[#This Row],[S5]]=TRUE,Tbl_ResidentData[[#This Row],[P5]]=TRUE),1,0)</f>
        <v>0</v>
      </c>
      <c r="CT69" s="120">
        <f ca="1">IF(OR(Tbl_ResidentData[[#This Row],[S6]]=TRUE,Tbl_ResidentData[[#This Row],[P6]]=TRUE),1,0)</f>
        <v>0</v>
      </c>
      <c r="CU69" s="120">
        <f ca="1">IF(OR(Tbl_ResidentData[[#This Row],[S7]]=TRUE,Tbl_ResidentData[[#This Row],[P7]]=TRUE),1,0)</f>
        <v>0</v>
      </c>
      <c r="CV69" s="120">
        <f ca="1">IF(OR(Tbl_ResidentData[[#This Row],[S8]]=TRUE,Tbl_ResidentData[[#This Row],[P8]]=TRUE),1,0)</f>
        <v>0</v>
      </c>
      <c r="CW69" s="120">
        <f ca="1">IF(OR(Tbl_ResidentData[[#This Row],[S9]]=TRUE,Tbl_ResidentData[[#This Row],[P9]]=TRUE),1,0)</f>
        <v>0</v>
      </c>
      <c r="CX69" s="120">
        <f ca="1">IF(OR(Tbl_ResidentData[[#This Row],[S10]]=TRUE,Tbl_ResidentData[[#This Row],[P10]]=TRUE),1,0)</f>
        <v>0</v>
      </c>
      <c r="CY69" s="120">
        <f ca="1">IF(OR(Tbl_ResidentData[[#This Row],[S11]]=TRUE,Tbl_ResidentData[[#This Row],[P11]]=TRUE),1,0)</f>
        <v>0</v>
      </c>
      <c r="CZ69" s="120">
        <f ca="1">IF(OR(Tbl_ResidentData[[#This Row],[S12]]=TRUE,Tbl_ResidentData[[#This Row],[P12]]=TRUE),1,0)</f>
        <v>0</v>
      </c>
      <c r="DA69" s="120">
        <f ca="1">IF(OR(Tbl_ResidentData[[#This Row],[S13]]=TRUE,Tbl_ResidentData[[#This Row],[P13]]=TRUE),1,0)</f>
        <v>0</v>
      </c>
      <c r="DB69" s="120">
        <f ca="1">IF(OR(Tbl_ResidentData[[#This Row],[S14]]=TRUE,Tbl_ResidentData[[#This Row],[P14]]=TRUE),1,0)</f>
        <v>0</v>
      </c>
      <c r="DC69" s="120">
        <f ca="1">IF(OR(Tbl_ResidentData[[#This Row],[S15]]=TRUE,Tbl_ResidentData[[#This Row],[P15]]=TRUE),1,0)</f>
        <v>0</v>
      </c>
      <c r="DD69" s="120">
        <f ca="1">IF(OR(Tbl_ResidentData[[#This Row],[S16]]=TRUE,Tbl_ResidentData[[#This Row],[P16]]=TRUE),1,0)</f>
        <v>0</v>
      </c>
      <c r="DE69" s="120">
        <f ca="1">IF(OR(Tbl_ResidentData[[#This Row],[S17]]=TRUE,Tbl_ResidentData[[#This Row],[P17]]=TRUE),1,0)</f>
        <v>0</v>
      </c>
      <c r="DF69" s="120">
        <f ca="1">IF(OR(Tbl_ResidentData[[#This Row],[S18]]=TRUE,Tbl_ResidentData[[#This Row],[P18]]=TRUE),1,0)</f>
        <v>0</v>
      </c>
      <c r="DG69" s="120">
        <f ca="1">IF(OR(Tbl_ResidentData[[#This Row],[S19]]=TRUE,Tbl_ResidentData[[#This Row],[P19]]=TRUE),1,0)</f>
        <v>0</v>
      </c>
      <c r="DH69" s="120">
        <f ca="1">IF(OR(Tbl_ResidentData[[#This Row],[S20]]=TRUE,Tbl_ResidentData[[#This Row],[P20]]=TRUE),1,0)</f>
        <v>0</v>
      </c>
      <c r="DI69" s="120">
        <f ca="1">IF(OR(Tbl_ResidentData[[#This Row],[S21]]=TRUE,Tbl_ResidentData[[#This Row],[P21]]=TRUE),1,0)</f>
        <v>0</v>
      </c>
      <c r="DJ69" s="120">
        <f ca="1">IF(OR(Tbl_ResidentData[[#This Row],[S22]]=TRUE,Tbl_ResidentData[[#This Row],[P22]]=TRUE),1,0)</f>
        <v>0</v>
      </c>
      <c r="DK69" s="120">
        <f ca="1">IF(OR(Tbl_ResidentData[[#This Row],[S23]]=TRUE,Tbl_ResidentData[[#This Row],[P23]]=TRUE),1,0)</f>
        <v>0</v>
      </c>
      <c r="DL69" s="120">
        <f ca="1">IF(OR(Tbl_ResidentData[[#This Row],[S24]]=TRUE,Tbl_ResidentData[[#This Row],[P24]]=TRUE),1,0)</f>
        <v>0</v>
      </c>
      <c r="DM69" s="123" t="str">
        <f ca="1">IFERROR(INDEX($CO$4:$DL$4,MATCH(TRUE,INDEX((Tbl_ResidentData[[#This Row],[Over1]:[Over24]]&lt;&gt;0),0),0)),"")</f>
        <v/>
      </c>
      <c r="DN69" s="133" t="str">
        <f>IFERROR(INDEX(Tbl_PDSAData[Last DRT],MATCH(Tbl_ResidentData[Resident Name '[last, first']],Tbl_PDSAData[Resident Name (last, first)],0)),"")</f>
        <v/>
      </c>
      <c r="DO69" s="222" t="str">
        <f>IFERROR(INDEX(Tbl_PDSAData[Last MR],MATCH(Tbl_ResidentData[Resident Name '[last, first']],Tbl_PDSAData[Resident Name (last, first)],0)),"")</f>
        <v/>
      </c>
    </row>
    <row r="70" spans="1:119" x14ac:dyDescent="0.25">
      <c r="A70" s="179"/>
      <c r="B70" s="180"/>
      <c r="C70" s="180"/>
      <c r="D70" s="218"/>
      <c r="E70" s="179"/>
      <c r="F70" s="181"/>
      <c r="G70" s="181"/>
      <c r="H70" s="375"/>
      <c r="I70" s="185"/>
      <c r="J70" s="387"/>
      <c r="K70" s="178"/>
      <c r="L70" s="388"/>
      <c r="M70" s="185"/>
      <c r="N70" s="386"/>
      <c r="O70" s="178"/>
      <c r="P70" s="388"/>
      <c r="Q70" s="394"/>
      <c r="R70" s="388"/>
      <c r="S70" s="131" t="str">
        <f>IF(ISBLANK(Tbl_ResidentData[[#This Row],[Discharge '[mmm-yyyy']]]),IF(ISBLANK(Tbl_ResidentData[[#This Row],[Enrollment '[mmm-yyyy']]]),"","In Care Home"),"Discharged")</f>
        <v/>
      </c>
      <c r="T70" s="119" t="str">
        <f>IF(ISBLANK(Tbl_ResidentData[[#This Row],[Diagnosis (RAI)]]),IF(ISBLANK(Tbl_ResidentData[[#This Row],[Resident Name '[last, first']]]),"",0),IF(Tbl_ResidentData[[#This Row],[Diagnosis (RAI)]]="Other (see clinical notes)",0,1))</f>
        <v/>
      </c>
      <c r="U70" s="120" t="str">
        <f ca="1">IF(U$4&gt;NOW(),"-",IF(ISBLANK(Tbl_ResidentData[[#This Row],[Enrollment '[mmm-yyyy']]]),"-",AND((Tbl_ResidentData[[#This Row],[Enrollment '[mmm-yyyy']]]&lt;=U$4),IF(ISBLANK(Tbl_ResidentData[[#This Row],[Discharge '[mmm-yyyy']]]),TRUE,(Tbl_ResidentData[[#This Row],[Discharge '[mmm-yyyy']]]&gt;=U$4)))))</f>
        <v>-</v>
      </c>
      <c r="V70" s="121" t="str">
        <f ca="1">IF(V$4&gt;NOW(),"-",IF(ISBLANK(Tbl_ResidentData[[#This Row],[Enrollment '[mmm-yyyy']]]),"-",AND((Tbl_ResidentData[[#This Row],[Enrollment '[mmm-yyyy']]]&lt;=V$4),IF(ISBLANK(Tbl_ResidentData[[#This Row],[Discharge '[mmm-yyyy']]]),TRUE,(Tbl_ResidentData[[#This Row],[Discharge '[mmm-yyyy']]]&gt;=V$4)))))</f>
        <v>-</v>
      </c>
      <c r="W70" s="121" t="str">
        <f ca="1">IF(W$4&gt;NOW(),"-",IF(ISBLANK(Tbl_ResidentData[[#This Row],[Enrollment '[mmm-yyyy']]]),"-",AND((Tbl_ResidentData[[#This Row],[Enrollment '[mmm-yyyy']]]&lt;=W$4),IF(ISBLANK(Tbl_ResidentData[[#This Row],[Discharge '[mmm-yyyy']]]),TRUE,(Tbl_ResidentData[[#This Row],[Discharge '[mmm-yyyy']]]&gt;=W$4)))))</f>
        <v>-</v>
      </c>
      <c r="X70" s="121" t="str">
        <f ca="1">IF(X$4&gt;NOW(),"-",IF(ISBLANK(Tbl_ResidentData[[#This Row],[Enrollment '[mmm-yyyy']]]),"-",AND((Tbl_ResidentData[[#This Row],[Enrollment '[mmm-yyyy']]]&lt;=X$4),IF(ISBLANK(Tbl_ResidentData[[#This Row],[Discharge '[mmm-yyyy']]]),TRUE,(Tbl_ResidentData[[#This Row],[Discharge '[mmm-yyyy']]]&gt;=X$4)))))</f>
        <v>-</v>
      </c>
      <c r="Y70" s="121" t="str">
        <f ca="1">IF(Y$4&gt;NOW(),"-",IF(ISBLANK(Tbl_ResidentData[[#This Row],[Enrollment '[mmm-yyyy']]]),"-",AND((Tbl_ResidentData[[#This Row],[Enrollment '[mmm-yyyy']]]&lt;=Y$4),IF(ISBLANK(Tbl_ResidentData[[#This Row],[Discharge '[mmm-yyyy']]]),TRUE,(Tbl_ResidentData[[#This Row],[Discharge '[mmm-yyyy']]]&gt;=Y$4)))))</f>
        <v>-</v>
      </c>
      <c r="Z70" s="121" t="str">
        <f ca="1">IF(Z$4&gt;NOW(),"-",IF(ISBLANK(Tbl_ResidentData[[#This Row],[Enrollment '[mmm-yyyy']]]),"-",AND((Tbl_ResidentData[[#This Row],[Enrollment '[mmm-yyyy']]]&lt;=Z$4),IF(ISBLANK(Tbl_ResidentData[[#This Row],[Discharge '[mmm-yyyy']]]),TRUE,(Tbl_ResidentData[[#This Row],[Discharge '[mmm-yyyy']]]&gt;=Z$4)))))</f>
        <v>-</v>
      </c>
      <c r="AA70" s="121" t="str">
        <f ca="1">IF(AA$4&gt;NOW(),"-",IF(ISBLANK(Tbl_ResidentData[[#This Row],[Enrollment '[mmm-yyyy']]]),"-",AND((Tbl_ResidentData[[#This Row],[Enrollment '[mmm-yyyy']]]&lt;=AA$4),IF(ISBLANK(Tbl_ResidentData[[#This Row],[Discharge '[mmm-yyyy']]]),TRUE,(Tbl_ResidentData[[#This Row],[Discharge '[mmm-yyyy']]]&gt;=AA$4)))))</f>
        <v>-</v>
      </c>
      <c r="AB70" s="121" t="str">
        <f ca="1">IF(AB$4&gt;NOW(),"-",IF(ISBLANK(Tbl_ResidentData[[#This Row],[Enrollment '[mmm-yyyy']]]),"-",AND((Tbl_ResidentData[[#This Row],[Enrollment '[mmm-yyyy']]]&lt;=AB$4),IF(ISBLANK(Tbl_ResidentData[[#This Row],[Discharge '[mmm-yyyy']]]),TRUE,(Tbl_ResidentData[[#This Row],[Discharge '[mmm-yyyy']]]&gt;=AB$4)))))</f>
        <v>-</v>
      </c>
      <c r="AC70" s="121" t="str">
        <f ca="1">IF(AC$4&gt;NOW(),"-",IF(ISBLANK(Tbl_ResidentData[[#This Row],[Enrollment '[mmm-yyyy']]]),"-",AND((Tbl_ResidentData[[#This Row],[Enrollment '[mmm-yyyy']]]&lt;=AC$4),IF(ISBLANK(Tbl_ResidentData[[#This Row],[Discharge '[mmm-yyyy']]]),TRUE,(Tbl_ResidentData[[#This Row],[Discharge '[mmm-yyyy']]]&gt;=AC$4)))))</f>
        <v>-</v>
      </c>
      <c r="AD70" s="121" t="str">
        <f ca="1">IF(AD$4&gt;NOW(),"-",IF(ISBLANK(Tbl_ResidentData[[#This Row],[Enrollment '[mmm-yyyy']]]),"-",AND((Tbl_ResidentData[[#This Row],[Enrollment '[mmm-yyyy']]]&lt;=AD$4),IF(ISBLANK(Tbl_ResidentData[[#This Row],[Discharge '[mmm-yyyy']]]),TRUE,(Tbl_ResidentData[[#This Row],[Discharge '[mmm-yyyy']]]&gt;=AD$4)))))</f>
        <v>-</v>
      </c>
      <c r="AE70" s="121" t="str">
        <f ca="1">IF(AE$4&gt;NOW(),"-",IF(ISBLANK(Tbl_ResidentData[[#This Row],[Enrollment '[mmm-yyyy']]]),"-",AND((Tbl_ResidentData[[#This Row],[Enrollment '[mmm-yyyy']]]&lt;=AE$4),IF(ISBLANK(Tbl_ResidentData[[#This Row],[Discharge '[mmm-yyyy']]]),TRUE,(Tbl_ResidentData[[#This Row],[Discharge '[mmm-yyyy']]]&gt;=AE$4)))))</f>
        <v>-</v>
      </c>
      <c r="AF70" s="121" t="str">
        <f ca="1">IF(AF$4&gt;NOW(),"-",IF(ISBLANK(Tbl_ResidentData[[#This Row],[Enrollment '[mmm-yyyy']]]),"-",AND((Tbl_ResidentData[[#This Row],[Enrollment '[mmm-yyyy']]]&lt;=AF$4),IF(ISBLANK(Tbl_ResidentData[[#This Row],[Discharge '[mmm-yyyy']]]),TRUE,(Tbl_ResidentData[[#This Row],[Discharge '[mmm-yyyy']]]&gt;=AF$4)))))</f>
        <v>-</v>
      </c>
      <c r="AG70" s="121" t="str">
        <f ca="1">IF(AG$4&gt;NOW(),"-",IF(ISBLANK(Tbl_ResidentData[[#This Row],[Enrollment '[mmm-yyyy']]]),"-",AND((Tbl_ResidentData[[#This Row],[Enrollment '[mmm-yyyy']]]&lt;=AG$4),IF(ISBLANK(Tbl_ResidentData[[#This Row],[Discharge '[mmm-yyyy']]]),TRUE,(Tbl_ResidentData[[#This Row],[Discharge '[mmm-yyyy']]]&gt;=AG$4)))))</f>
        <v>-</v>
      </c>
      <c r="AH70" s="121" t="str">
        <f ca="1">IF(AH$4&gt;NOW(),"-",IF(ISBLANK(Tbl_ResidentData[[#This Row],[Enrollment '[mmm-yyyy']]]),"-",AND((Tbl_ResidentData[[#This Row],[Enrollment '[mmm-yyyy']]]&lt;=AH$4),IF(ISBLANK(Tbl_ResidentData[[#This Row],[Discharge '[mmm-yyyy']]]),TRUE,(Tbl_ResidentData[[#This Row],[Discharge '[mmm-yyyy']]]&gt;=AH$4)))))</f>
        <v>-</v>
      </c>
      <c r="AI70" s="121" t="str">
        <f ca="1">IF(AI$4&gt;NOW(),"-",IF(ISBLANK(Tbl_ResidentData[[#This Row],[Enrollment '[mmm-yyyy']]]),"-",AND((Tbl_ResidentData[[#This Row],[Enrollment '[mmm-yyyy']]]&lt;=AI$4),IF(ISBLANK(Tbl_ResidentData[[#This Row],[Discharge '[mmm-yyyy']]]),TRUE,(Tbl_ResidentData[[#This Row],[Discharge '[mmm-yyyy']]]&gt;=AI$4)))))</f>
        <v>-</v>
      </c>
      <c r="AJ70" s="121" t="str">
        <f ca="1">IF(AJ$4&gt;NOW(),"-",IF(ISBLANK(Tbl_ResidentData[[#This Row],[Enrollment '[mmm-yyyy']]]),"-",AND((Tbl_ResidentData[[#This Row],[Enrollment '[mmm-yyyy']]]&lt;=AJ$4),IF(ISBLANK(Tbl_ResidentData[[#This Row],[Discharge '[mmm-yyyy']]]),TRUE,(Tbl_ResidentData[[#This Row],[Discharge '[mmm-yyyy']]]&gt;=AJ$4)))))</f>
        <v>-</v>
      </c>
      <c r="AK70" s="121" t="str">
        <f ca="1">IF(AK$4&gt;NOW(),"-",IF(ISBLANK(Tbl_ResidentData[[#This Row],[Enrollment '[mmm-yyyy']]]),"-",AND((Tbl_ResidentData[[#This Row],[Enrollment '[mmm-yyyy']]]&lt;=AK$4),IF(ISBLANK(Tbl_ResidentData[[#This Row],[Discharge '[mmm-yyyy']]]),TRUE,(Tbl_ResidentData[[#This Row],[Discharge '[mmm-yyyy']]]&gt;=AK$4)))))</f>
        <v>-</v>
      </c>
      <c r="AL70" s="121" t="str">
        <f ca="1">IF(AL$4&gt;NOW(),"-",IF(ISBLANK(Tbl_ResidentData[[#This Row],[Enrollment '[mmm-yyyy']]]),"-",AND((Tbl_ResidentData[[#This Row],[Enrollment '[mmm-yyyy']]]&lt;=AL$4),IF(ISBLANK(Tbl_ResidentData[[#This Row],[Discharge '[mmm-yyyy']]]),TRUE,(Tbl_ResidentData[[#This Row],[Discharge '[mmm-yyyy']]]&gt;=AL$4)))))</f>
        <v>-</v>
      </c>
      <c r="AM70" s="121" t="str">
        <f ca="1">IF(AM$4&gt;NOW(),"-",IF(ISBLANK(Tbl_ResidentData[[#This Row],[Enrollment '[mmm-yyyy']]]),"-",AND((Tbl_ResidentData[[#This Row],[Enrollment '[mmm-yyyy']]]&lt;=AM$4),IF(ISBLANK(Tbl_ResidentData[[#This Row],[Discharge '[mmm-yyyy']]]),TRUE,(Tbl_ResidentData[[#This Row],[Discharge '[mmm-yyyy']]]&gt;=AM$4)))))</f>
        <v>-</v>
      </c>
      <c r="AN70" s="121" t="str">
        <f ca="1">IF(AN$4&gt;NOW(),"-",IF(ISBLANK(Tbl_ResidentData[[#This Row],[Enrollment '[mmm-yyyy']]]),"-",AND((Tbl_ResidentData[[#This Row],[Enrollment '[mmm-yyyy']]]&lt;=AN$4),IF(ISBLANK(Tbl_ResidentData[[#This Row],[Discharge '[mmm-yyyy']]]),TRUE,(Tbl_ResidentData[[#This Row],[Discharge '[mmm-yyyy']]]&gt;=AN$4)))))</f>
        <v>-</v>
      </c>
      <c r="AO70" s="121" t="str">
        <f ca="1">IF(AO$4&gt;NOW(),"-",IF(ISBLANK(Tbl_ResidentData[[#This Row],[Enrollment '[mmm-yyyy']]]),"-",AND((Tbl_ResidentData[[#This Row],[Enrollment '[mmm-yyyy']]]&lt;=AO$4),IF(ISBLANK(Tbl_ResidentData[[#This Row],[Discharge '[mmm-yyyy']]]),TRUE,(Tbl_ResidentData[[#This Row],[Discharge '[mmm-yyyy']]]&gt;=AO$4)))))</f>
        <v>-</v>
      </c>
      <c r="AP70" s="121" t="str">
        <f ca="1">IF(AP$4&gt;NOW(),"-",IF(ISBLANK(Tbl_ResidentData[[#This Row],[Enrollment '[mmm-yyyy']]]),"-",AND((Tbl_ResidentData[[#This Row],[Enrollment '[mmm-yyyy']]]&lt;=AP$4),IF(ISBLANK(Tbl_ResidentData[[#This Row],[Discharge '[mmm-yyyy']]]),TRUE,(Tbl_ResidentData[[#This Row],[Discharge '[mmm-yyyy']]]&gt;=AP$4)))))</f>
        <v>-</v>
      </c>
      <c r="AQ70" s="121" t="str">
        <f ca="1">IF(AQ$4&gt;NOW(),"-",IF(ISBLANK(Tbl_ResidentData[[#This Row],[Enrollment '[mmm-yyyy']]]),"-",AND((Tbl_ResidentData[[#This Row],[Enrollment '[mmm-yyyy']]]&lt;=AQ$4),IF(ISBLANK(Tbl_ResidentData[[#This Row],[Discharge '[mmm-yyyy']]]),TRUE,(Tbl_ResidentData[[#This Row],[Discharge '[mmm-yyyy']]]&gt;=AQ$4)))))</f>
        <v>-</v>
      </c>
      <c r="AR70" s="122" t="str">
        <f ca="1">IF(AR$4&gt;NOW(),"-",IF(ISBLANK(Tbl_ResidentData[[#This Row],[Enrollment '[mmm-yyyy']]]),"-",AND((Tbl_ResidentData[[#This Row],[Enrollment '[mmm-yyyy']]]&lt;=AR$4),IF(ISBLANK(Tbl_ResidentData[[#This Row],[Discharge '[mmm-yyyy']]]),TRUE,(Tbl_ResidentData[[#This Row],[Discharge '[mmm-yyyy']]]&gt;=AR$4)))))</f>
        <v>-</v>
      </c>
      <c r="AS7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0" s="120" t="b">
        <f ca="1">AND(Tbl_ResidentData[[#This Row],[PRN Med Started]]&lt;&gt;"",Tbl_ResidentData[[#This Row],[PRN Med Started]]&lt;=NOW(),Tbl_ResidentData[[#This Row],[PRN Med Started]]&lt;=AS$4,OR(Tbl_ResidentData[[#This Row],[PRN Med Discontinued]]&gt;AS$4,ISBLANK(Tbl_ResidentData[[#This Row],[PRN Med Discontinued]])))</f>
        <v>0</v>
      </c>
      <c r="BR70" s="121" t="b">
        <f ca="1">AND(Tbl_ResidentData[[#This Row],[PRN Med Started]]&lt;&gt;"",Tbl_ResidentData[[#This Row],[PRN Med Started]]&lt;=NOW(),Tbl_ResidentData[[#This Row],[PRN Med Started]]&lt;=AT$4,OR(Tbl_ResidentData[[#This Row],[PRN Med Discontinued]]&gt;AT$4,ISBLANK(Tbl_ResidentData[[#This Row],[PRN Med Discontinued]])))</f>
        <v>0</v>
      </c>
      <c r="BS70" s="121" t="b">
        <f ca="1">AND(Tbl_ResidentData[[#This Row],[PRN Med Started]]&lt;&gt;"",Tbl_ResidentData[[#This Row],[PRN Med Started]]&lt;=NOW(),Tbl_ResidentData[[#This Row],[PRN Med Started]]&lt;=AU$4,OR(Tbl_ResidentData[[#This Row],[PRN Med Discontinued]]&gt;AU$4,ISBLANK(Tbl_ResidentData[[#This Row],[PRN Med Discontinued]])))</f>
        <v>0</v>
      </c>
      <c r="BT70" s="121" t="b">
        <f ca="1">AND(Tbl_ResidentData[[#This Row],[PRN Med Started]]&lt;&gt;"",Tbl_ResidentData[[#This Row],[PRN Med Started]]&lt;=NOW(),Tbl_ResidentData[[#This Row],[PRN Med Started]]&lt;=AV$4,OR(Tbl_ResidentData[[#This Row],[PRN Med Discontinued]]&gt;AV$4,ISBLANK(Tbl_ResidentData[[#This Row],[PRN Med Discontinued]])))</f>
        <v>0</v>
      </c>
      <c r="BU70" s="121" t="b">
        <f ca="1">AND(Tbl_ResidentData[[#This Row],[PRN Med Started]]&lt;&gt;"",Tbl_ResidentData[[#This Row],[PRN Med Started]]&lt;=NOW(),Tbl_ResidentData[[#This Row],[PRN Med Started]]&lt;=AW$4,OR(Tbl_ResidentData[[#This Row],[PRN Med Discontinued]]&gt;AW$4,ISBLANK(Tbl_ResidentData[[#This Row],[PRN Med Discontinued]])))</f>
        <v>0</v>
      </c>
      <c r="BV70" s="121" t="b">
        <f ca="1">AND(Tbl_ResidentData[[#This Row],[PRN Med Started]]&lt;&gt;"",Tbl_ResidentData[[#This Row],[PRN Med Started]]&lt;=NOW(),Tbl_ResidentData[[#This Row],[PRN Med Started]]&lt;=AX$4,OR(Tbl_ResidentData[[#This Row],[PRN Med Discontinued]]&gt;AX$4,ISBLANK(Tbl_ResidentData[[#This Row],[PRN Med Discontinued]])))</f>
        <v>0</v>
      </c>
      <c r="BW70" s="121" t="b">
        <f ca="1">AND(Tbl_ResidentData[[#This Row],[PRN Med Started]]&lt;&gt;"",Tbl_ResidentData[[#This Row],[PRN Med Started]]&lt;=NOW(),Tbl_ResidentData[[#This Row],[PRN Med Started]]&lt;=AY$4,OR(Tbl_ResidentData[[#This Row],[PRN Med Discontinued]]&gt;AY$4,ISBLANK(Tbl_ResidentData[[#This Row],[PRN Med Discontinued]])))</f>
        <v>0</v>
      </c>
      <c r="BX70" s="121" t="b">
        <f ca="1">AND(Tbl_ResidentData[[#This Row],[PRN Med Started]]&lt;&gt;"",Tbl_ResidentData[[#This Row],[PRN Med Started]]&lt;=NOW(),Tbl_ResidentData[[#This Row],[PRN Med Started]]&lt;=AZ$4,OR(Tbl_ResidentData[[#This Row],[PRN Med Discontinued]]&gt;AZ$4,ISBLANK(Tbl_ResidentData[[#This Row],[PRN Med Discontinued]])))</f>
        <v>0</v>
      </c>
      <c r="BY70" s="121" t="b">
        <f ca="1">AND(Tbl_ResidentData[[#This Row],[PRN Med Started]]&lt;&gt;"",Tbl_ResidentData[[#This Row],[PRN Med Started]]&lt;=NOW(),Tbl_ResidentData[[#This Row],[PRN Med Started]]&lt;=BA$4,OR(Tbl_ResidentData[[#This Row],[PRN Med Discontinued]]&gt;BA$4,ISBLANK(Tbl_ResidentData[[#This Row],[PRN Med Discontinued]])))</f>
        <v>0</v>
      </c>
      <c r="BZ70" s="121" t="b">
        <f ca="1">AND(Tbl_ResidentData[[#This Row],[PRN Med Started]]&lt;&gt;"",Tbl_ResidentData[[#This Row],[PRN Med Started]]&lt;=NOW(),Tbl_ResidentData[[#This Row],[PRN Med Started]]&lt;=BB$4,OR(Tbl_ResidentData[[#This Row],[PRN Med Discontinued]]&gt;BB$4,ISBLANK(Tbl_ResidentData[[#This Row],[PRN Med Discontinued]])))</f>
        <v>0</v>
      </c>
      <c r="CA70" s="121" t="b">
        <f ca="1">AND(Tbl_ResidentData[[#This Row],[PRN Med Started]]&lt;&gt;"",Tbl_ResidentData[[#This Row],[PRN Med Started]]&lt;=NOW(),Tbl_ResidentData[[#This Row],[PRN Med Started]]&lt;=BC$4,OR(Tbl_ResidentData[[#This Row],[PRN Med Discontinued]]&gt;BC$4,ISBLANK(Tbl_ResidentData[[#This Row],[PRN Med Discontinued]])))</f>
        <v>0</v>
      </c>
      <c r="CB70" s="121" t="b">
        <f ca="1">AND(Tbl_ResidentData[[#This Row],[PRN Med Started]]&lt;&gt;"",Tbl_ResidentData[[#This Row],[PRN Med Started]]&lt;=NOW(),Tbl_ResidentData[[#This Row],[PRN Med Started]]&lt;=BD$4,OR(Tbl_ResidentData[[#This Row],[PRN Med Discontinued]]&gt;BD$4,ISBLANK(Tbl_ResidentData[[#This Row],[PRN Med Discontinued]])))</f>
        <v>0</v>
      </c>
      <c r="CC70" s="121" t="b">
        <f ca="1">AND(Tbl_ResidentData[[#This Row],[PRN Med Started]]&lt;&gt;"",Tbl_ResidentData[[#This Row],[PRN Med Started]]&lt;=NOW(),Tbl_ResidentData[[#This Row],[PRN Med Started]]&lt;=BE$4,OR(Tbl_ResidentData[[#This Row],[PRN Med Discontinued]]&gt;BE$4,ISBLANK(Tbl_ResidentData[[#This Row],[PRN Med Discontinued]])))</f>
        <v>0</v>
      </c>
      <c r="CD70" s="121" t="b">
        <f ca="1">AND(Tbl_ResidentData[[#This Row],[PRN Med Started]]&lt;&gt;"",Tbl_ResidentData[[#This Row],[PRN Med Started]]&lt;=NOW(),Tbl_ResidentData[[#This Row],[PRN Med Started]]&lt;=BF$4,OR(Tbl_ResidentData[[#This Row],[PRN Med Discontinued]]&gt;BF$4,ISBLANK(Tbl_ResidentData[[#This Row],[PRN Med Discontinued]])))</f>
        <v>0</v>
      </c>
      <c r="CE70" s="121" t="b">
        <f ca="1">AND(Tbl_ResidentData[[#This Row],[PRN Med Started]]&lt;&gt;"",Tbl_ResidentData[[#This Row],[PRN Med Started]]&lt;=NOW(),Tbl_ResidentData[[#This Row],[PRN Med Started]]&lt;=BG$4,OR(Tbl_ResidentData[[#This Row],[PRN Med Discontinued]]&gt;BG$4,ISBLANK(Tbl_ResidentData[[#This Row],[PRN Med Discontinued]])))</f>
        <v>0</v>
      </c>
      <c r="CF70" s="121" t="b">
        <f ca="1">AND(Tbl_ResidentData[[#This Row],[PRN Med Started]]&lt;&gt;"",Tbl_ResidentData[[#This Row],[PRN Med Started]]&lt;=NOW(),Tbl_ResidentData[[#This Row],[PRN Med Started]]&lt;=BH$4,OR(Tbl_ResidentData[[#This Row],[PRN Med Discontinued]]&gt;BH$4,ISBLANK(Tbl_ResidentData[[#This Row],[PRN Med Discontinued]])))</f>
        <v>0</v>
      </c>
      <c r="CG70" s="121" t="b">
        <f ca="1">AND(Tbl_ResidentData[[#This Row],[PRN Med Started]]&lt;&gt;"",Tbl_ResidentData[[#This Row],[PRN Med Started]]&lt;=NOW(),Tbl_ResidentData[[#This Row],[PRN Med Started]]&lt;=BI$4,OR(Tbl_ResidentData[[#This Row],[PRN Med Discontinued]]&gt;BI$4,ISBLANK(Tbl_ResidentData[[#This Row],[PRN Med Discontinued]])))</f>
        <v>0</v>
      </c>
      <c r="CH70" s="121" t="b">
        <f ca="1">AND(Tbl_ResidentData[[#This Row],[PRN Med Started]]&lt;&gt;"",Tbl_ResidentData[[#This Row],[PRN Med Started]]&lt;=NOW(),Tbl_ResidentData[[#This Row],[PRN Med Started]]&lt;=BJ$4,OR(Tbl_ResidentData[[#This Row],[PRN Med Discontinued]]&gt;BJ$4,ISBLANK(Tbl_ResidentData[[#This Row],[PRN Med Discontinued]])))</f>
        <v>0</v>
      </c>
      <c r="CI70" s="121" t="b">
        <f ca="1">AND(Tbl_ResidentData[[#This Row],[PRN Med Started]]&lt;&gt;"",Tbl_ResidentData[[#This Row],[PRN Med Started]]&lt;=NOW(),Tbl_ResidentData[[#This Row],[PRN Med Started]]&lt;=BK$4,OR(Tbl_ResidentData[[#This Row],[PRN Med Discontinued]]&gt;BK$4,ISBLANK(Tbl_ResidentData[[#This Row],[PRN Med Discontinued]])))</f>
        <v>0</v>
      </c>
      <c r="CJ70" s="121" t="b">
        <f ca="1">AND(Tbl_ResidentData[[#This Row],[PRN Med Started]]&lt;&gt;"",Tbl_ResidentData[[#This Row],[PRN Med Started]]&lt;=NOW(),Tbl_ResidentData[[#This Row],[PRN Med Started]]&lt;=BL$4,OR(Tbl_ResidentData[[#This Row],[PRN Med Discontinued]]&gt;BL$4,ISBLANK(Tbl_ResidentData[[#This Row],[PRN Med Discontinued]])))</f>
        <v>0</v>
      </c>
      <c r="CK70" s="121" t="b">
        <f ca="1">AND(Tbl_ResidentData[[#This Row],[PRN Med Started]]&lt;&gt;"",Tbl_ResidentData[[#This Row],[PRN Med Started]]&lt;=NOW(),Tbl_ResidentData[[#This Row],[PRN Med Started]]&lt;=BM$4,OR(Tbl_ResidentData[[#This Row],[PRN Med Discontinued]]&gt;BM$4,ISBLANK(Tbl_ResidentData[[#This Row],[PRN Med Discontinued]])))</f>
        <v>0</v>
      </c>
      <c r="CL70" s="121" t="b">
        <f ca="1">AND(Tbl_ResidentData[[#This Row],[PRN Med Started]]&lt;&gt;"",Tbl_ResidentData[[#This Row],[PRN Med Started]]&lt;=NOW(),Tbl_ResidentData[[#This Row],[PRN Med Started]]&lt;=BN$4,OR(Tbl_ResidentData[[#This Row],[PRN Med Discontinued]]&gt;BN$4,ISBLANK(Tbl_ResidentData[[#This Row],[PRN Med Discontinued]])))</f>
        <v>0</v>
      </c>
      <c r="CM70" s="121" t="b">
        <f ca="1">AND(Tbl_ResidentData[[#This Row],[PRN Med Started]]&lt;&gt;"",Tbl_ResidentData[[#This Row],[PRN Med Started]]&lt;=NOW(),Tbl_ResidentData[[#This Row],[PRN Med Started]]&lt;=BO$4,OR(Tbl_ResidentData[[#This Row],[PRN Med Discontinued]]&gt;BO$4,ISBLANK(Tbl_ResidentData[[#This Row],[PRN Med Discontinued]])))</f>
        <v>0</v>
      </c>
      <c r="CN70" s="122" t="b">
        <f ca="1">AND(Tbl_ResidentData[[#This Row],[PRN Med Started]]&lt;&gt;"",Tbl_ResidentData[[#This Row],[PRN Med Started]]&lt;=NOW(),Tbl_ResidentData[[#This Row],[PRN Med Started]]&lt;=BP$4,OR(Tbl_ResidentData[[#This Row],[PRN Med Discontinued]]&gt;BP$4,ISBLANK(Tbl_ResidentData[[#This Row],[PRN Med Discontinued]])))</f>
        <v>0</v>
      </c>
      <c r="CO70" s="120">
        <f ca="1">IF(OR(Tbl_ResidentData[[#This Row],[S1]]=TRUE,Tbl_ResidentData[[#This Row],[P1]]=TRUE),1,0)</f>
        <v>0</v>
      </c>
      <c r="CP70" s="121">
        <f ca="1">IF(OR(Tbl_ResidentData[[#This Row],[S2]]=TRUE,Tbl_ResidentData[[#This Row],[P2]]=TRUE),1,0)</f>
        <v>0</v>
      </c>
      <c r="CQ70" s="121">
        <f ca="1">IF(OR(Tbl_ResidentData[[#This Row],[S3]]=TRUE,Tbl_ResidentData[[#This Row],[P3]]=TRUE),1,0)</f>
        <v>0</v>
      </c>
      <c r="CR70" s="120">
        <f ca="1">IF(OR(Tbl_ResidentData[[#This Row],[S4]]=TRUE,Tbl_ResidentData[[#This Row],[P4]]=TRUE),1,0)</f>
        <v>0</v>
      </c>
      <c r="CS70" s="120">
        <f ca="1">IF(OR(Tbl_ResidentData[[#This Row],[S5]]=TRUE,Tbl_ResidentData[[#This Row],[P5]]=TRUE),1,0)</f>
        <v>0</v>
      </c>
      <c r="CT70" s="120">
        <f ca="1">IF(OR(Tbl_ResidentData[[#This Row],[S6]]=TRUE,Tbl_ResidentData[[#This Row],[P6]]=TRUE),1,0)</f>
        <v>0</v>
      </c>
      <c r="CU70" s="120">
        <f ca="1">IF(OR(Tbl_ResidentData[[#This Row],[S7]]=TRUE,Tbl_ResidentData[[#This Row],[P7]]=TRUE),1,0)</f>
        <v>0</v>
      </c>
      <c r="CV70" s="120">
        <f ca="1">IF(OR(Tbl_ResidentData[[#This Row],[S8]]=TRUE,Tbl_ResidentData[[#This Row],[P8]]=TRUE),1,0)</f>
        <v>0</v>
      </c>
      <c r="CW70" s="120">
        <f ca="1">IF(OR(Tbl_ResidentData[[#This Row],[S9]]=TRUE,Tbl_ResidentData[[#This Row],[P9]]=TRUE),1,0)</f>
        <v>0</v>
      </c>
      <c r="CX70" s="120">
        <f ca="1">IF(OR(Tbl_ResidentData[[#This Row],[S10]]=TRUE,Tbl_ResidentData[[#This Row],[P10]]=TRUE),1,0)</f>
        <v>0</v>
      </c>
      <c r="CY70" s="120">
        <f ca="1">IF(OR(Tbl_ResidentData[[#This Row],[S11]]=TRUE,Tbl_ResidentData[[#This Row],[P11]]=TRUE),1,0)</f>
        <v>0</v>
      </c>
      <c r="CZ70" s="120">
        <f ca="1">IF(OR(Tbl_ResidentData[[#This Row],[S12]]=TRUE,Tbl_ResidentData[[#This Row],[P12]]=TRUE),1,0)</f>
        <v>0</v>
      </c>
      <c r="DA70" s="120">
        <f ca="1">IF(OR(Tbl_ResidentData[[#This Row],[S13]]=TRUE,Tbl_ResidentData[[#This Row],[P13]]=TRUE),1,0)</f>
        <v>0</v>
      </c>
      <c r="DB70" s="120">
        <f ca="1">IF(OR(Tbl_ResidentData[[#This Row],[S14]]=TRUE,Tbl_ResidentData[[#This Row],[P14]]=TRUE),1,0)</f>
        <v>0</v>
      </c>
      <c r="DC70" s="120">
        <f ca="1">IF(OR(Tbl_ResidentData[[#This Row],[S15]]=TRUE,Tbl_ResidentData[[#This Row],[P15]]=TRUE),1,0)</f>
        <v>0</v>
      </c>
      <c r="DD70" s="120">
        <f ca="1">IF(OR(Tbl_ResidentData[[#This Row],[S16]]=TRUE,Tbl_ResidentData[[#This Row],[P16]]=TRUE),1,0)</f>
        <v>0</v>
      </c>
      <c r="DE70" s="120">
        <f ca="1">IF(OR(Tbl_ResidentData[[#This Row],[S17]]=TRUE,Tbl_ResidentData[[#This Row],[P17]]=TRUE),1,0)</f>
        <v>0</v>
      </c>
      <c r="DF70" s="120">
        <f ca="1">IF(OR(Tbl_ResidentData[[#This Row],[S18]]=TRUE,Tbl_ResidentData[[#This Row],[P18]]=TRUE),1,0)</f>
        <v>0</v>
      </c>
      <c r="DG70" s="120">
        <f ca="1">IF(OR(Tbl_ResidentData[[#This Row],[S19]]=TRUE,Tbl_ResidentData[[#This Row],[P19]]=TRUE),1,0)</f>
        <v>0</v>
      </c>
      <c r="DH70" s="120">
        <f ca="1">IF(OR(Tbl_ResidentData[[#This Row],[S20]]=TRUE,Tbl_ResidentData[[#This Row],[P20]]=TRUE),1,0)</f>
        <v>0</v>
      </c>
      <c r="DI70" s="120">
        <f ca="1">IF(OR(Tbl_ResidentData[[#This Row],[S21]]=TRUE,Tbl_ResidentData[[#This Row],[P21]]=TRUE),1,0)</f>
        <v>0</v>
      </c>
      <c r="DJ70" s="120">
        <f ca="1">IF(OR(Tbl_ResidentData[[#This Row],[S22]]=TRUE,Tbl_ResidentData[[#This Row],[P22]]=TRUE),1,0)</f>
        <v>0</v>
      </c>
      <c r="DK70" s="120">
        <f ca="1">IF(OR(Tbl_ResidentData[[#This Row],[S23]]=TRUE,Tbl_ResidentData[[#This Row],[P23]]=TRUE),1,0)</f>
        <v>0</v>
      </c>
      <c r="DL70" s="120">
        <f ca="1">IF(OR(Tbl_ResidentData[[#This Row],[S24]]=TRUE,Tbl_ResidentData[[#This Row],[P24]]=TRUE),1,0)</f>
        <v>0</v>
      </c>
      <c r="DM70" s="123" t="str">
        <f ca="1">IFERROR(INDEX($CO$4:$DL$4,MATCH(TRUE,INDEX((Tbl_ResidentData[[#This Row],[Over1]:[Over24]]&lt;&gt;0),0),0)),"")</f>
        <v/>
      </c>
      <c r="DN70" s="133" t="str">
        <f>IFERROR(INDEX(Tbl_PDSAData[Last DRT],MATCH(Tbl_ResidentData[Resident Name '[last, first']],Tbl_PDSAData[Resident Name (last, first)],0)),"")</f>
        <v/>
      </c>
      <c r="DO70" s="222" t="str">
        <f>IFERROR(INDEX(Tbl_PDSAData[Last MR],MATCH(Tbl_ResidentData[Resident Name '[last, first']],Tbl_PDSAData[Resident Name (last, first)],0)),"")</f>
        <v/>
      </c>
    </row>
    <row r="71" spans="1:119" x14ac:dyDescent="0.25">
      <c r="A71" s="179"/>
      <c r="B71" s="180"/>
      <c r="C71" s="180"/>
      <c r="D71" s="218"/>
      <c r="E71" s="179"/>
      <c r="F71" s="181"/>
      <c r="G71" s="181"/>
      <c r="H71" s="375"/>
      <c r="I71" s="185"/>
      <c r="J71" s="387"/>
      <c r="K71" s="178"/>
      <c r="L71" s="388"/>
      <c r="M71" s="185"/>
      <c r="N71" s="386"/>
      <c r="O71" s="178"/>
      <c r="P71" s="388"/>
      <c r="Q71" s="395"/>
      <c r="R71" s="396"/>
      <c r="S71" s="131" t="str">
        <f>IF(ISBLANK(Tbl_ResidentData[[#This Row],[Discharge '[mmm-yyyy']]]),IF(ISBLANK(Tbl_ResidentData[[#This Row],[Enrollment '[mmm-yyyy']]]),"","In Care Home"),"Discharged")</f>
        <v/>
      </c>
      <c r="T71" s="119" t="str">
        <f>IF(ISBLANK(Tbl_ResidentData[[#This Row],[Diagnosis (RAI)]]),IF(ISBLANK(Tbl_ResidentData[[#This Row],[Resident Name '[last, first']]]),"",0),IF(Tbl_ResidentData[[#This Row],[Diagnosis (RAI)]]="Other (see clinical notes)",0,1))</f>
        <v/>
      </c>
      <c r="U71" s="120" t="str">
        <f ca="1">IF(U$4&gt;NOW(),"-",IF(ISBLANK(Tbl_ResidentData[[#This Row],[Enrollment '[mmm-yyyy']]]),"-",AND((Tbl_ResidentData[[#This Row],[Enrollment '[mmm-yyyy']]]&lt;=U$4),IF(ISBLANK(Tbl_ResidentData[[#This Row],[Discharge '[mmm-yyyy']]]),TRUE,(Tbl_ResidentData[[#This Row],[Discharge '[mmm-yyyy']]]&gt;=U$4)))))</f>
        <v>-</v>
      </c>
      <c r="V71" s="121" t="str">
        <f ca="1">IF(V$4&gt;NOW(),"-",IF(ISBLANK(Tbl_ResidentData[[#This Row],[Enrollment '[mmm-yyyy']]]),"-",AND((Tbl_ResidentData[[#This Row],[Enrollment '[mmm-yyyy']]]&lt;=V$4),IF(ISBLANK(Tbl_ResidentData[[#This Row],[Discharge '[mmm-yyyy']]]),TRUE,(Tbl_ResidentData[[#This Row],[Discharge '[mmm-yyyy']]]&gt;=V$4)))))</f>
        <v>-</v>
      </c>
      <c r="W71" s="121" t="str">
        <f ca="1">IF(W$4&gt;NOW(),"-",IF(ISBLANK(Tbl_ResidentData[[#This Row],[Enrollment '[mmm-yyyy']]]),"-",AND((Tbl_ResidentData[[#This Row],[Enrollment '[mmm-yyyy']]]&lt;=W$4),IF(ISBLANK(Tbl_ResidentData[[#This Row],[Discharge '[mmm-yyyy']]]),TRUE,(Tbl_ResidentData[[#This Row],[Discharge '[mmm-yyyy']]]&gt;=W$4)))))</f>
        <v>-</v>
      </c>
      <c r="X71" s="121" t="str">
        <f ca="1">IF(X$4&gt;NOW(),"-",IF(ISBLANK(Tbl_ResidentData[[#This Row],[Enrollment '[mmm-yyyy']]]),"-",AND((Tbl_ResidentData[[#This Row],[Enrollment '[mmm-yyyy']]]&lt;=X$4),IF(ISBLANK(Tbl_ResidentData[[#This Row],[Discharge '[mmm-yyyy']]]),TRUE,(Tbl_ResidentData[[#This Row],[Discharge '[mmm-yyyy']]]&gt;=X$4)))))</f>
        <v>-</v>
      </c>
      <c r="Y71" s="121" t="str">
        <f ca="1">IF(Y$4&gt;NOW(),"-",IF(ISBLANK(Tbl_ResidentData[[#This Row],[Enrollment '[mmm-yyyy']]]),"-",AND((Tbl_ResidentData[[#This Row],[Enrollment '[mmm-yyyy']]]&lt;=Y$4),IF(ISBLANK(Tbl_ResidentData[[#This Row],[Discharge '[mmm-yyyy']]]),TRUE,(Tbl_ResidentData[[#This Row],[Discharge '[mmm-yyyy']]]&gt;=Y$4)))))</f>
        <v>-</v>
      </c>
      <c r="Z71" s="121" t="str">
        <f ca="1">IF(Z$4&gt;NOW(),"-",IF(ISBLANK(Tbl_ResidentData[[#This Row],[Enrollment '[mmm-yyyy']]]),"-",AND((Tbl_ResidentData[[#This Row],[Enrollment '[mmm-yyyy']]]&lt;=Z$4),IF(ISBLANK(Tbl_ResidentData[[#This Row],[Discharge '[mmm-yyyy']]]),TRUE,(Tbl_ResidentData[[#This Row],[Discharge '[mmm-yyyy']]]&gt;=Z$4)))))</f>
        <v>-</v>
      </c>
      <c r="AA71" s="121" t="str">
        <f ca="1">IF(AA$4&gt;NOW(),"-",IF(ISBLANK(Tbl_ResidentData[[#This Row],[Enrollment '[mmm-yyyy']]]),"-",AND((Tbl_ResidentData[[#This Row],[Enrollment '[mmm-yyyy']]]&lt;=AA$4),IF(ISBLANK(Tbl_ResidentData[[#This Row],[Discharge '[mmm-yyyy']]]),TRUE,(Tbl_ResidentData[[#This Row],[Discharge '[mmm-yyyy']]]&gt;=AA$4)))))</f>
        <v>-</v>
      </c>
      <c r="AB71" s="121" t="str">
        <f ca="1">IF(AB$4&gt;NOW(),"-",IF(ISBLANK(Tbl_ResidentData[[#This Row],[Enrollment '[mmm-yyyy']]]),"-",AND((Tbl_ResidentData[[#This Row],[Enrollment '[mmm-yyyy']]]&lt;=AB$4),IF(ISBLANK(Tbl_ResidentData[[#This Row],[Discharge '[mmm-yyyy']]]),TRUE,(Tbl_ResidentData[[#This Row],[Discharge '[mmm-yyyy']]]&gt;=AB$4)))))</f>
        <v>-</v>
      </c>
      <c r="AC71" s="121" t="str">
        <f ca="1">IF(AC$4&gt;NOW(),"-",IF(ISBLANK(Tbl_ResidentData[[#This Row],[Enrollment '[mmm-yyyy']]]),"-",AND((Tbl_ResidentData[[#This Row],[Enrollment '[mmm-yyyy']]]&lt;=AC$4),IF(ISBLANK(Tbl_ResidentData[[#This Row],[Discharge '[mmm-yyyy']]]),TRUE,(Tbl_ResidentData[[#This Row],[Discharge '[mmm-yyyy']]]&gt;=AC$4)))))</f>
        <v>-</v>
      </c>
      <c r="AD71" s="121" t="str">
        <f ca="1">IF(AD$4&gt;NOW(),"-",IF(ISBLANK(Tbl_ResidentData[[#This Row],[Enrollment '[mmm-yyyy']]]),"-",AND((Tbl_ResidentData[[#This Row],[Enrollment '[mmm-yyyy']]]&lt;=AD$4),IF(ISBLANK(Tbl_ResidentData[[#This Row],[Discharge '[mmm-yyyy']]]),TRUE,(Tbl_ResidentData[[#This Row],[Discharge '[mmm-yyyy']]]&gt;=AD$4)))))</f>
        <v>-</v>
      </c>
      <c r="AE71" s="121" t="str">
        <f ca="1">IF(AE$4&gt;NOW(),"-",IF(ISBLANK(Tbl_ResidentData[[#This Row],[Enrollment '[mmm-yyyy']]]),"-",AND((Tbl_ResidentData[[#This Row],[Enrollment '[mmm-yyyy']]]&lt;=AE$4),IF(ISBLANK(Tbl_ResidentData[[#This Row],[Discharge '[mmm-yyyy']]]),TRUE,(Tbl_ResidentData[[#This Row],[Discharge '[mmm-yyyy']]]&gt;=AE$4)))))</f>
        <v>-</v>
      </c>
      <c r="AF71" s="121" t="str">
        <f ca="1">IF(AF$4&gt;NOW(),"-",IF(ISBLANK(Tbl_ResidentData[[#This Row],[Enrollment '[mmm-yyyy']]]),"-",AND((Tbl_ResidentData[[#This Row],[Enrollment '[mmm-yyyy']]]&lt;=AF$4),IF(ISBLANK(Tbl_ResidentData[[#This Row],[Discharge '[mmm-yyyy']]]),TRUE,(Tbl_ResidentData[[#This Row],[Discharge '[mmm-yyyy']]]&gt;=AF$4)))))</f>
        <v>-</v>
      </c>
      <c r="AG71" s="121" t="str">
        <f ca="1">IF(AG$4&gt;NOW(),"-",IF(ISBLANK(Tbl_ResidentData[[#This Row],[Enrollment '[mmm-yyyy']]]),"-",AND((Tbl_ResidentData[[#This Row],[Enrollment '[mmm-yyyy']]]&lt;=AG$4),IF(ISBLANK(Tbl_ResidentData[[#This Row],[Discharge '[mmm-yyyy']]]),TRUE,(Tbl_ResidentData[[#This Row],[Discharge '[mmm-yyyy']]]&gt;=AG$4)))))</f>
        <v>-</v>
      </c>
      <c r="AH71" s="121" t="str">
        <f ca="1">IF(AH$4&gt;NOW(),"-",IF(ISBLANK(Tbl_ResidentData[[#This Row],[Enrollment '[mmm-yyyy']]]),"-",AND((Tbl_ResidentData[[#This Row],[Enrollment '[mmm-yyyy']]]&lt;=AH$4),IF(ISBLANK(Tbl_ResidentData[[#This Row],[Discharge '[mmm-yyyy']]]),TRUE,(Tbl_ResidentData[[#This Row],[Discharge '[mmm-yyyy']]]&gt;=AH$4)))))</f>
        <v>-</v>
      </c>
      <c r="AI71" s="121" t="str">
        <f ca="1">IF(AI$4&gt;NOW(),"-",IF(ISBLANK(Tbl_ResidentData[[#This Row],[Enrollment '[mmm-yyyy']]]),"-",AND((Tbl_ResidentData[[#This Row],[Enrollment '[mmm-yyyy']]]&lt;=AI$4),IF(ISBLANK(Tbl_ResidentData[[#This Row],[Discharge '[mmm-yyyy']]]),TRUE,(Tbl_ResidentData[[#This Row],[Discharge '[mmm-yyyy']]]&gt;=AI$4)))))</f>
        <v>-</v>
      </c>
      <c r="AJ71" s="121" t="str">
        <f ca="1">IF(AJ$4&gt;NOW(),"-",IF(ISBLANK(Tbl_ResidentData[[#This Row],[Enrollment '[mmm-yyyy']]]),"-",AND((Tbl_ResidentData[[#This Row],[Enrollment '[mmm-yyyy']]]&lt;=AJ$4),IF(ISBLANK(Tbl_ResidentData[[#This Row],[Discharge '[mmm-yyyy']]]),TRUE,(Tbl_ResidentData[[#This Row],[Discharge '[mmm-yyyy']]]&gt;=AJ$4)))))</f>
        <v>-</v>
      </c>
      <c r="AK71" s="121" t="str">
        <f ca="1">IF(AK$4&gt;NOW(),"-",IF(ISBLANK(Tbl_ResidentData[[#This Row],[Enrollment '[mmm-yyyy']]]),"-",AND((Tbl_ResidentData[[#This Row],[Enrollment '[mmm-yyyy']]]&lt;=AK$4),IF(ISBLANK(Tbl_ResidentData[[#This Row],[Discharge '[mmm-yyyy']]]),TRUE,(Tbl_ResidentData[[#This Row],[Discharge '[mmm-yyyy']]]&gt;=AK$4)))))</f>
        <v>-</v>
      </c>
      <c r="AL71" s="121" t="str">
        <f ca="1">IF(AL$4&gt;NOW(),"-",IF(ISBLANK(Tbl_ResidentData[[#This Row],[Enrollment '[mmm-yyyy']]]),"-",AND((Tbl_ResidentData[[#This Row],[Enrollment '[mmm-yyyy']]]&lt;=AL$4),IF(ISBLANK(Tbl_ResidentData[[#This Row],[Discharge '[mmm-yyyy']]]),TRUE,(Tbl_ResidentData[[#This Row],[Discharge '[mmm-yyyy']]]&gt;=AL$4)))))</f>
        <v>-</v>
      </c>
      <c r="AM71" s="121" t="str">
        <f ca="1">IF(AM$4&gt;NOW(),"-",IF(ISBLANK(Tbl_ResidentData[[#This Row],[Enrollment '[mmm-yyyy']]]),"-",AND((Tbl_ResidentData[[#This Row],[Enrollment '[mmm-yyyy']]]&lt;=AM$4),IF(ISBLANK(Tbl_ResidentData[[#This Row],[Discharge '[mmm-yyyy']]]),TRUE,(Tbl_ResidentData[[#This Row],[Discharge '[mmm-yyyy']]]&gt;=AM$4)))))</f>
        <v>-</v>
      </c>
      <c r="AN71" s="121" t="str">
        <f ca="1">IF(AN$4&gt;NOW(),"-",IF(ISBLANK(Tbl_ResidentData[[#This Row],[Enrollment '[mmm-yyyy']]]),"-",AND((Tbl_ResidentData[[#This Row],[Enrollment '[mmm-yyyy']]]&lt;=AN$4),IF(ISBLANK(Tbl_ResidentData[[#This Row],[Discharge '[mmm-yyyy']]]),TRUE,(Tbl_ResidentData[[#This Row],[Discharge '[mmm-yyyy']]]&gt;=AN$4)))))</f>
        <v>-</v>
      </c>
      <c r="AO71" s="121" t="str">
        <f ca="1">IF(AO$4&gt;NOW(),"-",IF(ISBLANK(Tbl_ResidentData[[#This Row],[Enrollment '[mmm-yyyy']]]),"-",AND((Tbl_ResidentData[[#This Row],[Enrollment '[mmm-yyyy']]]&lt;=AO$4),IF(ISBLANK(Tbl_ResidentData[[#This Row],[Discharge '[mmm-yyyy']]]),TRUE,(Tbl_ResidentData[[#This Row],[Discharge '[mmm-yyyy']]]&gt;=AO$4)))))</f>
        <v>-</v>
      </c>
      <c r="AP71" s="121" t="str">
        <f ca="1">IF(AP$4&gt;NOW(),"-",IF(ISBLANK(Tbl_ResidentData[[#This Row],[Enrollment '[mmm-yyyy']]]),"-",AND((Tbl_ResidentData[[#This Row],[Enrollment '[mmm-yyyy']]]&lt;=AP$4),IF(ISBLANK(Tbl_ResidentData[[#This Row],[Discharge '[mmm-yyyy']]]),TRUE,(Tbl_ResidentData[[#This Row],[Discharge '[mmm-yyyy']]]&gt;=AP$4)))))</f>
        <v>-</v>
      </c>
      <c r="AQ71" s="121" t="str">
        <f ca="1">IF(AQ$4&gt;NOW(),"-",IF(ISBLANK(Tbl_ResidentData[[#This Row],[Enrollment '[mmm-yyyy']]]),"-",AND((Tbl_ResidentData[[#This Row],[Enrollment '[mmm-yyyy']]]&lt;=AQ$4),IF(ISBLANK(Tbl_ResidentData[[#This Row],[Discharge '[mmm-yyyy']]]),TRUE,(Tbl_ResidentData[[#This Row],[Discharge '[mmm-yyyy']]]&gt;=AQ$4)))))</f>
        <v>-</v>
      </c>
      <c r="AR71" s="122" t="str">
        <f ca="1">IF(AR$4&gt;NOW(),"-",IF(ISBLANK(Tbl_ResidentData[[#This Row],[Enrollment '[mmm-yyyy']]]),"-",AND((Tbl_ResidentData[[#This Row],[Enrollment '[mmm-yyyy']]]&lt;=AR$4),IF(ISBLANK(Tbl_ResidentData[[#This Row],[Discharge '[mmm-yyyy']]]),TRUE,(Tbl_ResidentData[[#This Row],[Discharge '[mmm-yyyy']]]&gt;=AR$4)))))</f>
        <v>-</v>
      </c>
      <c r="AS7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1" s="120" t="b">
        <f ca="1">AND(Tbl_ResidentData[[#This Row],[PRN Med Started]]&lt;&gt;"",Tbl_ResidentData[[#This Row],[PRN Med Started]]&lt;=NOW(),Tbl_ResidentData[[#This Row],[PRN Med Started]]&lt;=AS$4,OR(Tbl_ResidentData[[#This Row],[PRN Med Discontinued]]&gt;AS$4,ISBLANK(Tbl_ResidentData[[#This Row],[PRN Med Discontinued]])))</f>
        <v>0</v>
      </c>
      <c r="BR71" s="121" t="b">
        <f ca="1">AND(Tbl_ResidentData[[#This Row],[PRN Med Started]]&lt;&gt;"",Tbl_ResidentData[[#This Row],[PRN Med Started]]&lt;=NOW(),Tbl_ResidentData[[#This Row],[PRN Med Started]]&lt;=AT$4,OR(Tbl_ResidentData[[#This Row],[PRN Med Discontinued]]&gt;AT$4,ISBLANK(Tbl_ResidentData[[#This Row],[PRN Med Discontinued]])))</f>
        <v>0</v>
      </c>
      <c r="BS71" s="121" t="b">
        <f ca="1">AND(Tbl_ResidentData[[#This Row],[PRN Med Started]]&lt;&gt;"",Tbl_ResidentData[[#This Row],[PRN Med Started]]&lt;=NOW(),Tbl_ResidentData[[#This Row],[PRN Med Started]]&lt;=AU$4,OR(Tbl_ResidentData[[#This Row],[PRN Med Discontinued]]&gt;AU$4,ISBLANK(Tbl_ResidentData[[#This Row],[PRN Med Discontinued]])))</f>
        <v>0</v>
      </c>
      <c r="BT71" s="121" t="b">
        <f ca="1">AND(Tbl_ResidentData[[#This Row],[PRN Med Started]]&lt;&gt;"",Tbl_ResidentData[[#This Row],[PRN Med Started]]&lt;=NOW(),Tbl_ResidentData[[#This Row],[PRN Med Started]]&lt;=AV$4,OR(Tbl_ResidentData[[#This Row],[PRN Med Discontinued]]&gt;AV$4,ISBLANK(Tbl_ResidentData[[#This Row],[PRN Med Discontinued]])))</f>
        <v>0</v>
      </c>
      <c r="BU71" s="121" t="b">
        <f ca="1">AND(Tbl_ResidentData[[#This Row],[PRN Med Started]]&lt;&gt;"",Tbl_ResidentData[[#This Row],[PRN Med Started]]&lt;=NOW(),Tbl_ResidentData[[#This Row],[PRN Med Started]]&lt;=AW$4,OR(Tbl_ResidentData[[#This Row],[PRN Med Discontinued]]&gt;AW$4,ISBLANK(Tbl_ResidentData[[#This Row],[PRN Med Discontinued]])))</f>
        <v>0</v>
      </c>
      <c r="BV71" s="121" t="b">
        <f ca="1">AND(Tbl_ResidentData[[#This Row],[PRN Med Started]]&lt;&gt;"",Tbl_ResidentData[[#This Row],[PRN Med Started]]&lt;=NOW(),Tbl_ResidentData[[#This Row],[PRN Med Started]]&lt;=AX$4,OR(Tbl_ResidentData[[#This Row],[PRN Med Discontinued]]&gt;AX$4,ISBLANK(Tbl_ResidentData[[#This Row],[PRN Med Discontinued]])))</f>
        <v>0</v>
      </c>
      <c r="BW71" s="121" t="b">
        <f ca="1">AND(Tbl_ResidentData[[#This Row],[PRN Med Started]]&lt;&gt;"",Tbl_ResidentData[[#This Row],[PRN Med Started]]&lt;=NOW(),Tbl_ResidentData[[#This Row],[PRN Med Started]]&lt;=AY$4,OR(Tbl_ResidentData[[#This Row],[PRN Med Discontinued]]&gt;AY$4,ISBLANK(Tbl_ResidentData[[#This Row],[PRN Med Discontinued]])))</f>
        <v>0</v>
      </c>
      <c r="BX71" s="121" t="b">
        <f ca="1">AND(Tbl_ResidentData[[#This Row],[PRN Med Started]]&lt;&gt;"",Tbl_ResidentData[[#This Row],[PRN Med Started]]&lt;=NOW(),Tbl_ResidentData[[#This Row],[PRN Med Started]]&lt;=AZ$4,OR(Tbl_ResidentData[[#This Row],[PRN Med Discontinued]]&gt;AZ$4,ISBLANK(Tbl_ResidentData[[#This Row],[PRN Med Discontinued]])))</f>
        <v>0</v>
      </c>
      <c r="BY71" s="121" t="b">
        <f ca="1">AND(Tbl_ResidentData[[#This Row],[PRN Med Started]]&lt;&gt;"",Tbl_ResidentData[[#This Row],[PRN Med Started]]&lt;=NOW(),Tbl_ResidentData[[#This Row],[PRN Med Started]]&lt;=BA$4,OR(Tbl_ResidentData[[#This Row],[PRN Med Discontinued]]&gt;BA$4,ISBLANK(Tbl_ResidentData[[#This Row],[PRN Med Discontinued]])))</f>
        <v>0</v>
      </c>
      <c r="BZ71" s="121" t="b">
        <f ca="1">AND(Tbl_ResidentData[[#This Row],[PRN Med Started]]&lt;&gt;"",Tbl_ResidentData[[#This Row],[PRN Med Started]]&lt;=NOW(),Tbl_ResidentData[[#This Row],[PRN Med Started]]&lt;=BB$4,OR(Tbl_ResidentData[[#This Row],[PRN Med Discontinued]]&gt;BB$4,ISBLANK(Tbl_ResidentData[[#This Row],[PRN Med Discontinued]])))</f>
        <v>0</v>
      </c>
      <c r="CA71" s="121" t="b">
        <f ca="1">AND(Tbl_ResidentData[[#This Row],[PRN Med Started]]&lt;&gt;"",Tbl_ResidentData[[#This Row],[PRN Med Started]]&lt;=NOW(),Tbl_ResidentData[[#This Row],[PRN Med Started]]&lt;=BC$4,OR(Tbl_ResidentData[[#This Row],[PRN Med Discontinued]]&gt;BC$4,ISBLANK(Tbl_ResidentData[[#This Row],[PRN Med Discontinued]])))</f>
        <v>0</v>
      </c>
      <c r="CB71" s="121" t="b">
        <f ca="1">AND(Tbl_ResidentData[[#This Row],[PRN Med Started]]&lt;&gt;"",Tbl_ResidentData[[#This Row],[PRN Med Started]]&lt;=NOW(),Tbl_ResidentData[[#This Row],[PRN Med Started]]&lt;=BD$4,OR(Tbl_ResidentData[[#This Row],[PRN Med Discontinued]]&gt;BD$4,ISBLANK(Tbl_ResidentData[[#This Row],[PRN Med Discontinued]])))</f>
        <v>0</v>
      </c>
      <c r="CC71" s="121" t="b">
        <f ca="1">AND(Tbl_ResidentData[[#This Row],[PRN Med Started]]&lt;&gt;"",Tbl_ResidentData[[#This Row],[PRN Med Started]]&lt;=NOW(),Tbl_ResidentData[[#This Row],[PRN Med Started]]&lt;=BE$4,OR(Tbl_ResidentData[[#This Row],[PRN Med Discontinued]]&gt;BE$4,ISBLANK(Tbl_ResidentData[[#This Row],[PRN Med Discontinued]])))</f>
        <v>0</v>
      </c>
      <c r="CD71" s="121" t="b">
        <f ca="1">AND(Tbl_ResidentData[[#This Row],[PRN Med Started]]&lt;&gt;"",Tbl_ResidentData[[#This Row],[PRN Med Started]]&lt;=NOW(),Tbl_ResidentData[[#This Row],[PRN Med Started]]&lt;=BF$4,OR(Tbl_ResidentData[[#This Row],[PRN Med Discontinued]]&gt;BF$4,ISBLANK(Tbl_ResidentData[[#This Row],[PRN Med Discontinued]])))</f>
        <v>0</v>
      </c>
      <c r="CE71" s="121" t="b">
        <f ca="1">AND(Tbl_ResidentData[[#This Row],[PRN Med Started]]&lt;&gt;"",Tbl_ResidentData[[#This Row],[PRN Med Started]]&lt;=NOW(),Tbl_ResidentData[[#This Row],[PRN Med Started]]&lt;=BG$4,OR(Tbl_ResidentData[[#This Row],[PRN Med Discontinued]]&gt;BG$4,ISBLANK(Tbl_ResidentData[[#This Row],[PRN Med Discontinued]])))</f>
        <v>0</v>
      </c>
      <c r="CF71" s="121" t="b">
        <f ca="1">AND(Tbl_ResidentData[[#This Row],[PRN Med Started]]&lt;&gt;"",Tbl_ResidentData[[#This Row],[PRN Med Started]]&lt;=NOW(),Tbl_ResidentData[[#This Row],[PRN Med Started]]&lt;=BH$4,OR(Tbl_ResidentData[[#This Row],[PRN Med Discontinued]]&gt;BH$4,ISBLANK(Tbl_ResidentData[[#This Row],[PRN Med Discontinued]])))</f>
        <v>0</v>
      </c>
      <c r="CG71" s="121" t="b">
        <f ca="1">AND(Tbl_ResidentData[[#This Row],[PRN Med Started]]&lt;&gt;"",Tbl_ResidentData[[#This Row],[PRN Med Started]]&lt;=NOW(),Tbl_ResidentData[[#This Row],[PRN Med Started]]&lt;=BI$4,OR(Tbl_ResidentData[[#This Row],[PRN Med Discontinued]]&gt;BI$4,ISBLANK(Tbl_ResidentData[[#This Row],[PRN Med Discontinued]])))</f>
        <v>0</v>
      </c>
      <c r="CH71" s="121" t="b">
        <f ca="1">AND(Tbl_ResidentData[[#This Row],[PRN Med Started]]&lt;&gt;"",Tbl_ResidentData[[#This Row],[PRN Med Started]]&lt;=NOW(),Tbl_ResidentData[[#This Row],[PRN Med Started]]&lt;=BJ$4,OR(Tbl_ResidentData[[#This Row],[PRN Med Discontinued]]&gt;BJ$4,ISBLANK(Tbl_ResidentData[[#This Row],[PRN Med Discontinued]])))</f>
        <v>0</v>
      </c>
      <c r="CI71" s="121" t="b">
        <f ca="1">AND(Tbl_ResidentData[[#This Row],[PRN Med Started]]&lt;&gt;"",Tbl_ResidentData[[#This Row],[PRN Med Started]]&lt;=NOW(),Tbl_ResidentData[[#This Row],[PRN Med Started]]&lt;=BK$4,OR(Tbl_ResidentData[[#This Row],[PRN Med Discontinued]]&gt;BK$4,ISBLANK(Tbl_ResidentData[[#This Row],[PRN Med Discontinued]])))</f>
        <v>0</v>
      </c>
      <c r="CJ71" s="121" t="b">
        <f ca="1">AND(Tbl_ResidentData[[#This Row],[PRN Med Started]]&lt;&gt;"",Tbl_ResidentData[[#This Row],[PRN Med Started]]&lt;=NOW(),Tbl_ResidentData[[#This Row],[PRN Med Started]]&lt;=BL$4,OR(Tbl_ResidentData[[#This Row],[PRN Med Discontinued]]&gt;BL$4,ISBLANK(Tbl_ResidentData[[#This Row],[PRN Med Discontinued]])))</f>
        <v>0</v>
      </c>
      <c r="CK71" s="121" t="b">
        <f ca="1">AND(Tbl_ResidentData[[#This Row],[PRN Med Started]]&lt;&gt;"",Tbl_ResidentData[[#This Row],[PRN Med Started]]&lt;=NOW(),Tbl_ResidentData[[#This Row],[PRN Med Started]]&lt;=BM$4,OR(Tbl_ResidentData[[#This Row],[PRN Med Discontinued]]&gt;BM$4,ISBLANK(Tbl_ResidentData[[#This Row],[PRN Med Discontinued]])))</f>
        <v>0</v>
      </c>
      <c r="CL71" s="121" t="b">
        <f ca="1">AND(Tbl_ResidentData[[#This Row],[PRN Med Started]]&lt;&gt;"",Tbl_ResidentData[[#This Row],[PRN Med Started]]&lt;=NOW(),Tbl_ResidentData[[#This Row],[PRN Med Started]]&lt;=BN$4,OR(Tbl_ResidentData[[#This Row],[PRN Med Discontinued]]&gt;BN$4,ISBLANK(Tbl_ResidentData[[#This Row],[PRN Med Discontinued]])))</f>
        <v>0</v>
      </c>
      <c r="CM71" s="121" t="b">
        <f ca="1">AND(Tbl_ResidentData[[#This Row],[PRN Med Started]]&lt;&gt;"",Tbl_ResidentData[[#This Row],[PRN Med Started]]&lt;=NOW(),Tbl_ResidentData[[#This Row],[PRN Med Started]]&lt;=BO$4,OR(Tbl_ResidentData[[#This Row],[PRN Med Discontinued]]&gt;BO$4,ISBLANK(Tbl_ResidentData[[#This Row],[PRN Med Discontinued]])))</f>
        <v>0</v>
      </c>
      <c r="CN71" s="122" t="b">
        <f ca="1">AND(Tbl_ResidentData[[#This Row],[PRN Med Started]]&lt;&gt;"",Tbl_ResidentData[[#This Row],[PRN Med Started]]&lt;=NOW(),Tbl_ResidentData[[#This Row],[PRN Med Started]]&lt;=BP$4,OR(Tbl_ResidentData[[#This Row],[PRN Med Discontinued]]&gt;BP$4,ISBLANK(Tbl_ResidentData[[#This Row],[PRN Med Discontinued]])))</f>
        <v>0</v>
      </c>
      <c r="CO71" s="120">
        <f ca="1">IF(OR(Tbl_ResidentData[[#This Row],[S1]]=TRUE,Tbl_ResidentData[[#This Row],[P1]]=TRUE),1,0)</f>
        <v>0</v>
      </c>
      <c r="CP71" s="121">
        <f ca="1">IF(OR(Tbl_ResidentData[[#This Row],[S2]]=TRUE,Tbl_ResidentData[[#This Row],[P2]]=TRUE),1,0)</f>
        <v>0</v>
      </c>
      <c r="CQ71" s="121">
        <f ca="1">IF(OR(Tbl_ResidentData[[#This Row],[S3]]=TRUE,Tbl_ResidentData[[#This Row],[P3]]=TRUE),1,0)</f>
        <v>0</v>
      </c>
      <c r="CR71" s="120">
        <f ca="1">IF(OR(Tbl_ResidentData[[#This Row],[S4]]=TRUE,Tbl_ResidentData[[#This Row],[P4]]=TRUE),1,0)</f>
        <v>0</v>
      </c>
      <c r="CS71" s="120">
        <f ca="1">IF(OR(Tbl_ResidentData[[#This Row],[S5]]=TRUE,Tbl_ResidentData[[#This Row],[P5]]=TRUE),1,0)</f>
        <v>0</v>
      </c>
      <c r="CT71" s="120">
        <f ca="1">IF(OR(Tbl_ResidentData[[#This Row],[S6]]=TRUE,Tbl_ResidentData[[#This Row],[P6]]=TRUE),1,0)</f>
        <v>0</v>
      </c>
      <c r="CU71" s="120">
        <f ca="1">IF(OR(Tbl_ResidentData[[#This Row],[S7]]=TRUE,Tbl_ResidentData[[#This Row],[P7]]=TRUE),1,0)</f>
        <v>0</v>
      </c>
      <c r="CV71" s="120">
        <f ca="1">IF(OR(Tbl_ResidentData[[#This Row],[S8]]=TRUE,Tbl_ResidentData[[#This Row],[P8]]=TRUE),1,0)</f>
        <v>0</v>
      </c>
      <c r="CW71" s="120">
        <f ca="1">IF(OR(Tbl_ResidentData[[#This Row],[S9]]=TRUE,Tbl_ResidentData[[#This Row],[P9]]=TRUE),1,0)</f>
        <v>0</v>
      </c>
      <c r="CX71" s="120">
        <f ca="1">IF(OR(Tbl_ResidentData[[#This Row],[S10]]=TRUE,Tbl_ResidentData[[#This Row],[P10]]=TRUE),1,0)</f>
        <v>0</v>
      </c>
      <c r="CY71" s="120">
        <f ca="1">IF(OR(Tbl_ResidentData[[#This Row],[S11]]=TRUE,Tbl_ResidentData[[#This Row],[P11]]=TRUE),1,0)</f>
        <v>0</v>
      </c>
      <c r="CZ71" s="120">
        <f ca="1">IF(OR(Tbl_ResidentData[[#This Row],[S12]]=TRUE,Tbl_ResidentData[[#This Row],[P12]]=TRUE),1,0)</f>
        <v>0</v>
      </c>
      <c r="DA71" s="120">
        <f ca="1">IF(OR(Tbl_ResidentData[[#This Row],[S13]]=TRUE,Tbl_ResidentData[[#This Row],[P13]]=TRUE),1,0)</f>
        <v>0</v>
      </c>
      <c r="DB71" s="120">
        <f ca="1">IF(OR(Tbl_ResidentData[[#This Row],[S14]]=TRUE,Tbl_ResidentData[[#This Row],[P14]]=TRUE),1,0)</f>
        <v>0</v>
      </c>
      <c r="DC71" s="120">
        <f ca="1">IF(OR(Tbl_ResidentData[[#This Row],[S15]]=TRUE,Tbl_ResidentData[[#This Row],[P15]]=TRUE),1,0)</f>
        <v>0</v>
      </c>
      <c r="DD71" s="120">
        <f ca="1">IF(OR(Tbl_ResidentData[[#This Row],[S16]]=TRUE,Tbl_ResidentData[[#This Row],[P16]]=TRUE),1,0)</f>
        <v>0</v>
      </c>
      <c r="DE71" s="120">
        <f ca="1">IF(OR(Tbl_ResidentData[[#This Row],[S17]]=TRUE,Tbl_ResidentData[[#This Row],[P17]]=TRUE),1,0)</f>
        <v>0</v>
      </c>
      <c r="DF71" s="120">
        <f ca="1">IF(OR(Tbl_ResidentData[[#This Row],[S18]]=TRUE,Tbl_ResidentData[[#This Row],[P18]]=TRUE),1,0)</f>
        <v>0</v>
      </c>
      <c r="DG71" s="120">
        <f ca="1">IF(OR(Tbl_ResidentData[[#This Row],[S19]]=TRUE,Tbl_ResidentData[[#This Row],[P19]]=TRUE),1,0)</f>
        <v>0</v>
      </c>
      <c r="DH71" s="120">
        <f ca="1">IF(OR(Tbl_ResidentData[[#This Row],[S20]]=TRUE,Tbl_ResidentData[[#This Row],[P20]]=TRUE),1,0)</f>
        <v>0</v>
      </c>
      <c r="DI71" s="120">
        <f ca="1">IF(OR(Tbl_ResidentData[[#This Row],[S21]]=TRUE,Tbl_ResidentData[[#This Row],[P21]]=TRUE),1,0)</f>
        <v>0</v>
      </c>
      <c r="DJ71" s="120">
        <f ca="1">IF(OR(Tbl_ResidentData[[#This Row],[S22]]=TRUE,Tbl_ResidentData[[#This Row],[P22]]=TRUE),1,0)</f>
        <v>0</v>
      </c>
      <c r="DK71" s="120">
        <f ca="1">IF(OR(Tbl_ResidentData[[#This Row],[S23]]=TRUE,Tbl_ResidentData[[#This Row],[P23]]=TRUE),1,0)</f>
        <v>0</v>
      </c>
      <c r="DL71" s="120">
        <f ca="1">IF(OR(Tbl_ResidentData[[#This Row],[S24]]=TRUE,Tbl_ResidentData[[#This Row],[P24]]=TRUE),1,0)</f>
        <v>0</v>
      </c>
      <c r="DM71" s="123" t="str">
        <f ca="1">IFERROR(INDEX($CO$4:$DL$4,MATCH(TRUE,INDEX((Tbl_ResidentData[[#This Row],[Over1]:[Over24]]&lt;&gt;0),0),0)),"")</f>
        <v/>
      </c>
      <c r="DN71" s="133" t="str">
        <f>IFERROR(INDEX(Tbl_PDSAData[Last DRT],MATCH(Tbl_ResidentData[Resident Name '[last, first']],Tbl_PDSAData[Resident Name (last, first)],0)),"")</f>
        <v/>
      </c>
      <c r="DO71" s="222" t="str">
        <f>IFERROR(INDEX(Tbl_PDSAData[Last MR],MATCH(Tbl_ResidentData[Resident Name '[last, first']],Tbl_PDSAData[Resident Name (last, first)],0)),"")</f>
        <v/>
      </c>
    </row>
    <row r="72" spans="1:119" x14ac:dyDescent="0.25">
      <c r="A72" s="179"/>
      <c r="B72" s="180"/>
      <c r="C72" s="180"/>
      <c r="D72" s="217"/>
      <c r="E72" s="179"/>
      <c r="F72" s="181"/>
      <c r="G72" s="181"/>
      <c r="H72" s="182"/>
      <c r="I72" s="185"/>
      <c r="J72" s="387"/>
      <c r="K72" s="178"/>
      <c r="L72" s="388"/>
      <c r="M72" s="185"/>
      <c r="N72" s="386"/>
      <c r="O72" s="178"/>
      <c r="P72" s="388"/>
      <c r="Q72" s="394"/>
      <c r="R72" s="388"/>
      <c r="S72" s="131" t="str">
        <f>IF(ISBLANK(Tbl_ResidentData[[#This Row],[Discharge '[mmm-yyyy']]]),IF(ISBLANK(Tbl_ResidentData[[#This Row],[Enrollment '[mmm-yyyy']]]),"","In Care Home"),"Discharged")</f>
        <v/>
      </c>
      <c r="T72" s="119" t="str">
        <f>IF(ISBLANK(Tbl_ResidentData[[#This Row],[Diagnosis (RAI)]]),IF(ISBLANK(Tbl_ResidentData[[#This Row],[Resident Name '[last, first']]]),"",0),IF(Tbl_ResidentData[[#This Row],[Diagnosis (RAI)]]="Other (see clinical notes)",0,1))</f>
        <v/>
      </c>
      <c r="U72" s="120" t="str">
        <f ca="1">IF(U$4&gt;NOW(),"-",IF(ISBLANK(Tbl_ResidentData[[#This Row],[Enrollment '[mmm-yyyy']]]),"-",AND((Tbl_ResidentData[[#This Row],[Enrollment '[mmm-yyyy']]]&lt;=U$4),IF(ISBLANK(Tbl_ResidentData[[#This Row],[Discharge '[mmm-yyyy']]]),TRUE,(Tbl_ResidentData[[#This Row],[Discharge '[mmm-yyyy']]]&gt;=U$4)))))</f>
        <v>-</v>
      </c>
      <c r="V72" s="121" t="str">
        <f ca="1">IF(V$4&gt;NOW(),"-",IF(ISBLANK(Tbl_ResidentData[[#This Row],[Enrollment '[mmm-yyyy']]]),"-",AND((Tbl_ResidentData[[#This Row],[Enrollment '[mmm-yyyy']]]&lt;=V$4),IF(ISBLANK(Tbl_ResidentData[[#This Row],[Discharge '[mmm-yyyy']]]),TRUE,(Tbl_ResidentData[[#This Row],[Discharge '[mmm-yyyy']]]&gt;=V$4)))))</f>
        <v>-</v>
      </c>
      <c r="W72" s="121" t="str">
        <f ca="1">IF(W$4&gt;NOW(),"-",IF(ISBLANK(Tbl_ResidentData[[#This Row],[Enrollment '[mmm-yyyy']]]),"-",AND((Tbl_ResidentData[[#This Row],[Enrollment '[mmm-yyyy']]]&lt;=W$4),IF(ISBLANK(Tbl_ResidentData[[#This Row],[Discharge '[mmm-yyyy']]]),TRUE,(Tbl_ResidentData[[#This Row],[Discharge '[mmm-yyyy']]]&gt;=W$4)))))</f>
        <v>-</v>
      </c>
      <c r="X72" s="121" t="str">
        <f ca="1">IF(X$4&gt;NOW(),"-",IF(ISBLANK(Tbl_ResidentData[[#This Row],[Enrollment '[mmm-yyyy']]]),"-",AND((Tbl_ResidentData[[#This Row],[Enrollment '[mmm-yyyy']]]&lt;=X$4),IF(ISBLANK(Tbl_ResidentData[[#This Row],[Discharge '[mmm-yyyy']]]),TRUE,(Tbl_ResidentData[[#This Row],[Discharge '[mmm-yyyy']]]&gt;=X$4)))))</f>
        <v>-</v>
      </c>
      <c r="Y72" s="121" t="str">
        <f ca="1">IF(Y$4&gt;NOW(),"-",IF(ISBLANK(Tbl_ResidentData[[#This Row],[Enrollment '[mmm-yyyy']]]),"-",AND((Tbl_ResidentData[[#This Row],[Enrollment '[mmm-yyyy']]]&lt;=Y$4),IF(ISBLANK(Tbl_ResidentData[[#This Row],[Discharge '[mmm-yyyy']]]),TRUE,(Tbl_ResidentData[[#This Row],[Discharge '[mmm-yyyy']]]&gt;=Y$4)))))</f>
        <v>-</v>
      </c>
      <c r="Z72" s="121" t="str">
        <f ca="1">IF(Z$4&gt;NOW(),"-",IF(ISBLANK(Tbl_ResidentData[[#This Row],[Enrollment '[mmm-yyyy']]]),"-",AND((Tbl_ResidentData[[#This Row],[Enrollment '[mmm-yyyy']]]&lt;=Z$4),IF(ISBLANK(Tbl_ResidentData[[#This Row],[Discharge '[mmm-yyyy']]]),TRUE,(Tbl_ResidentData[[#This Row],[Discharge '[mmm-yyyy']]]&gt;=Z$4)))))</f>
        <v>-</v>
      </c>
      <c r="AA72" s="121" t="str">
        <f ca="1">IF(AA$4&gt;NOW(),"-",IF(ISBLANK(Tbl_ResidentData[[#This Row],[Enrollment '[mmm-yyyy']]]),"-",AND((Tbl_ResidentData[[#This Row],[Enrollment '[mmm-yyyy']]]&lt;=AA$4),IF(ISBLANK(Tbl_ResidentData[[#This Row],[Discharge '[mmm-yyyy']]]),TRUE,(Tbl_ResidentData[[#This Row],[Discharge '[mmm-yyyy']]]&gt;=AA$4)))))</f>
        <v>-</v>
      </c>
      <c r="AB72" s="121" t="str">
        <f ca="1">IF(AB$4&gt;NOW(),"-",IF(ISBLANK(Tbl_ResidentData[[#This Row],[Enrollment '[mmm-yyyy']]]),"-",AND((Tbl_ResidentData[[#This Row],[Enrollment '[mmm-yyyy']]]&lt;=AB$4),IF(ISBLANK(Tbl_ResidentData[[#This Row],[Discharge '[mmm-yyyy']]]),TRUE,(Tbl_ResidentData[[#This Row],[Discharge '[mmm-yyyy']]]&gt;=AB$4)))))</f>
        <v>-</v>
      </c>
      <c r="AC72" s="121" t="str">
        <f ca="1">IF(AC$4&gt;NOW(),"-",IF(ISBLANK(Tbl_ResidentData[[#This Row],[Enrollment '[mmm-yyyy']]]),"-",AND((Tbl_ResidentData[[#This Row],[Enrollment '[mmm-yyyy']]]&lt;=AC$4),IF(ISBLANK(Tbl_ResidentData[[#This Row],[Discharge '[mmm-yyyy']]]),TRUE,(Tbl_ResidentData[[#This Row],[Discharge '[mmm-yyyy']]]&gt;=AC$4)))))</f>
        <v>-</v>
      </c>
      <c r="AD72" s="121" t="str">
        <f ca="1">IF(AD$4&gt;NOW(),"-",IF(ISBLANK(Tbl_ResidentData[[#This Row],[Enrollment '[mmm-yyyy']]]),"-",AND((Tbl_ResidentData[[#This Row],[Enrollment '[mmm-yyyy']]]&lt;=AD$4),IF(ISBLANK(Tbl_ResidentData[[#This Row],[Discharge '[mmm-yyyy']]]),TRUE,(Tbl_ResidentData[[#This Row],[Discharge '[mmm-yyyy']]]&gt;=AD$4)))))</f>
        <v>-</v>
      </c>
      <c r="AE72" s="121" t="str">
        <f ca="1">IF(AE$4&gt;NOW(),"-",IF(ISBLANK(Tbl_ResidentData[[#This Row],[Enrollment '[mmm-yyyy']]]),"-",AND((Tbl_ResidentData[[#This Row],[Enrollment '[mmm-yyyy']]]&lt;=AE$4),IF(ISBLANK(Tbl_ResidentData[[#This Row],[Discharge '[mmm-yyyy']]]),TRUE,(Tbl_ResidentData[[#This Row],[Discharge '[mmm-yyyy']]]&gt;=AE$4)))))</f>
        <v>-</v>
      </c>
      <c r="AF72" s="121" t="str">
        <f ca="1">IF(AF$4&gt;NOW(),"-",IF(ISBLANK(Tbl_ResidentData[[#This Row],[Enrollment '[mmm-yyyy']]]),"-",AND((Tbl_ResidentData[[#This Row],[Enrollment '[mmm-yyyy']]]&lt;=AF$4),IF(ISBLANK(Tbl_ResidentData[[#This Row],[Discharge '[mmm-yyyy']]]),TRUE,(Tbl_ResidentData[[#This Row],[Discharge '[mmm-yyyy']]]&gt;=AF$4)))))</f>
        <v>-</v>
      </c>
      <c r="AG72" s="121" t="str">
        <f ca="1">IF(AG$4&gt;NOW(),"-",IF(ISBLANK(Tbl_ResidentData[[#This Row],[Enrollment '[mmm-yyyy']]]),"-",AND((Tbl_ResidentData[[#This Row],[Enrollment '[mmm-yyyy']]]&lt;=AG$4),IF(ISBLANK(Tbl_ResidentData[[#This Row],[Discharge '[mmm-yyyy']]]),TRUE,(Tbl_ResidentData[[#This Row],[Discharge '[mmm-yyyy']]]&gt;=AG$4)))))</f>
        <v>-</v>
      </c>
      <c r="AH72" s="121" t="str">
        <f ca="1">IF(AH$4&gt;NOW(),"-",IF(ISBLANK(Tbl_ResidentData[[#This Row],[Enrollment '[mmm-yyyy']]]),"-",AND((Tbl_ResidentData[[#This Row],[Enrollment '[mmm-yyyy']]]&lt;=AH$4),IF(ISBLANK(Tbl_ResidentData[[#This Row],[Discharge '[mmm-yyyy']]]),TRUE,(Tbl_ResidentData[[#This Row],[Discharge '[mmm-yyyy']]]&gt;=AH$4)))))</f>
        <v>-</v>
      </c>
      <c r="AI72" s="121" t="str">
        <f ca="1">IF(AI$4&gt;NOW(),"-",IF(ISBLANK(Tbl_ResidentData[[#This Row],[Enrollment '[mmm-yyyy']]]),"-",AND((Tbl_ResidentData[[#This Row],[Enrollment '[mmm-yyyy']]]&lt;=AI$4),IF(ISBLANK(Tbl_ResidentData[[#This Row],[Discharge '[mmm-yyyy']]]),TRUE,(Tbl_ResidentData[[#This Row],[Discharge '[mmm-yyyy']]]&gt;=AI$4)))))</f>
        <v>-</v>
      </c>
      <c r="AJ72" s="121" t="str">
        <f ca="1">IF(AJ$4&gt;NOW(),"-",IF(ISBLANK(Tbl_ResidentData[[#This Row],[Enrollment '[mmm-yyyy']]]),"-",AND((Tbl_ResidentData[[#This Row],[Enrollment '[mmm-yyyy']]]&lt;=AJ$4),IF(ISBLANK(Tbl_ResidentData[[#This Row],[Discharge '[mmm-yyyy']]]),TRUE,(Tbl_ResidentData[[#This Row],[Discharge '[mmm-yyyy']]]&gt;=AJ$4)))))</f>
        <v>-</v>
      </c>
      <c r="AK72" s="121" t="str">
        <f ca="1">IF(AK$4&gt;NOW(),"-",IF(ISBLANK(Tbl_ResidentData[[#This Row],[Enrollment '[mmm-yyyy']]]),"-",AND((Tbl_ResidentData[[#This Row],[Enrollment '[mmm-yyyy']]]&lt;=AK$4),IF(ISBLANK(Tbl_ResidentData[[#This Row],[Discharge '[mmm-yyyy']]]),TRUE,(Tbl_ResidentData[[#This Row],[Discharge '[mmm-yyyy']]]&gt;=AK$4)))))</f>
        <v>-</v>
      </c>
      <c r="AL72" s="121" t="str">
        <f ca="1">IF(AL$4&gt;NOW(),"-",IF(ISBLANK(Tbl_ResidentData[[#This Row],[Enrollment '[mmm-yyyy']]]),"-",AND((Tbl_ResidentData[[#This Row],[Enrollment '[mmm-yyyy']]]&lt;=AL$4),IF(ISBLANK(Tbl_ResidentData[[#This Row],[Discharge '[mmm-yyyy']]]),TRUE,(Tbl_ResidentData[[#This Row],[Discharge '[mmm-yyyy']]]&gt;=AL$4)))))</f>
        <v>-</v>
      </c>
      <c r="AM72" s="121" t="str">
        <f ca="1">IF(AM$4&gt;NOW(),"-",IF(ISBLANK(Tbl_ResidentData[[#This Row],[Enrollment '[mmm-yyyy']]]),"-",AND((Tbl_ResidentData[[#This Row],[Enrollment '[mmm-yyyy']]]&lt;=AM$4),IF(ISBLANK(Tbl_ResidentData[[#This Row],[Discharge '[mmm-yyyy']]]),TRUE,(Tbl_ResidentData[[#This Row],[Discharge '[mmm-yyyy']]]&gt;=AM$4)))))</f>
        <v>-</v>
      </c>
      <c r="AN72" s="121" t="str">
        <f ca="1">IF(AN$4&gt;NOW(),"-",IF(ISBLANK(Tbl_ResidentData[[#This Row],[Enrollment '[mmm-yyyy']]]),"-",AND((Tbl_ResidentData[[#This Row],[Enrollment '[mmm-yyyy']]]&lt;=AN$4),IF(ISBLANK(Tbl_ResidentData[[#This Row],[Discharge '[mmm-yyyy']]]),TRUE,(Tbl_ResidentData[[#This Row],[Discharge '[mmm-yyyy']]]&gt;=AN$4)))))</f>
        <v>-</v>
      </c>
      <c r="AO72" s="121" t="str">
        <f ca="1">IF(AO$4&gt;NOW(),"-",IF(ISBLANK(Tbl_ResidentData[[#This Row],[Enrollment '[mmm-yyyy']]]),"-",AND((Tbl_ResidentData[[#This Row],[Enrollment '[mmm-yyyy']]]&lt;=AO$4),IF(ISBLANK(Tbl_ResidentData[[#This Row],[Discharge '[mmm-yyyy']]]),TRUE,(Tbl_ResidentData[[#This Row],[Discharge '[mmm-yyyy']]]&gt;=AO$4)))))</f>
        <v>-</v>
      </c>
      <c r="AP72" s="121" t="str">
        <f ca="1">IF(AP$4&gt;NOW(),"-",IF(ISBLANK(Tbl_ResidentData[[#This Row],[Enrollment '[mmm-yyyy']]]),"-",AND((Tbl_ResidentData[[#This Row],[Enrollment '[mmm-yyyy']]]&lt;=AP$4),IF(ISBLANK(Tbl_ResidentData[[#This Row],[Discharge '[mmm-yyyy']]]),TRUE,(Tbl_ResidentData[[#This Row],[Discharge '[mmm-yyyy']]]&gt;=AP$4)))))</f>
        <v>-</v>
      </c>
      <c r="AQ72" s="121" t="str">
        <f ca="1">IF(AQ$4&gt;NOW(),"-",IF(ISBLANK(Tbl_ResidentData[[#This Row],[Enrollment '[mmm-yyyy']]]),"-",AND((Tbl_ResidentData[[#This Row],[Enrollment '[mmm-yyyy']]]&lt;=AQ$4),IF(ISBLANK(Tbl_ResidentData[[#This Row],[Discharge '[mmm-yyyy']]]),TRUE,(Tbl_ResidentData[[#This Row],[Discharge '[mmm-yyyy']]]&gt;=AQ$4)))))</f>
        <v>-</v>
      </c>
      <c r="AR72" s="122" t="str">
        <f ca="1">IF(AR$4&gt;NOW(),"-",IF(ISBLANK(Tbl_ResidentData[[#This Row],[Enrollment '[mmm-yyyy']]]),"-",AND((Tbl_ResidentData[[#This Row],[Enrollment '[mmm-yyyy']]]&lt;=AR$4),IF(ISBLANK(Tbl_ResidentData[[#This Row],[Discharge '[mmm-yyyy']]]),TRUE,(Tbl_ResidentData[[#This Row],[Discharge '[mmm-yyyy']]]&gt;=AR$4)))))</f>
        <v>-</v>
      </c>
      <c r="AS7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2" s="120" t="b">
        <f ca="1">AND(Tbl_ResidentData[[#This Row],[PRN Med Started]]&lt;&gt;"",Tbl_ResidentData[[#This Row],[PRN Med Started]]&lt;=NOW(),Tbl_ResidentData[[#This Row],[PRN Med Started]]&lt;=AS$4,OR(Tbl_ResidentData[[#This Row],[PRN Med Discontinued]]&gt;AS$4,ISBLANK(Tbl_ResidentData[[#This Row],[PRN Med Discontinued]])))</f>
        <v>0</v>
      </c>
      <c r="BR72" s="121" t="b">
        <f ca="1">AND(Tbl_ResidentData[[#This Row],[PRN Med Started]]&lt;&gt;"",Tbl_ResidentData[[#This Row],[PRN Med Started]]&lt;=NOW(),Tbl_ResidentData[[#This Row],[PRN Med Started]]&lt;=AT$4,OR(Tbl_ResidentData[[#This Row],[PRN Med Discontinued]]&gt;AT$4,ISBLANK(Tbl_ResidentData[[#This Row],[PRN Med Discontinued]])))</f>
        <v>0</v>
      </c>
      <c r="BS72" s="121" t="b">
        <f ca="1">AND(Tbl_ResidentData[[#This Row],[PRN Med Started]]&lt;&gt;"",Tbl_ResidentData[[#This Row],[PRN Med Started]]&lt;=NOW(),Tbl_ResidentData[[#This Row],[PRN Med Started]]&lt;=AU$4,OR(Tbl_ResidentData[[#This Row],[PRN Med Discontinued]]&gt;AU$4,ISBLANK(Tbl_ResidentData[[#This Row],[PRN Med Discontinued]])))</f>
        <v>0</v>
      </c>
      <c r="BT72" s="121" t="b">
        <f ca="1">AND(Tbl_ResidentData[[#This Row],[PRN Med Started]]&lt;&gt;"",Tbl_ResidentData[[#This Row],[PRN Med Started]]&lt;=NOW(),Tbl_ResidentData[[#This Row],[PRN Med Started]]&lt;=AV$4,OR(Tbl_ResidentData[[#This Row],[PRN Med Discontinued]]&gt;AV$4,ISBLANK(Tbl_ResidentData[[#This Row],[PRN Med Discontinued]])))</f>
        <v>0</v>
      </c>
      <c r="BU72" s="121" t="b">
        <f ca="1">AND(Tbl_ResidentData[[#This Row],[PRN Med Started]]&lt;&gt;"",Tbl_ResidentData[[#This Row],[PRN Med Started]]&lt;=NOW(),Tbl_ResidentData[[#This Row],[PRN Med Started]]&lt;=AW$4,OR(Tbl_ResidentData[[#This Row],[PRN Med Discontinued]]&gt;AW$4,ISBLANK(Tbl_ResidentData[[#This Row],[PRN Med Discontinued]])))</f>
        <v>0</v>
      </c>
      <c r="BV72" s="121" t="b">
        <f ca="1">AND(Tbl_ResidentData[[#This Row],[PRN Med Started]]&lt;&gt;"",Tbl_ResidentData[[#This Row],[PRN Med Started]]&lt;=NOW(),Tbl_ResidentData[[#This Row],[PRN Med Started]]&lt;=AX$4,OR(Tbl_ResidentData[[#This Row],[PRN Med Discontinued]]&gt;AX$4,ISBLANK(Tbl_ResidentData[[#This Row],[PRN Med Discontinued]])))</f>
        <v>0</v>
      </c>
      <c r="BW72" s="121" t="b">
        <f ca="1">AND(Tbl_ResidentData[[#This Row],[PRN Med Started]]&lt;&gt;"",Tbl_ResidentData[[#This Row],[PRN Med Started]]&lt;=NOW(),Tbl_ResidentData[[#This Row],[PRN Med Started]]&lt;=AY$4,OR(Tbl_ResidentData[[#This Row],[PRN Med Discontinued]]&gt;AY$4,ISBLANK(Tbl_ResidentData[[#This Row],[PRN Med Discontinued]])))</f>
        <v>0</v>
      </c>
      <c r="BX72" s="121" t="b">
        <f ca="1">AND(Tbl_ResidentData[[#This Row],[PRN Med Started]]&lt;&gt;"",Tbl_ResidentData[[#This Row],[PRN Med Started]]&lt;=NOW(),Tbl_ResidentData[[#This Row],[PRN Med Started]]&lt;=AZ$4,OR(Tbl_ResidentData[[#This Row],[PRN Med Discontinued]]&gt;AZ$4,ISBLANK(Tbl_ResidentData[[#This Row],[PRN Med Discontinued]])))</f>
        <v>0</v>
      </c>
      <c r="BY72" s="121" t="b">
        <f ca="1">AND(Tbl_ResidentData[[#This Row],[PRN Med Started]]&lt;&gt;"",Tbl_ResidentData[[#This Row],[PRN Med Started]]&lt;=NOW(),Tbl_ResidentData[[#This Row],[PRN Med Started]]&lt;=BA$4,OR(Tbl_ResidentData[[#This Row],[PRN Med Discontinued]]&gt;BA$4,ISBLANK(Tbl_ResidentData[[#This Row],[PRN Med Discontinued]])))</f>
        <v>0</v>
      </c>
      <c r="BZ72" s="121" t="b">
        <f ca="1">AND(Tbl_ResidentData[[#This Row],[PRN Med Started]]&lt;&gt;"",Tbl_ResidentData[[#This Row],[PRN Med Started]]&lt;=NOW(),Tbl_ResidentData[[#This Row],[PRN Med Started]]&lt;=BB$4,OR(Tbl_ResidentData[[#This Row],[PRN Med Discontinued]]&gt;BB$4,ISBLANK(Tbl_ResidentData[[#This Row],[PRN Med Discontinued]])))</f>
        <v>0</v>
      </c>
      <c r="CA72" s="121" t="b">
        <f ca="1">AND(Tbl_ResidentData[[#This Row],[PRN Med Started]]&lt;&gt;"",Tbl_ResidentData[[#This Row],[PRN Med Started]]&lt;=NOW(),Tbl_ResidentData[[#This Row],[PRN Med Started]]&lt;=BC$4,OR(Tbl_ResidentData[[#This Row],[PRN Med Discontinued]]&gt;BC$4,ISBLANK(Tbl_ResidentData[[#This Row],[PRN Med Discontinued]])))</f>
        <v>0</v>
      </c>
      <c r="CB72" s="121" t="b">
        <f ca="1">AND(Tbl_ResidentData[[#This Row],[PRN Med Started]]&lt;&gt;"",Tbl_ResidentData[[#This Row],[PRN Med Started]]&lt;=NOW(),Tbl_ResidentData[[#This Row],[PRN Med Started]]&lt;=BD$4,OR(Tbl_ResidentData[[#This Row],[PRN Med Discontinued]]&gt;BD$4,ISBLANK(Tbl_ResidentData[[#This Row],[PRN Med Discontinued]])))</f>
        <v>0</v>
      </c>
      <c r="CC72" s="121" t="b">
        <f ca="1">AND(Tbl_ResidentData[[#This Row],[PRN Med Started]]&lt;&gt;"",Tbl_ResidentData[[#This Row],[PRN Med Started]]&lt;=NOW(),Tbl_ResidentData[[#This Row],[PRN Med Started]]&lt;=BE$4,OR(Tbl_ResidentData[[#This Row],[PRN Med Discontinued]]&gt;BE$4,ISBLANK(Tbl_ResidentData[[#This Row],[PRN Med Discontinued]])))</f>
        <v>0</v>
      </c>
      <c r="CD72" s="121" t="b">
        <f ca="1">AND(Tbl_ResidentData[[#This Row],[PRN Med Started]]&lt;&gt;"",Tbl_ResidentData[[#This Row],[PRN Med Started]]&lt;=NOW(),Tbl_ResidentData[[#This Row],[PRN Med Started]]&lt;=BF$4,OR(Tbl_ResidentData[[#This Row],[PRN Med Discontinued]]&gt;BF$4,ISBLANK(Tbl_ResidentData[[#This Row],[PRN Med Discontinued]])))</f>
        <v>0</v>
      </c>
      <c r="CE72" s="121" t="b">
        <f ca="1">AND(Tbl_ResidentData[[#This Row],[PRN Med Started]]&lt;&gt;"",Tbl_ResidentData[[#This Row],[PRN Med Started]]&lt;=NOW(),Tbl_ResidentData[[#This Row],[PRN Med Started]]&lt;=BG$4,OR(Tbl_ResidentData[[#This Row],[PRN Med Discontinued]]&gt;BG$4,ISBLANK(Tbl_ResidentData[[#This Row],[PRN Med Discontinued]])))</f>
        <v>0</v>
      </c>
      <c r="CF72" s="121" t="b">
        <f ca="1">AND(Tbl_ResidentData[[#This Row],[PRN Med Started]]&lt;&gt;"",Tbl_ResidentData[[#This Row],[PRN Med Started]]&lt;=NOW(),Tbl_ResidentData[[#This Row],[PRN Med Started]]&lt;=BH$4,OR(Tbl_ResidentData[[#This Row],[PRN Med Discontinued]]&gt;BH$4,ISBLANK(Tbl_ResidentData[[#This Row],[PRN Med Discontinued]])))</f>
        <v>0</v>
      </c>
      <c r="CG72" s="121" t="b">
        <f ca="1">AND(Tbl_ResidentData[[#This Row],[PRN Med Started]]&lt;&gt;"",Tbl_ResidentData[[#This Row],[PRN Med Started]]&lt;=NOW(),Tbl_ResidentData[[#This Row],[PRN Med Started]]&lt;=BI$4,OR(Tbl_ResidentData[[#This Row],[PRN Med Discontinued]]&gt;BI$4,ISBLANK(Tbl_ResidentData[[#This Row],[PRN Med Discontinued]])))</f>
        <v>0</v>
      </c>
      <c r="CH72" s="121" t="b">
        <f ca="1">AND(Tbl_ResidentData[[#This Row],[PRN Med Started]]&lt;&gt;"",Tbl_ResidentData[[#This Row],[PRN Med Started]]&lt;=NOW(),Tbl_ResidentData[[#This Row],[PRN Med Started]]&lt;=BJ$4,OR(Tbl_ResidentData[[#This Row],[PRN Med Discontinued]]&gt;BJ$4,ISBLANK(Tbl_ResidentData[[#This Row],[PRN Med Discontinued]])))</f>
        <v>0</v>
      </c>
      <c r="CI72" s="121" t="b">
        <f ca="1">AND(Tbl_ResidentData[[#This Row],[PRN Med Started]]&lt;&gt;"",Tbl_ResidentData[[#This Row],[PRN Med Started]]&lt;=NOW(),Tbl_ResidentData[[#This Row],[PRN Med Started]]&lt;=BK$4,OR(Tbl_ResidentData[[#This Row],[PRN Med Discontinued]]&gt;BK$4,ISBLANK(Tbl_ResidentData[[#This Row],[PRN Med Discontinued]])))</f>
        <v>0</v>
      </c>
      <c r="CJ72" s="121" t="b">
        <f ca="1">AND(Tbl_ResidentData[[#This Row],[PRN Med Started]]&lt;&gt;"",Tbl_ResidentData[[#This Row],[PRN Med Started]]&lt;=NOW(),Tbl_ResidentData[[#This Row],[PRN Med Started]]&lt;=BL$4,OR(Tbl_ResidentData[[#This Row],[PRN Med Discontinued]]&gt;BL$4,ISBLANK(Tbl_ResidentData[[#This Row],[PRN Med Discontinued]])))</f>
        <v>0</v>
      </c>
      <c r="CK72" s="121" t="b">
        <f ca="1">AND(Tbl_ResidentData[[#This Row],[PRN Med Started]]&lt;&gt;"",Tbl_ResidentData[[#This Row],[PRN Med Started]]&lt;=NOW(),Tbl_ResidentData[[#This Row],[PRN Med Started]]&lt;=BM$4,OR(Tbl_ResidentData[[#This Row],[PRN Med Discontinued]]&gt;BM$4,ISBLANK(Tbl_ResidentData[[#This Row],[PRN Med Discontinued]])))</f>
        <v>0</v>
      </c>
      <c r="CL72" s="121" t="b">
        <f ca="1">AND(Tbl_ResidentData[[#This Row],[PRN Med Started]]&lt;&gt;"",Tbl_ResidentData[[#This Row],[PRN Med Started]]&lt;=NOW(),Tbl_ResidentData[[#This Row],[PRN Med Started]]&lt;=BN$4,OR(Tbl_ResidentData[[#This Row],[PRN Med Discontinued]]&gt;BN$4,ISBLANK(Tbl_ResidentData[[#This Row],[PRN Med Discontinued]])))</f>
        <v>0</v>
      </c>
      <c r="CM72" s="121" t="b">
        <f ca="1">AND(Tbl_ResidentData[[#This Row],[PRN Med Started]]&lt;&gt;"",Tbl_ResidentData[[#This Row],[PRN Med Started]]&lt;=NOW(),Tbl_ResidentData[[#This Row],[PRN Med Started]]&lt;=BO$4,OR(Tbl_ResidentData[[#This Row],[PRN Med Discontinued]]&gt;BO$4,ISBLANK(Tbl_ResidentData[[#This Row],[PRN Med Discontinued]])))</f>
        <v>0</v>
      </c>
      <c r="CN72" s="122" t="b">
        <f ca="1">AND(Tbl_ResidentData[[#This Row],[PRN Med Started]]&lt;&gt;"",Tbl_ResidentData[[#This Row],[PRN Med Started]]&lt;=NOW(),Tbl_ResidentData[[#This Row],[PRN Med Started]]&lt;=BP$4,OR(Tbl_ResidentData[[#This Row],[PRN Med Discontinued]]&gt;BP$4,ISBLANK(Tbl_ResidentData[[#This Row],[PRN Med Discontinued]])))</f>
        <v>0</v>
      </c>
      <c r="CO72" s="120">
        <f ca="1">IF(OR(Tbl_ResidentData[[#This Row],[S1]]=TRUE,Tbl_ResidentData[[#This Row],[P1]]=TRUE),1,0)</f>
        <v>0</v>
      </c>
      <c r="CP72" s="121">
        <f ca="1">IF(OR(Tbl_ResidentData[[#This Row],[S2]]=TRUE,Tbl_ResidentData[[#This Row],[P2]]=TRUE),1,0)</f>
        <v>0</v>
      </c>
      <c r="CQ72" s="121">
        <f ca="1">IF(OR(Tbl_ResidentData[[#This Row],[S3]]=TRUE,Tbl_ResidentData[[#This Row],[P3]]=TRUE),1,0)</f>
        <v>0</v>
      </c>
      <c r="CR72" s="120">
        <f ca="1">IF(OR(Tbl_ResidentData[[#This Row],[S4]]=TRUE,Tbl_ResidentData[[#This Row],[P4]]=TRUE),1,0)</f>
        <v>0</v>
      </c>
      <c r="CS72" s="120">
        <f ca="1">IF(OR(Tbl_ResidentData[[#This Row],[S5]]=TRUE,Tbl_ResidentData[[#This Row],[P5]]=TRUE),1,0)</f>
        <v>0</v>
      </c>
      <c r="CT72" s="120">
        <f ca="1">IF(OR(Tbl_ResidentData[[#This Row],[S6]]=TRUE,Tbl_ResidentData[[#This Row],[P6]]=TRUE),1,0)</f>
        <v>0</v>
      </c>
      <c r="CU72" s="120">
        <f ca="1">IF(OR(Tbl_ResidentData[[#This Row],[S7]]=TRUE,Tbl_ResidentData[[#This Row],[P7]]=TRUE),1,0)</f>
        <v>0</v>
      </c>
      <c r="CV72" s="120">
        <f ca="1">IF(OR(Tbl_ResidentData[[#This Row],[S8]]=TRUE,Tbl_ResidentData[[#This Row],[P8]]=TRUE),1,0)</f>
        <v>0</v>
      </c>
      <c r="CW72" s="120">
        <f ca="1">IF(OR(Tbl_ResidentData[[#This Row],[S9]]=TRUE,Tbl_ResidentData[[#This Row],[P9]]=TRUE),1,0)</f>
        <v>0</v>
      </c>
      <c r="CX72" s="120">
        <f ca="1">IF(OR(Tbl_ResidentData[[#This Row],[S10]]=TRUE,Tbl_ResidentData[[#This Row],[P10]]=TRUE),1,0)</f>
        <v>0</v>
      </c>
      <c r="CY72" s="120">
        <f ca="1">IF(OR(Tbl_ResidentData[[#This Row],[S11]]=TRUE,Tbl_ResidentData[[#This Row],[P11]]=TRUE),1,0)</f>
        <v>0</v>
      </c>
      <c r="CZ72" s="120">
        <f ca="1">IF(OR(Tbl_ResidentData[[#This Row],[S12]]=TRUE,Tbl_ResidentData[[#This Row],[P12]]=TRUE),1,0)</f>
        <v>0</v>
      </c>
      <c r="DA72" s="120">
        <f ca="1">IF(OR(Tbl_ResidentData[[#This Row],[S13]]=TRUE,Tbl_ResidentData[[#This Row],[P13]]=TRUE),1,0)</f>
        <v>0</v>
      </c>
      <c r="DB72" s="120">
        <f ca="1">IF(OR(Tbl_ResidentData[[#This Row],[S14]]=TRUE,Tbl_ResidentData[[#This Row],[P14]]=TRUE),1,0)</f>
        <v>0</v>
      </c>
      <c r="DC72" s="120">
        <f ca="1">IF(OR(Tbl_ResidentData[[#This Row],[S15]]=TRUE,Tbl_ResidentData[[#This Row],[P15]]=TRUE),1,0)</f>
        <v>0</v>
      </c>
      <c r="DD72" s="120">
        <f ca="1">IF(OR(Tbl_ResidentData[[#This Row],[S16]]=TRUE,Tbl_ResidentData[[#This Row],[P16]]=TRUE),1,0)</f>
        <v>0</v>
      </c>
      <c r="DE72" s="120">
        <f ca="1">IF(OR(Tbl_ResidentData[[#This Row],[S17]]=TRUE,Tbl_ResidentData[[#This Row],[P17]]=TRUE),1,0)</f>
        <v>0</v>
      </c>
      <c r="DF72" s="120">
        <f ca="1">IF(OR(Tbl_ResidentData[[#This Row],[S18]]=TRUE,Tbl_ResidentData[[#This Row],[P18]]=TRUE),1,0)</f>
        <v>0</v>
      </c>
      <c r="DG72" s="120">
        <f ca="1">IF(OR(Tbl_ResidentData[[#This Row],[S19]]=TRUE,Tbl_ResidentData[[#This Row],[P19]]=TRUE),1,0)</f>
        <v>0</v>
      </c>
      <c r="DH72" s="120">
        <f ca="1">IF(OR(Tbl_ResidentData[[#This Row],[S20]]=TRUE,Tbl_ResidentData[[#This Row],[P20]]=TRUE),1,0)</f>
        <v>0</v>
      </c>
      <c r="DI72" s="120">
        <f ca="1">IF(OR(Tbl_ResidentData[[#This Row],[S21]]=TRUE,Tbl_ResidentData[[#This Row],[P21]]=TRUE),1,0)</f>
        <v>0</v>
      </c>
      <c r="DJ72" s="120">
        <f ca="1">IF(OR(Tbl_ResidentData[[#This Row],[S22]]=TRUE,Tbl_ResidentData[[#This Row],[P22]]=TRUE),1,0)</f>
        <v>0</v>
      </c>
      <c r="DK72" s="120">
        <f ca="1">IF(OR(Tbl_ResidentData[[#This Row],[S23]]=TRUE,Tbl_ResidentData[[#This Row],[P23]]=TRUE),1,0)</f>
        <v>0</v>
      </c>
      <c r="DL72" s="120">
        <f ca="1">IF(OR(Tbl_ResidentData[[#This Row],[S24]]=TRUE,Tbl_ResidentData[[#This Row],[P24]]=TRUE),1,0)</f>
        <v>0</v>
      </c>
      <c r="DM72" s="123" t="str">
        <f ca="1">IFERROR(INDEX($CO$4:$DL$4,MATCH(TRUE,INDEX((Tbl_ResidentData[[#This Row],[Over1]:[Over24]]&lt;&gt;0),0),0)),"")</f>
        <v/>
      </c>
      <c r="DN72" s="133" t="str">
        <f>IFERROR(INDEX(Tbl_PDSAData[Last DRT],MATCH(Tbl_ResidentData[Resident Name '[last, first']],Tbl_PDSAData[Resident Name (last, first)],0)),"")</f>
        <v/>
      </c>
      <c r="DO72" s="222" t="str">
        <f>IFERROR(INDEX(Tbl_PDSAData[Last MR],MATCH(Tbl_ResidentData[Resident Name '[last, first']],Tbl_PDSAData[Resident Name (last, first)],0)),"")</f>
        <v/>
      </c>
    </row>
    <row r="73" spans="1:119" x14ac:dyDescent="0.25">
      <c r="A73" s="179"/>
      <c r="B73" s="180"/>
      <c r="C73" s="180"/>
      <c r="D73" s="218"/>
      <c r="E73" s="179"/>
      <c r="F73" s="181"/>
      <c r="G73" s="181"/>
      <c r="H73" s="375"/>
      <c r="I73" s="185"/>
      <c r="J73" s="387"/>
      <c r="K73" s="178"/>
      <c r="L73" s="388"/>
      <c r="M73" s="185"/>
      <c r="N73" s="386"/>
      <c r="O73" s="178"/>
      <c r="P73" s="388"/>
      <c r="Q73" s="395"/>
      <c r="R73" s="396"/>
      <c r="S73" s="131" t="str">
        <f>IF(ISBLANK(Tbl_ResidentData[[#This Row],[Discharge '[mmm-yyyy']]]),IF(ISBLANK(Tbl_ResidentData[[#This Row],[Enrollment '[mmm-yyyy']]]),"","In Care Home"),"Discharged")</f>
        <v/>
      </c>
      <c r="T73" s="119" t="str">
        <f>IF(ISBLANK(Tbl_ResidentData[[#This Row],[Diagnosis (RAI)]]),IF(ISBLANK(Tbl_ResidentData[[#This Row],[Resident Name '[last, first']]]),"",0),IF(Tbl_ResidentData[[#This Row],[Diagnosis (RAI)]]="Other (see clinical notes)",0,1))</f>
        <v/>
      </c>
      <c r="U73" s="120" t="str">
        <f ca="1">IF(U$4&gt;NOW(),"-",IF(ISBLANK(Tbl_ResidentData[[#This Row],[Enrollment '[mmm-yyyy']]]),"-",AND((Tbl_ResidentData[[#This Row],[Enrollment '[mmm-yyyy']]]&lt;=U$4),IF(ISBLANK(Tbl_ResidentData[[#This Row],[Discharge '[mmm-yyyy']]]),TRUE,(Tbl_ResidentData[[#This Row],[Discharge '[mmm-yyyy']]]&gt;=U$4)))))</f>
        <v>-</v>
      </c>
      <c r="V73" s="121" t="str">
        <f ca="1">IF(V$4&gt;NOW(),"-",IF(ISBLANK(Tbl_ResidentData[[#This Row],[Enrollment '[mmm-yyyy']]]),"-",AND((Tbl_ResidentData[[#This Row],[Enrollment '[mmm-yyyy']]]&lt;=V$4),IF(ISBLANK(Tbl_ResidentData[[#This Row],[Discharge '[mmm-yyyy']]]),TRUE,(Tbl_ResidentData[[#This Row],[Discharge '[mmm-yyyy']]]&gt;=V$4)))))</f>
        <v>-</v>
      </c>
      <c r="W73" s="121" t="str">
        <f ca="1">IF(W$4&gt;NOW(),"-",IF(ISBLANK(Tbl_ResidentData[[#This Row],[Enrollment '[mmm-yyyy']]]),"-",AND((Tbl_ResidentData[[#This Row],[Enrollment '[mmm-yyyy']]]&lt;=W$4),IF(ISBLANK(Tbl_ResidentData[[#This Row],[Discharge '[mmm-yyyy']]]),TRUE,(Tbl_ResidentData[[#This Row],[Discharge '[mmm-yyyy']]]&gt;=W$4)))))</f>
        <v>-</v>
      </c>
      <c r="X73" s="121" t="str">
        <f ca="1">IF(X$4&gt;NOW(),"-",IF(ISBLANK(Tbl_ResidentData[[#This Row],[Enrollment '[mmm-yyyy']]]),"-",AND((Tbl_ResidentData[[#This Row],[Enrollment '[mmm-yyyy']]]&lt;=X$4),IF(ISBLANK(Tbl_ResidentData[[#This Row],[Discharge '[mmm-yyyy']]]),TRUE,(Tbl_ResidentData[[#This Row],[Discharge '[mmm-yyyy']]]&gt;=X$4)))))</f>
        <v>-</v>
      </c>
      <c r="Y73" s="121" t="str">
        <f ca="1">IF(Y$4&gt;NOW(),"-",IF(ISBLANK(Tbl_ResidentData[[#This Row],[Enrollment '[mmm-yyyy']]]),"-",AND((Tbl_ResidentData[[#This Row],[Enrollment '[mmm-yyyy']]]&lt;=Y$4),IF(ISBLANK(Tbl_ResidentData[[#This Row],[Discharge '[mmm-yyyy']]]),TRUE,(Tbl_ResidentData[[#This Row],[Discharge '[mmm-yyyy']]]&gt;=Y$4)))))</f>
        <v>-</v>
      </c>
      <c r="Z73" s="121" t="str">
        <f ca="1">IF(Z$4&gt;NOW(),"-",IF(ISBLANK(Tbl_ResidentData[[#This Row],[Enrollment '[mmm-yyyy']]]),"-",AND((Tbl_ResidentData[[#This Row],[Enrollment '[mmm-yyyy']]]&lt;=Z$4),IF(ISBLANK(Tbl_ResidentData[[#This Row],[Discharge '[mmm-yyyy']]]),TRUE,(Tbl_ResidentData[[#This Row],[Discharge '[mmm-yyyy']]]&gt;=Z$4)))))</f>
        <v>-</v>
      </c>
      <c r="AA73" s="121" t="str">
        <f ca="1">IF(AA$4&gt;NOW(),"-",IF(ISBLANK(Tbl_ResidentData[[#This Row],[Enrollment '[mmm-yyyy']]]),"-",AND((Tbl_ResidentData[[#This Row],[Enrollment '[mmm-yyyy']]]&lt;=AA$4),IF(ISBLANK(Tbl_ResidentData[[#This Row],[Discharge '[mmm-yyyy']]]),TRUE,(Tbl_ResidentData[[#This Row],[Discharge '[mmm-yyyy']]]&gt;=AA$4)))))</f>
        <v>-</v>
      </c>
      <c r="AB73" s="121" t="str">
        <f ca="1">IF(AB$4&gt;NOW(),"-",IF(ISBLANK(Tbl_ResidentData[[#This Row],[Enrollment '[mmm-yyyy']]]),"-",AND((Tbl_ResidentData[[#This Row],[Enrollment '[mmm-yyyy']]]&lt;=AB$4),IF(ISBLANK(Tbl_ResidentData[[#This Row],[Discharge '[mmm-yyyy']]]),TRUE,(Tbl_ResidentData[[#This Row],[Discharge '[mmm-yyyy']]]&gt;=AB$4)))))</f>
        <v>-</v>
      </c>
      <c r="AC73" s="121" t="str">
        <f ca="1">IF(AC$4&gt;NOW(),"-",IF(ISBLANK(Tbl_ResidentData[[#This Row],[Enrollment '[mmm-yyyy']]]),"-",AND((Tbl_ResidentData[[#This Row],[Enrollment '[mmm-yyyy']]]&lt;=AC$4),IF(ISBLANK(Tbl_ResidentData[[#This Row],[Discharge '[mmm-yyyy']]]),TRUE,(Tbl_ResidentData[[#This Row],[Discharge '[mmm-yyyy']]]&gt;=AC$4)))))</f>
        <v>-</v>
      </c>
      <c r="AD73" s="121" t="str">
        <f ca="1">IF(AD$4&gt;NOW(),"-",IF(ISBLANK(Tbl_ResidentData[[#This Row],[Enrollment '[mmm-yyyy']]]),"-",AND((Tbl_ResidentData[[#This Row],[Enrollment '[mmm-yyyy']]]&lt;=AD$4),IF(ISBLANK(Tbl_ResidentData[[#This Row],[Discharge '[mmm-yyyy']]]),TRUE,(Tbl_ResidentData[[#This Row],[Discharge '[mmm-yyyy']]]&gt;=AD$4)))))</f>
        <v>-</v>
      </c>
      <c r="AE73" s="121" t="str">
        <f ca="1">IF(AE$4&gt;NOW(),"-",IF(ISBLANK(Tbl_ResidentData[[#This Row],[Enrollment '[mmm-yyyy']]]),"-",AND((Tbl_ResidentData[[#This Row],[Enrollment '[mmm-yyyy']]]&lt;=AE$4),IF(ISBLANK(Tbl_ResidentData[[#This Row],[Discharge '[mmm-yyyy']]]),TRUE,(Tbl_ResidentData[[#This Row],[Discharge '[mmm-yyyy']]]&gt;=AE$4)))))</f>
        <v>-</v>
      </c>
      <c r="AF73" s="121" t="str">
        <f ca="1">IF(AF$4&gt;NOW(),"-",IF(ISBLANK(Tbl_ResidentData[[#This Row],[Enrollment '[mmm-yyyy']]]),"-",AND((Tbl_ResidentData[[#This Row],[Enrollment '[mmm-yyyy']]]&lt;=AF$4),IF(ISBLANK(Tbl_ResidentData[[#This Row],[Discharge '[mmm-yyyy']]]),TRUE,(Tbl_ResidentData[[#This Row],[Discharge '[mmm-yyyy']]]&gt;=AF$4)))))</f>
        <v>-</v>
      </c>
      <c r="AG73" s="121" t="str">
        <f ca="1">IF(AG$4&gt;NOW(),"-",IF(ISBLANK(Tbl_ResidentData[[#This Row],[Enrollment '[mmm-yyyy']]]),"-",AND((Tbl_ResidentData[[#This Row],[Enrollment '[mmm-yyyy']]]&lt;=AG$4),IF(ISBLANK(Tbl_ResidentData[[#This Row],[Discharge '[mmm-yyyy']]]),TRUE,(Tbl_ResidentData[[#This Row],[Discharge '[mmm-yyyy']]]&gt;=AG$4)))))</f>
        <v>-</v>
      </c>
      <c r="AH73" s="121" t="str">
        <f ca="1">IF(AH$4&gt;NOW(),"-",IF(ISBLANK(Tbl_ResidentData[[#This Row],[Enrollment '[mmm-yyyy']]]),"-",AND((Tbl_ResidentData[[#This Row],[Enrollment '[mmm-yyyy']]]&lt;=AH$4),IF(ISBLANK(Tbl_ResidentData[[#This Row],[Discharge '[mmm-yyyy']]]),TRUE,(Tbl_ResidentData[[#This Row],[Discharge '[mmm-yyyy']]]&gt;=AH$4)))))</f>
        <v>-</v>
      </c>
      <c r="AI73" s="121" t="str">
        <f ca="1">IF(AI$4&gt;NOW(),"-",IF(ISBLANK(Tbl_ResidentData[[#This Row],[Enrollment '[mmm-yyyy']]]),"-",AND((Tbl_ResidentData[[#This Row],[Enrollment '[mmm-yyyy']]]&lt;=AI$4),IF(ISBLANK(Tbl_ResidentData[[#This Row],[Discharge '[mmm-yyyy']]]),TRUE,(Tbl_ResidentData[[#This Row],[Discharge '[mmm-yyyy']]]&gt;=AI$4)))))</f>
        <v>-</v>
      </c>
      <c r="AJ73" s="121" t="str">
        <f ca="1">IF(AJ$4&gt;NOW(),"-",IF(ISBLANK(Tbl_ResidentData[[#This Row],[Enrollment '[mmm-yyyy']]]),"-",AND((Tbl_ResidentData[[#This Row],[Enrollment '[mmm-yyyy']]]&lt;=AJ$4),IF(ISBLANK(Tbl_ResidentData[[#This Row],[Discharge '[mmm-yyyy']]]),TRUE,(Tbl_ResidentData[[#This Row],[Discharge '[mmm-yyyy']]]&gt;=AJ$4)))))</f>
        <v>-</v>
      </c>
      <c r="AK73" s="121" t="str">
        <f ca="1">IF(AK$4&gt;NOW(),"-",IF(ISBLANK(Tbl_ResidentData[[#This Row],[Enrollment '[mmm-yyyy']]]),"-",AND((Tbl_ResidentData[[#This Row],[Enrollment '[mmm-yyyy']]]&lt;=AK$4),IF(ISBLANK(Tbl_ResidentData[[#This Row],[Discharge '[mmm-yyyy']]]),TRUE,(Tbl_ResidentData[[#This Row],[Discharge '[mmm-yyyy']]]&gt;=AK$4)))))</f>
        <v>-</v>
      </c>
      <c r="AL73" s="121" t="str">
        <f ca="1">IF(AL$4&gt;NOW(),"-",IF(ISBLANK(Tbl_ResidentData[[#This Row],[Enrollment '[mmm-yyyy']]]),"-",AND((Tbl_ResidentData[[#This Row],[Enrollment '[mmm-yyyy']]]&lt;=AL$4),IF(ISBLANK(Tbl_ResidentData[[#This Row],[Discharge '[mmm-yyyy']]]),TRUE,(Tbl_ResidentData[[#This Row],[Discharge '[mmm-yyyy']]]&gt;=AL$4)))))</f>
        <v>-</v>
      </c>
      <c r="AM73" s="121" t="str">
        <f ca="1">IF(AM$4&gt;NOW(),"-",IF(ISBLANK(Tbl_ResidentData[[#This Row],[Enrollment '[mmm-yyyy']]]),"-",AND((Tbl_ResidentData[[#This Row],[Enrollment '[mmm-yyyy']]]&lt;=AM$4),IF(ISBLANK(Tbl_ResidentData[[#This Row],[Discharge '[mmm-yyyy']]]),TRUE,(Tbl_ResidentData[[#This Row],[Discharge '[mmm-yyyy']]]&gt;=AM$4)))))</f>
        <v>-</v>
      </c>
      <c r="AN73" s="121" t="str">
        <f ca="1">IF(AN$4&gt;NOW(),"-",IF(ISBLANK(Tbl_ResidentData[[#This Row],[Enrollment '[mmm-yyyy']]]),"-",AND((Tbl_ResidentData[[#This Row],[Enrollment '[mmm-yyyy']]]&lt;=AN$4),IF(ISBLANK(Tbl_ResidentData[[#This Row],[Discharge '[mmm-yyyy']]]),TRUE,(Tbl_ResidentData[[#This Row],[Discharge '[mmm-yyyy']]]&gt;=AN$4)))))</f>
        <v>-</v>
      </c>
      <c r="AO73" s="121" t="str">
        <f ca="1">IF(AO$4&gt;NOW(),"-",IF(ISBLANK(Tbl_ResidentData[[#This Row],[Enrollment '[mmm-yyyy']]]),"-",AND((Tbl_ResidentData[[#This Row],[Enrollment '[mmm-yyyy']]]&lt;=AO$4),IF(ISBLANK(Tbl_ResidentData[[#This Row],[Discharge '[mmm-yyyy']]]),TRUE,(Tbl_ResidentData[[#This Row],[Discharge '[mmm-yyyy']]]&gt;=AO$4)))))</f>
        <v>-</v>
      </c>
      <c r="AP73" s="121" t="str">
        <f ca="1">IF(AP$4&gt;NOW(),"-",IF(ISBLANK(Tbl_ResidentData[[#This Row],[Enrollment '[mmm-yyyy']]]),"-",AND((Tbl_ResidentData[[#This Row],[Enrollment '[mmm-yyyy']]]&lt;=AP$4),IF(ISBLANK(Tbl_ResidentData[[#This Row],[Discharge '[mmm-yyyy']]]),TRUE,(Tbl_ResidentData[[#This Row],[Discharge '[mmm-yyyy']]]&gt;=AP$4)))))</f>
        <v>-</v>
      </c>
      <c r="AQ73" s="121" t="str">
        <f ca="1">IF(AQ$4&gt;NOW(),"-",IF(ISBLANK(Tbl_ResidentData[[#This Row],[Enrollment '[mmm-yyyy']]]),"-",AND((Tbl_ResidentData[[#This Row],[Enrollment '[mmm-yyyy']]]&lt;=AQ$4),IF(ISBLANK(Tbl_ResidentData[[#This Row],[Discharge '[mmm-yyyy']]]),TRUE,(Tbl_ResidentData[[#This Row],[Discharge '[mmm-yyyy']]]&gt;=AQ$4)))))</f>
        <v>-</v>
      </c>
      <c r="AR73" s="122" t="str">
        <f ca="1">IF(AR$4&gt;NOW(),"-",IF(ISBLANK(Tbl_ResidentData[[#This Row],[Enrollment '[mmm-yyyy']]]),"-",AND((Tbl_ResidentData[[#This Row],[Enrollment '[mmm-yyyy']]]&lt;=AR$4),IF(ISBLANK(Tbl_ResidentData[[#This Row],[Discharge '[mmm-yyyy']]]),TRUE,(Tbl_ResidentData[[#This Row],[Discharge '[mmm-yyyy']]]&gt;=AR$4)))))</f>
        <v>-</v>
      </c>
      <c r="AS7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3" s="120" t="b">
        <f ca="1">AND(Tbl_ResidentData[[#This Row],[PRN Med Started]]&lt;&gt;"",Tbl_ResidentData[[#This Row],[PRN Med Started]]&lt;=NOW(),Tbl_ResidentData[[#This Row],[PRN Med Started]]&lt;=AS$4,OR(Tbl_ResidentData[[#This Row],[PRN Med Discontinued]]&gt;AS$4,ISBLANK(Tbl_ResidentData[[#This Row],[PRN Med Discontinued]])))</f>
        <v>0</v>
      </c>
      <c r="BR73" s="121" t="b">
        <f ca="1">AND(Tbl_ResidentData[[#This Row],[PRN Med Started]]&lt;&gt;"",Tbl_ResidentData[[#This Row],[PRN Med Started]]&lt;=NOW(),Tbl_ResidentData[[#This Row],[PRN Med Started]]&lt;=AT$4,OR(Tbl_ResidentData[[#This Row],[PRN Med Discontinued]]&gt;AT$4,ISBLANK(Tbl_ResidentData[[#This Row],[PRN Med Discontinued]])))</f>
        <v>0</v>
      </c>
      <c r="BS73" s="121" t="b">
        <f ca="1">AND(Tbl_ResidentData[[#This Row],[PRN Med Started]]&lt;&gt;"",Tbl_ResidentData[[#This Row],[PRN Med Started]]&lt;=NOW(),Tbl_ResidentData[[#This Row],[PRN Med Started]]&lt;=AU$4,OR(Tbl_ResidentData[[#This Row],[PRN Med Discontinued]]&gt;AU$4,ISBLANK(Tbl_ResidentData[[#This Row],[PRN Med Discontinued]])))</f>
        <v>0</v>
      </c>
      <c r="BT73" s="121" t="b">
        <f ca="1">AND(Tbl_ResidentData[[#This Row],[PRN Med Started]]&lt;&gt;"",Tbl_ResidentData[[#This Row],[PRN Med Started]]&lt;=NOW(),Tbl_ResidentData[[#This Row],[PRN Med Started]]&lt;=AV$4,OR(Tbl_ResidentData[[#This Row],[PRN Med Discontinued]]&gt;AV$4,ISBLANK(Tbl_ResidentData[[#This Row],[PRN Med Discontinued]])))</f>
        <v>0</v>
      </c>
      <c r="BU73" s="121" t="b">
        <f ca="1">AND(Tbl_ResidentData[[#This Row],[PRN Med Started]]&lt;&gt;"",Tbl_ResidentData[[#This Row],[PRN Med Started]]&lt;=NOW(),Tbl_ResidentData[[#This Row],[PRN Med Started]]&lt;=AW$4,OR(Tbl_ResidentData[[#This Row],[PRN Med Discontinued]]&gt;AW$4,ISBLANK(Tbl_ResidentData[[#This Row],[PRN Med Discontinued]])))</f>
        <v>0</v>
      </c>
      <c r="BV73" s="121" t="b">
        <f ca="1">AND(Tbl_ResidentData[[#This Row],[PRN Med Started]]&lt;&gt;"",Tbl_ResidentData[[#This Row],[PRN Med Started]]&lt;=NOW(),Tbl_ResidentData[[#This Row],[PRN Med Started]]&lt;=AX$4,OR(Tbl_ResidentData[[#This Row],[PRN Med Discontinued]]&gt;AX$4,ISBLANK(Tbl_ResidentData[[#This Row],[PRN Med Discontinued]])))</f>
        <v>0</v>
      </c>
      <c r="BW73" s="121" t="b">
        <f ca="1">AND(Tbl_ResidentData[[#This Row],[PRN Med Started]]&lt;&gt;"",Tbl_ResidentData[[#This Row],[PRN Med Started]]&lt;=NOW(),Tbl_ResidentData[[#This Row],[PRN Med Started]]&lt;=AY$4,OR(Tbl_ResidentData[[#This Row],[PRN Med Discontinued]]&gt;AY$4,ISBLANK(Tbl_ResidentData[[#This Row],[PRN Med Discontinued]])))</f>
        <v>0</v>
      </c>
      <c r="BX73" s="121" t="b">
        <f ca="1">AND(Tbl_ResidentData[[#This Row],[PRN Med Started]]&lt;&gt;"",Tbl_ResidentData[[#This Row],[PRN Med Started]]&lt;=NOW(),Tbl_ResidentData[[#This Row],[PRN Med Started]]&lt;=AZ$4,OR(Tbl_ResidentData[[#This Row],[PRN Med Discontinued]]&gt;AZ$4,ISBLANK(Tbl_ResidentData[[#This Row],[PRN Med Discontinued]])))</f>
        <v>0</v>
      </c>
      <c r="BY73" s="121" t="b">
        <f ca="1">AND(Tbl_ResidentData[[#This Row],[PRN Med Started]]&lt;&gt;"",Tbl_ResidentData[[#This Row],[PRN Med Started]]&lt;=NOW(),Tbl_ResidentData[[#This Row],[PRN Med Started]]&lt;=BA$4,OR(Tbl_ResidentData[[#This Row],[PRN Med Discontinued]]&gt;BA$4,ISBLANK(Tbl_ResidentData[[#This Row],[PRN Med Discontinued]])))</f>
        <v>0</v>
      </c>
      <c r="BZ73" s="121" t="b">
        <f ca="1">AND(Tbl_ResidentData[[#This Row],[PRN Med Started]]&lt;&gt;"",Tbl_ResidentData[[#This Row],[PRN Med Started]]&lt;=NOW(),Tbl_ResidentData[[#This Row],[PRN Med Started]]&lt;=BB$4,OR(Tbl_ResidentData[[#This Row],[PRN Med Discontinued]]&gt;BB$4,ISBLANK(Tbl_ResidentData[[#This Row],[PRN Med Discontinued]])))</f>
        <v>0</v>
      </c>
      <c r="CA73" s="121" t="b">
        <f ca="1">AND(Tbl_ResidentData[[#This Row],[PRN Med Started]]&lt;&gt;"",Tbl_ResidentData[[#This Row],[PRN Med Started]]&lt;=NOW(),Tbl_ResidentData[[#This Row],[PRN Med Started]]&lt;=BC$4,OR(Tbl_ResidentData[[#This Row],[PRN Med Discontinued]]&gt;BC$4,ISBLANK(Tbl_ResidentData[[#This Row],[PRN Med Discontinued]])))</f>
        <v>0</v>
      </c>
      <c r="CB73" s="121" t="b">
        <f ca="1">AND(Tbl_ResidentData[[#This Row],[PRN Med Started]]&lt;&gt;"",Tbl_ResidentData[[#This Row],[PRN Med Started]]&lt;=NOW(),Tbl_ResidentData[[#This Row],[PRN Med Started]]&lt;=BD$4,OR(Tbl_ResidentData[[#This Row],[PRN Med Discontinued]]&gt;BD$4,ISBLANK(Tbl_ResidentData[[#This Row],[PRN Med Discontinued]])))</f>
        <v>0</v>
      </c>
      <c r="CC73" s="121" t="b">
        <f ca="1">AND(Tbl_ResidentData[[#This Row],[PRN Med Started]]&lt;&gt;"",Tbl_ResidentData[[#This Row],[PRN Med Started]]&lt;=NOW(),Tbl_ResidentData[[#This Row],[PRN Med Started]]&lt;=BE$4,OR(Tbl_ResidentData[[#This Row],[PRN Med Discontinued]]&gt;BE$4,ISBLANK(Tbl_ResidentData[[#This Row],[PRN Med Discontinued]])))</f>
        <v>0</v>
      </c>
      <c r="CD73" s="121" t="b">
        <f ca="1">AND(Tbl_ResidentData[[#This Row],[PRN Med Started]]&lt;&gt;"",Tbl_ResidentData[[#This Row],[PRN Med Started]]&lt;=NOW(),Tbl_ResidentData[[#This Row],[PRN Med Started]]&lt;=BF$4,OR(Tbl_ResidentData[[#This Row],[PRN Med Discontinued]]&gt;BF$4,ISBLANK(Tbl_ResidentData[[#This Row],[PRN Med Discontinued]])))</f>
        <v>0</v>
      </c>
      <c r="CE73" s="121" t="b">
        <f ca="1">AND(Tbl_ResidentData[[#This Row],[PRN Med Started]]&lt;&gt;"",Tbl_ResidentData[[#This Row],[PRN Med Started]]&lt;=NOW(),Tbl_ResidentData[[#This Row],[PRN Med Started]]&lt;=BG$4,OR(Tbl_ResidentData[[#This Row],[PRN Med Discontinued]]&gt;BG$4,ISBLANK(Tbl_ResidentData[[#This Row],[PRN Med Discontinued]])))</f>
        <v>0</v>
      </c>
      <c r="CF73" s="121" t="b">
        <f ca="1">AND(Tbl_ResidentData[[#This Row],[PRN Med Started]]&lt;&gt;"",Tbl_ResidentData[[#This Row],[PRN Med Started]]&lt;=NOW(),Tbl_ResidentData[[#This Row],[PRN Med Started]]&lt;=BH$4,OR(Tbl_ResidentData[[#This Row],[PRN Med Discontinued]]&gt;BH$4,ISBLANK(Tbl_ResidentData[[#This Row],[PRN Med Discontinued]])))</f>
        <v>0</v>
      </c>
      <c r="CG73" s="121" t="b">
        <f ca="1">AND(Tbl_ResidentData[[#This Row],[PRN Med Started]]&lt;&gt;"",Tbl_ResidentData[[#This Row],[PRN Med Started]]&lt;=NOW(),Tbl_ResidentData[[#This Row],[PRN Med Started]]&lt;=BI$4,OR(Tbl_ResidentData[[#This Row],[PRN Med Discontinued]]&gt;BI$4,ISBLANK(Tbl_ResidentData[[#This Row],[PRN Med Discontinued]])))</f>
        <v>0</v>
      </c>
      <c r="CH73" s="121" t="b">
        <f ca="1">AND(Tbl_ResidentData[[#This Row],[PRN Med Started]]&lt;&gt;"",Tbl_ResidentData[[#This Row],[PRN Med Started]]&lt;=NOW(),Tbl_ResidentData[[#This Row],[PRN Med Started]]&lt;=BJ$4,OR(Tbl_ResidentData[[#This Row],[PRN Med Discontinued]]&gt;BJ$4,ISBLANK(Tbl_ResidentData[[#This Row],[PRN Med Discontinued]])))</f>
        <v>0</v>
      </c>
      <c r="CI73" s="121" t="b">
        <f ca="1">AND(Tbl_ResidentData[[#This Row],[PRN Med Started]]&lt;&gt;"",Tbl_ResidentData[[#This Row],[PRN Med Started]]&lt;=NOW(),Tbl_ResidentData[[#This Row],[PRN Med Started]]&lt;=BK$4,OR(Tbl_ResidentData[[#This Row],[PRN Med Discontinued]]&gt;BK$4,ISBLANK(Tbl_ResidentData[[#This Row],[PRN Med Discontinued]])))</f>
        <v>0</v>
      </c>
      <c r="CJ73" s="121" t="b">
        <f ca="1">AND(Tbl_ResidentData[[#This Row],[PRN Med Started]]&lt;&gt;"",Tbl_ResidentData[[#This Row],[PRN Med Started]]&lt;=NOW(),Tbl_ResidentData[[#This Row],[PRN Med Started]]&lt;=BL$4,OR(Tbl_ResidentData[[#This Row],[PRN Med Discontinued]]&gt;BL$4,ISBLANK(Tbl_ResidentData[[#This Row],[PRN Med Discontinued]])))</f>
        <v>0</v>
      </c>
      <c r="CK73" s="121" t="b">
        <f ca="1">AND(Tbl_ResidentData[[#This Row],[PRN Med Started]]&lt;&gt;"",Tbl_ResidentData[[#This Row],[PRN Med Started]]&lt;=NOW(),Tbl_ResidentData[[#This Row],[PRN Med Started]]&lt;=BM$4,OR(Tbl_ResidentData[[#This Row],[PRN Med Discontinued]]&gt;BM$4,ISBLANK(Tbl_ResidentData[[#This Row],[PRN Med Discontinued]])))</f>
        <v>0</v>
      </c>
      <c r="CL73" s="121" t="b">
        <f ca="1">AND(Tbl_ResidentData[[#This Row],[PRN Med Started]]&lt;&gt;"",Tbl_ResidentData[[#This Row],[PRN Med Started]]&lt;=NOW(),Tbl_ResidentData[[#This Row],[PRN Med Started]]&lt;=BN$4,OR(Tbl_ResidentData[[#This Row],[PRN Med Discontinued]]&gt;BN$4,ISBLANK(Tbl_ResidentData[[#This Row],[PRN Med Discontinued]])))</f>
        <v>0</v>
      </c>
      <c r="CM73" s="121" t="b">
        <f ca="1">AND(Tbl_ResidentData[[#This Row],[PRN Med Started]]&lt;&gt;"",Tbl_ResidentData[[#This Row],[PRN Med Started]]&lt;=NOW(),Tbl_ResidentData[[#This Row],[PRN Med Started]]&lt;=BO$4,OR(Tbl_ResidentData[[#This Row],[PRN Med Discontinued]]&gt;BO$4,ISBLANK(Tbl_ResidentData[[#This Row],[PRN Med Discontinued]])))</f>
        <v>0</v>
      </c>
      <c r="CN73" s="122" t="b">
        <f ca="1">AND(Tbl_ResidentData[[#This Row],[PRN Med Started]]&lt;&gt;"",Tbl_ResidentData[[#This Row],[PRN Med Started]]&lt;=NOW(),Tbl_ResidentData[[#This Row],[PRN Med Started]]&lt;=BP$4,OR(Tbl_ResidentData[[#This Row],[PRN Med Discontinued]]&gt;BP$4,ISBLANK(Tbl_ResidentData[[#This Row],[PRN Med Discontinued]])))</f>
        <v>0</v>
      </c>
      <c r="CO73" s="120">
        <f ca="1">IF(OR(Tbl_ResidentData[[#This Row],[S1]]=TRUE,Tbl_ResidentData[[#This Row],[P1]]=TRUE),1,0)</f>
        <v>0</v>
      </c>
      <c r="CP73" s="121">
        <f ca="1">IF(OR(Tbl_ResidentData[[#This Row],[S2]]=TRUE,Tbl_ResidentData[[#This Row],[P2]]=TRUE),1,0)</f>
        <v>0</v>
      </c>
      <c r="CQ73" s="121">
        <f ca="1">IF(OR(Tbl_ResidentData[[#This Row],[S3]]=TRUE,Tbl_ResidentData[[#This Row],[P3]]=TRUE),1,0)</f>
        <v>0</v>
      </c>
      <c r="CR73" s="120">
        <f ca="1">IF(OR(Tbl_ResidentData[[#This Row],[S4]]=TRUE,Tbl_ResidentData[[#This Row],[P4]]=TRUE),1,0)</f>
        <v>0</v>
      </c>
      <c r="CS73" s="120">
        <f ca="1">IF(OR(Tbl_ResidentData[[#This Row],[S5]]=TRUE,Tbl_ResidentData[[#This Row],[P5]]=TRUE),1,0)</f>
        <v>0</v>
      </c>
      <c r="CT73" s="120">
        <f ca="1">IF(OR(Tbl_ResidentData[[#This Row],[S6]]=TRUE,Tbl_ResidentData[[#This Row],[P6]]=TRUE),1,0)</f>
        <v>0</v>
      </c>
      <c r="CU73" s="120">
        <f ca="1">IF(OR(Tbl_ResidentData[[#This Row],[S7]]=TRUE,Tbl_ResidentData[[#This Row],[P7]]=TRUE),1,0)</f>
        <v>0</v>
      </c>
      <c r="CV73" s="120">
        <f ca="1">IF(OR(Tbl_ResidentData[[#This Row],[S8]]=TRUE,Tbl_ResidentData[[#This Row],[P8]]=TRUE),1,0)</f>
        <v>0</v>
      </c>
      <c r="CW73" s="120">
        <f ca="1">IF(OR(Tbl_ResidentData[[#This Row],[S9]]=TRUE,Tbl_ResidentData[[#This Row],[P9]]=TRUE),1,0)</f>
        <v>0</v>
      </c>
      <c r="CX73" s="120">
        <f ca="1">IF(OR(Tbl_ResidentData[[#This Row],[S10]]=TRUE,Tbl_ResidentData[[#This Row],[P10]]=TRUE),1,0)</f>
        <v>0</v>
      </c>
      <c r="CY73" s="120">
        <f ca="1">IF(OR(Tbl_ResidentData[[#This Row],[S11]]=TRUE,Tbl_ResidentData[[#This Row],[P11]]=TRUE),1,0)</f>
        <v>0</v>
      </c>
      <c r="CZ73" s="120">
        <f ca="1">IF(OR(Tbl_ResidentData[[#This Row],[S12]]=TRUE,Tbl_ResidentData[[#This Row],[P12]]=TRUE),1,0)</f>
        <v>0</v>
      </c>
      <c r="DA73" s="120">
        <f ca="1">IF(OR(Tbl_ResidentData[[#This Row],[S13]]=TRUE,Tbl_ResidentData[[#This Row],[P13]]=TRUE),1,0)</f>
        <v>0</v>
      </c>
      <c r="DB73" s="120">
        <f ca="1">IF(OR(Tbl_ResidentData[[#This Row],[S14]]=TRUE,Tbl_ResidentData[[#This Row],[P14]]=TRUE),1,0)</f>
        <v>0</v>
      </c>
      <c r="DC73" s="120">
        <f ca="1">IF(OR(Tbl_ResidentData[[#This Row],[S15]]=TRUE,Tbl_ResidentData[[#This Row],[P15]]=TRUE),1,0)</f>
        <v>0</v>
      </c>
      <c r="DD73" s="120">
        <f ca="1">IF(OR(Tbl_ResidentData[[#This Row],[S16]]=TRUE,Tbl_ResidentData[[#This Row],[P16]]=TRUE),1,0)</f>
        <v>0</v>
      </c>
      <c r="DE73" s="120">
        <f ca="1">IF(OR(Tbl_ResidentData[[#This Row],[S17]]=TRUE,Tbl_ResidentData[[#This Row],[P17]]=TRUE),1,0)</f>
        <v>0</v>
      </c>
      <c r="DF73" s="120">
        <f ca="1">IF(OR(Tbl_ResidentData[[#This Row],[S18]]=TRUE,Tbl_ResidentData[[#This Row],[P18]]=TRUE),1,0)</f>
        <v>0</v>
      </c>
      <c r="DG73" s="120">
        <f ca="1">IF(OR(Tbl_ResidentData[[#This Row],[S19]]=TRUE,Tbl_ResidentData[[#This Row],[P19]]=TRUE),1,0)</f>
        <v>0</v>
      </c>
      <c r="DH73" s="120">
        <f ca="1">IF(OR(Tbl_ResidentData[[#This Row],[S20]]=TRUE,Tbl_ResidentData[[#This Row],[P20]]=TRUE),1,0)</f>
        <v>0</v>
      </c>
      <c r="DI73" s="120">
        <f ca="1">IF(OR(Tbl_ResidentData[[#This Row],[S21]]=TRUE,Tbl_ResidentData[[#This Row],[P21]]=TRUE),1,0)</f>
        <v>0</v>
      </c>
      <c r="DJ73" s="120">
        <f ca="1">IF(OR(Tbl_ResidentData[[#This Row],[S22]]=TRUE,Tbl_ResidentData[[#This Row],[P22]]=TRUE),1,0)</f>
        <v>0</v>
      </c>
      <c r="DK73" s="120">
        <f ca="1">IF(OR(Tbl_ResidentData[[#This Row],[S23]]=TRUE,Tbl_ResidentData[[#This Row],[P23]]=TRUE),1,0)</f>
        <v>0</v>
      </c>
      <c r="DL73" s="120">
        <f ca="1">IF(OR(Tbl_ResidentData[[#This Row],[S24]]=TRUE,Tbl_ResidentData[[#This Row],[P24]]=TRUE),1,0)</f>
        <v>0</v>
      </c>
      <c r="DM73" s="123" t="str">
        <f ca="1">IFERROR(INDEX($CO$4:$DL$4,MATCH(TRUE,INDEX((Tbl_ResidentData[[#This Row],[Over1]:[Over24]]&lt;&gt;0),0),0)),"")</f>
        <v/>
      </c>
      <c r="DN73" s="133" t="str">
        <f>IFERROR(INDEX(Tbl_PDSAData[Last DRT],MATCH(Tbl_ResidentData[Resident Name '[last, first']],Tbl_PDSAData[Resident Name (last, first)],0)),"")</f>
        <v/>
      </c>
      <c r="DO73" s="222" t="str">
        <f>IFERROR(INDEX(Tbl_PDSAData[Last MR],MATCH(Tbl_ResidentData[Resident Name '[last, first']],Tbl_PDSAData[Resident Name (last, first)],0)),"")</f>
        <v/>
      </c>
    </row>
    <row r="74" spans="1:119" x14ac:dyDescent="0.25">
      <c r="A74" s="179"/>
      <c r="B74" s="180"/>
      <c r="C74" s="180"/>
      <c r="D74" s="218"/>
      <c r="E74" s="179"/>
      <c r="F74" s="181"/>
      <c r="G74" s="181"/>
      <c r="H74" s="375"/>
      <c r="I74" s="185"/>
      <c r="J74" s="387"/>
      <c r="K74" s="178"/>
      <c r="L74" s="388"/>
      <c r="M74" s="185"/>
      <c r="N74" s="386"/>
      <c r="O74" s="178"/>
      <c r="P74" s="388"/>
      <c r="Q74" s="394"/>
      <c r="R74" s="388"/>
      <c r="S74" s="131" t="str">
        <f>IF(ISBLANK(Tbl_ResidentData[[#This Row],[Discharge '[mmm-yyyy']]]),IF(ISBLANK(Tbl_ResidentData[[#This Row],[Enrollment '[mmm-yyyy']]]),"","In Care Home"),"Discharged")</f>
        <v/>
      </c>
      <c r="T74" s="119" t="str">
        <f>IF(ISBLANK(Tbl_ResidentData[[#This Row],[Diagnosis (RAI)]]),IF(ISBLANK(Tbl_ResidentData[[#This Row],[Resident Name '[last, first']]]),"",0),IF(Tbl_ResidentData[[#This Row],[Diagnosis (RAI)]]="Other (see clinical notes)",0,1))</f>
        <v/>
      </c>
      <c r="U74" s="120" t="str">
        <f ca="1">IF(U$4&gt;NOW(),"-",IF(ISBLANK(Tbl_ResidentData[[#This Row],[Enrollment '[mmm-yyyy']]]),"-",AND((Tbl_ResidentData[[#This Row],[Enrollment '[mmm-yyyy']]]&lt;=U$4),IF(ISBLANK(Tbl_ResidentData[[#This Row],[Discharge '[mmm-yyyy']]]),TRUE,(Tbl_ResidentData[[#This Row],[Discharge '[mmm-yyyy']]]&gt;=U$4)))))</f>
        <v>-</v>
      </c>
      <c r="V74" s="121" t="str">
        <f ca="1">IF(V$4&gt;NOW(),"-",IF(ISBLANK(Tbl_ResidentData[[#This Row],[Enrollment '[mmm-yyyy']]]),"-",AND((Tbl_ResidentData[[#This Row],[Enrollment '[mmm-yyyy']]]&lt;=V$4),IF(ISBLANK(Tbl_ResidentData[[#This Row],[Discharge '[mmm-yyyy']]]),TRUE,(Tbl_ResidentData[[#This Row],[Discharge '[mmm-yyyy']]]&gt;=V$4)))))</f>
        <v>-</v>
      </c>
      <c r="W74" s="121" t="str">
        <f ca="1">IF(W$4&gt;NOW(),"-",IF(ISBLANK(Tbl_ResidentData[[#This Row],[Enrollment '[mmm-yyyy']]]),"-",AND((Tbl_ResidentData[[#This Row],[Enrollment '[mmm-yyyy']]]&lt;=W$4),IF(ISBLANK(Tbl_ResidentData[[#This Row],[Discharge '[mmm-yyyy']]]),TRUE,(Tbl_ResidentData[[#This Row],[Discharge '[mmm-yyyy']]]&gt;=W$4)))))</f>
        <v>-</v>
      </c>
      <c r="X74" s="121" t="str">
        <f ca="1">IF(X$4&gt;NOW(),"-",IF(ISBLANK(Tbl_ResidentData[[#This Row],[Enrollment '[mmm-yyyy']]]),"-",AND((Tbl_ResidentData[[#This Row],[Enrollment '[mmm-yyyy']]]&lt;=X$4),IF(ISBLANK(Tbl_ResidentData[[#This Row],[Discharge '[mmm-yyyy']]]),TRUE,(Tbl_ResidentData[[#This Row],[Discharge '[mmm-yyyy']]]&gt;=X$4)))))</f>
        <v>-</v>
      </c>
      <c r="Y74" s="121" t="str">
        <f ca="1">IF(Y$4&gt;NOW(),"-",IF(ISBLANK(Tbl_ResidentData[[#This Row],[Enrollment '[mmm-yyyy']]]),"-",AND((Tbl_ResidentData[[#This Row],[Enrollment '[mmm-yyyy']]]&lt;=Y$4),IF(ISBLANK(Tbl_ResidentData[[#This Row],[Discharge '[mmm-yyyy']]]),TRUE,(Tbl_ResidentData[[#This Row],[Discharge '[mmm-yyyy']]]&gt;=Y$4)))))</f>
        <v>-</v>
      </c>
      <c r="Z74" s="121" t="str">
        <f ca="1">IF(Z$4&gt;NOW(),"-",IF(ISBLANK(Tbl_ResidentData[[#This Row],[Enrollment '[mmm-yyyy']]]),"-",AND((Tbl_ResidentData[[#This Row],[Enrollment '[mmm-yyyy']]]&lt;=Z$4),IF(ISBLANK(Tbl_ResidentData[[#This Row],[Discharge '[mmm-yyyy']]]),TRUE,(Tbl_ResidentData[[#This Row],[Discharge '[mmm-yyyy']]]&gt;=Z$4)))))</f>
        <v>-</v>
      </c>
      <c r="AA74" s="121" t="str">
        <f ca="1">IF(AA$4&gt;NOW(),"-",IF(ISBLANK(Tbl_ResidentData[[#This Row],[Enrollment '[mmm-yyyy']]]),"-",AND((Tbl_ResidentData[[#This Row],[Enrollment '[mmm-yyyy']]]&lt;=AA$4),IF(ISBLANK(Tbl_ResidentData[[#This Row],[Discharge '[mmm-yyyy']]]),TRUE,(Tbl_ResidentData[[#This Row],[Discharge '[mmm-yyyy']]]&gt;=AA$4)))))</f>
        <v>-</v>
      </c>
      <c r="AB74" s="121" t="str">
        <f ca="1">IF(AB$4&gt;NOW(),"-",IF(ISBLANK(Tbl_ResidentData[[#This Row],[Enrollment '[mmm-yyyy']]]),"-",AND((Tbl_ResidentData[[#This Row],[Enrollment '[mmm-yyyy']]]&lt;=AB$4),IF(ISBLANK(Tbl_ResidentData[[#This Row],[Discharge '[mmm-yyyy']]]),TRUE,(Tbl_ResidentData[[#This Row],[Discharge '[mmm-yyyy']]]&gt;=AB$4)))))</f>
        <v>-</v>
      </c>
      <c r="AC74" s="121" t="str">
        <f ca="1">IF(AC$4&gt;NOW(),"-",IF(ISBLANK(Tbl_ResidentData[[#This Row],[Enrollment '[mmm-yyyy']]]),"-",AND((Tbl_ResidentData[[#This Row],[Enrollment '[mmm-yyyy']]]&lt;=AC$4),IF(ISBLANK(Tbl_ResidentData[[#This Row],[Discharge '[mmm-yyyy']]]),TRUE,(Tbl_ResidentData[[#This Row],[Discharge '[mmm-yyyy']]]&gt;=AC$4)))))</f>
        <v>-</v>
      </c>
      <c r="AD74" s="121" t="str">
        <f ca="1">IF(AD$4&gt;NOW(),"-",IF(ISBLANK(Tbl_ResidentData[[#This Row],[Enrollment '[mmm-yyyy']]]),"-",AND((Tbl_ResidentData[[#This Row],[Enrollment '[mmm-yyyy']]]&lt;=AD$4),IF(ISBLANK(Tbl_ResidentData[[#This Row],[Discharge '[mmm-yyyy']]]),TRUE,(Tbl_ResidentData[[#This Row],[Discharge '[mmm-yyyy']]]&gt;=AD$4)))))</f>
        <v>-</v>
      </c>
      <c r="AE74" s="121" t="str">
        <f ca="1">IF(AE$4&gt;NOW(),"-",IF(ISBLANK(Tbl_ResidentData[[#This Row],[Enrollment '[mmm-yyyy']]]),"-",AND((Tbl_ResidentData[[#This Row],[Enrollment '[mmm-yyyy']]]&lt;=AE$4),IF(ISBLANK(Tbl_ResidentData[[#This Row],[Discharge '[mmm-yyyy']]]),TRUE,(Tbl_ResidentData[[#This Row],[Discharge '[mmm-yyyy']]]&gt;=AE$4)))))</f>
        <v>-</v>
      </c>
      <c r="AF74" s="121" t="str">
        <f ca="1">IF(AF$4&gt;NOW(),"-",IF(ISBLANK(Tbl_ResidentData[[#This Row],[Enrollment '[mmm-yyyy']]]),"-",AND((Tbl_ResidentData[[#This Row],[Enrollment '[mmm-yyyy']]]&lt;=AF$4),IF(ISBLANK(Tbl_ResidentData[[#This Row],[Discharge '[mmm-yyyy']]]),TRUE,(Tbl_ResidentData[[#This Row],[Discharge '[mmm-yyyy']]]&gt;=AF$4)))))</f>
        <v>-</v>
      </c>
      <c r="AG74" s="121" t="str">
        <f ca="1">IF(AG$4&gt;NOW(),"-",IF(ISBLANK(Tbl_ResidentData[[#This Row],[Enrollment '[mmm-yyyy']]]),"-",AND((Tbl_ResidentData[[#This Row],[Enrollment '[mmm-yyyy']]]&lt;=AG$4),IF(ISBLANK(Tbl_ResidentData[[#This Row],[Discharge '[mmm-yyyy']]]),TRUE,(Tbl_ResidentData[[#This Row],[Discharge '[mmm-yyyy']]]&gt;=AG$4)))))</f>
        <v>-</v>
      </c>
      <c r="AH74" s="121" t="str">
        <f ca="1">IF(AH$4&gt;NOW(),"-",IF(ISBLANK(Tbl_ResidentData[[#This Row],[Enrollment '[mmm-yyyy']]]),"-",AND((Tbl_ResidentData[[#This Row],[Enrollment '[mmm-yyyy']]]&lt;=AH$4),IF(ISBLANK(Tbl_ResidentData[[#This Row],[Discharge '[mmm-yyyy']]]),TRUE,(Tbl_ResidentData[[#This Row],[Discharge '[mmm-yyyy']]]&gt;=AH$4)))))</f>
        <v>-</v>
      </c>
      <c r="AI74" s="121" t="str">
        <f ca="1">IF(AI$4&gt;NOW(),"-",IF(ISBLANK(Tbl_ResidentData[[#This Row],[Enrollment '[mmm-yyyy']]]),"-",AND((Tbl_ResidentData[[#This Row],[Enrollment '[mmm-yyyy']]]&lt;=AI$4),IF(ISBLANK(Tbl_ResidentData[[#This Row],[Discharge '[mmm-yyyy']]]),TRUE,(Tbl_ResidentData[[#This Row],[Discharge '[mmm-yyyy']]]&gt;=AI$4)))))</f>
        <v>-</v>
      </c>
      <c r="AJ74" s="121" t="str">
        <f ca="1">IF(AJ$4&gt;NOW(),"-",IF(ISBLANK(Tbl_ResidentData[[#This Row],[Enrollment '[mmm-yyyy']]]),"-",AND((Tbl_ResidentData[[#This Row],[Enrollment '[mmm-yyyy']]]&lt;=AJ$4),IF(ISBLANK(Tbl_ResidentData[[#This Row],[Discharge '[mmm-yyyy']]]),TRUE,(Tbl_ResidentData[[#This Row],[Discharge '[mmm-yyyy']]]&gt;=AJ$4)))))</f>
        <v>-</v>
      </c>
      <c r="AK74" s="121" t="str">
        <f ca="1">IF(AK$4&gt;NOW(),"-",IF(ISBLANK(Tbl_ResidentData[[#This Row],[Enrollment '[mmm-yyyy']]]),"-",AND((Tbl_ResidentData[[#This Row],[Enrollment '[mmm-yyyy']]]&lt;=AK$4),IF(ISBLANK(Tbl_ResidentData[[#This Row],[Discharge '[mmm-yyyy']]]),TRUE,(Tbl_ResidentData[[#This Row],[Discharge '[mmm-yyyy']]]&gt;=AK$4)))))</f>
        <v>-</v>
      </c>
      <c r="AL74" s="121" t="str">
        <f ca="1">IF(AL$4&gt;NOW(),"-",IF(ISBLANK(Tbl_ResidentData[[#This Row],[Enrollment '[mmm-yyyy']]]),"-",AND((Tbl_ResidentData[[#This Row],[Enrollment '[mmm-yyyy']]]&lt;=AL$4),IF(ISBLANK(Tbl_ResidentData[[#This Row],[Discharge '[mmm-yyyy']]]),TRUE,(Tbl_ResidentData[[#This Row],[Discharge '[mmm-yyyy']]]&gt;=AL$4)))))</f>
        <v>-</v>
      </c>
      <c r="AM74" s="121" t="str">
        <f ca="1">IF(AM$4&gt;NOW(),"-",IF(ISBLANK(Tbl_ResidentData[[#This Row],[Enrollment '[mmm-yyyy']]]),"-",AND((Tbl_ResidentData[[#This Row],[Enrollment '[mmm-yyyy']]]&lt;=AM$4),IF(ISBLANK(Tbl_ResidentData[[#This Row],[Discharge '[mmm-yyyy']]]),TRUE,(Tbl_ResidentData[[#This Row],[Discharge '[mmm-yyyy']]]&gt;=AM$4)))))</f>
        <v>-</v>
      </c>
      <c r="AN74" s="121" t="str">
        <f ca="1">IF(AN$4&gt;NOW(),"-",IF(ISBLANK(Tbl_ResidentData[[#This Row],[Enrollment '[mmm-yyyy']]]),"-",AND((Tbl_ResidentData[[#This Row],[Enrollment '[mmm-yyyy']]]&lt;=AN$4),IF(ISBLANK(Tbl_ResidentData[[#This Row],[Discharge '[mmm-yyyy']]]),TRUE,(Tbl_ResidentData[[#This Row],[Discharge '[mmm-yyyy']]]&gt;=AN$4)))))</f>
        <v>-</v>
      </c>
      <c r="AO74" s="121" t="str">
        <f ca="1">IF(AO$4&gt;NOW(),"-",IF(ISBLANK(Tbl_ResidentData[[#This Row],[Enrollment '[mmm-yyyy']]]),"-",AND((Tbl_ResidentData[[#This Row],[Enrollment '[mmm-yyyy']]]&lt;=AO$4),IF(ISBLANK(Tbl_ResidentData[[#This Row],[Discharge '[mmm-yyyy']]]),TRUE,(Tbl_ResidentData[[#This Row],[Discharge '[mmm-yyyy']]]&gt;=AO$4)))))</f>
        <v>-</v>
      </c>
      <c r="AP74" s="121" t="str">
        <f ca="1">IF(AP$4&gt;NOW(),"-",IF(ISBLANK(Tbl_ResidentData[[#This Row],[Enrollment '[mmm-yyyy']]]),"-",AND((Tbl_ResidentData[[#This Row],[Enrollment '[mmm-yyyy']]]&lt;=AP$4),IF(ISBLANK(Tbl_ResidentData[[#This Row],[Discharge '[mmm-yyyy']]]),TRUE,(Tbl_ResidentData[[#This Row],[Discharge '[mmm-yyyy']]]&gt;=AP$4)))))</f>
        <v>-</v>
      </c>
      <c r="AQ74" s="121" t="str">
        <f ca="1">IF(AQ$4&gt;NOW(),"-",IF(ISBLANK(Tbl_ResidentData[[#This Row],[Enrollment '[mmm-yyyy']]]),"-",AND((Tbl_ResidentData[[#This Row],[Enrollment '[mmm-yyyy']]]&lt;=AQ$4),IF(ISBLANK(Tbl_ResidentData[[#This Row],[Discharge '[mmm-yyyy']]]),TRUE,(Tbl_ResidentData[[#This Row],[Discharge '[mmm-yyyy']]]&gt;=AQ$4)))))</f>
        <v>-</v>
      </c>
      <c r="AR74" s="122" t="str">
        <f ca="1">IF(AR$4&gt;NOW(),"-",IF(ISBLANK(Tbl_ResidentData[[#This Row],[Enrollment '[mmm-yyyy']]]),"-",AND((Tbl_ResidentData[[#This Row],[Enrollment '[mmm-yyyy']]]&lt;=AR$4),IF(ISBLANK(Tbl_ResidentData[[#This Row],[Discharge '[mmm-yyyy']]]),TRUE,(Tbl_ResidentData[[#This Row],[Discharge '[mmm-yyyy']]]&gt;=AR$4)))))</f>
        <v>-</v>
      </c>
      <c r="AS7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4" s="120" t="b">
        <f ca="1">AND(Tbl_ResidentData[[#This Row],[PRN Med Started]]&lt;&gt;"",Tbl_ResidentData[[#This Row],[PRN Med Started]]&lt;=NOW(),Tbl_ResidentData[[#This Row],[PRN Med Started]]&lt;=AS$4,OR(Tbl_ResidentData[[#This Row],[PRN Med Discontinued]]&gt;AS$4,ISBLANK(Tbl_ResidentData[[#This Row],[PRN Med Discontinued]])))</f>
        <v>0</v>
      </c>
      <c r="BR74" s="121" t="b">
        <f ca="1">AND(Tbl_ResidentData[[#This Row],[PRN Med Started]]&lt;&gt;"",Tbl_ResidentData[[#This Row],[PRN Med Started]]&lt;=NOW(),Tbl_ResidentData[[#This Row],[PRN Med Started]]&lt;=AT$4,OR(Tbl_ResidentData[[#This Row],[PRN Med Discontinued]]&gt;AT$4,ISBLANK(Tbl_ResidentData[[#This Row],[PRN Med Discontinued]])))</f>
        <v>0</v>
      </c>
      <c r="BS74" s="121" t="b">
        <f ca="1">AND(Tbl_ResidentData[[#This Row],[PRN Med Started]]&lt;&gt;"",Tbl_ResidentData[[#This Row],[PRN Med Started]]&lt;=NOW(),Tbl_ResidentData[[#This Row],[PRN Med Started]]&lt;=AU$4,OR(Tbl_ResidentData[[#This Row],[PRN Med Discontinued]]&gt;AU$4,ISBLANK(Tbl_ResidentData[[#This Row],[PRN Med Discontinued]])))</f>
        <v>0</v>
      </c>
      <c r="BT74" s="121" t="b">
        <f ca="1">AND(Tbl_ResidentData[[#This Row],[PRN Med Started]]&lt;&gt;"",Tbl_ResidentData[[#This Row],[PRN Med Started]]&lt;=NOW(),Tbl_ResidentData[[#This Row],[PRN Med Started]]&lt;=AV$4,OR(Tbl_ResidentData[[#This Row],[PRN Med Discontinued]]&gt;AV$4,ISBLANK(Tbl_ResidentData[[#This Row],[PRN Med Discontinued]])))</f>
        <v>0</v>
      </c>
      <c r="BU74" s="121" t="b">
        <f ca="1">AND(Tbl_ResidentData[[#This Row],[PRN Med Started]]&lt;&gt;"",Tbl_ResidentData[[#This Row],[PRN Med Started]]&lt;=NOW(),Tbl_ResidentData[[#This Row],[PRN Med Started]]&lt;=AW$4,OR(Tbl_ResidentData[[#This Row],[PRN Med Discontinued]]&gt;AW$4,ISBLANK(Tbl_ResidentData[[#This Row],[PRN Med Discontinued]])))</f>
        <v>0</v>
      </c>
      <c r="BV74" s="121" t="b">
        <f ca="1">AND(Tbl_ResidentData[[#This Row],[PRN Med Started]]&lt;&gt;"",Tbl_ResidentData[[#This Row],[PRN Med Started]]&lt;=NOW(),Tbl_ResidentData[[#This Row],[PRN Med Started]]&lt;=AX$4,OR(Tbl_ResidentData[[#This Row],[PRN Med Discontinued]]&gt;AX$4,ISBLANK(Tbl_ResidentData[[#This Row],[PRN Med Discontinued]])))</f>
        <v>0</v>
      </c>
      <c r="BW74" s="121" t="b">
        <f ca="1">AND(Tbl_ResidentData[[#This Row],[PRN Med Started]]&lt;&gt;"",Tbl_ResidentData[[#This Row],[PRN Med Started]]&lt;=NOW(),Tbl_ResidentData[[#This Row],[PRN Med Started]]&lt;=AY$4,OR(Tbl_ResidentData[[#This Row],[PRN Med Discontinued]]&gt;AY$4,ISBLANK(Tbl_ResidentData[[#This Row],[PRN Med Discontinued]])))</f>
        <v>0</v>
      </c>
      <c r="BX74" s="121" t="b">
        <f ca="1">AND(Tbl_ResidentData[[#This Row],[PRN Med Started]]&lt;&gt;"",Tbl_ResidentData[[#This Row],[PRN Med Started]]&lt;=NOW(),Tbl_ResidentData[[#This Row],[PRN Med Started]]&lt;=AZ$4,OR(Tbl_ResidentData[[#This Row],[PRN Med Discontinued]]&gt;AZ$4,ISBLANK(Tbl_ResidentData[[#This Row],[PRN Med Discontinued]])))</f>
        <v>0</v>
      </c>
      <c r="BY74" s="121" t="b">
        <f ca="1">AND(Tbl_ResidentData[[#This Row],[PRN Med Started]]&lt;&gt;"",Tbl_ResidentData[[#This Row],[PRN Med Started]]&lt;=NOW(),Tbl_ResidentData[[#This Row],[PRN Med Started]]&lt;=BA$4,OR(Tbl_ResidentData[[#This Row],[PRN Med Discontinued]]&gt;BA$4,ISBLANK(Tbl_ResidentData[[#This Row],[PRN Med Discontinued]])))</f>
        <v>0</v>
      </c>
      <c r="BZ74" s="121" t="b">
        <f ca="1">AND(Tbl_ResidentData[[#This Row],[PRN Med Started]]&lt;&gt;"",Tbl_ResidentData[[#This Row],[PRN Med Started]]&lt;=NOW(),Tbl_ResidentData[[#This Row],[PRN Med Started]]&lt;=BB$4,OR(Tbl_ResidentData[[#This Row],[PRN Med Discontinued]]&gt;BB$4,ISBLANK(Tbl_ResidentData[[#This Row],[PRN Med Discontinued]])))</f>
        <v>0</v>
      </c>
      <c r="CA74" s="121" t="b">
        <f ca="1">AND(Tbl_ResidentData[[#This Row],[PRN Med Started]]&lt;&gt;"",Tbl_ResidentData[[#This Row],[PRN Med Started]]&lt;=NOW(),Tbl_ResidentData[[#This Row],[PRN Med Started]]&lt;=BC$4,OR(Tbl_ResidentData[[#This Row],[PRN Med Discontinued]]&gt;BC$4,ISBLANK(Tbl_ResidentData[[#This Row],[PRN Med Discontinued]])))</f>
        <v>0</v>
      </c>
      <c r="CB74" s="121" t="b">
        <f ca="1">AND(Tbl_ResidentData[[#This Row],[PRN Med Started]]&lt;&gt;"",Tbl_ResidentData[[#This Row],[PRN Med Started]]&lt;=NOW(),Tbl_ResidentData[[#This Row],[PRN Med Started]]&lt;=BD$4,OR(Tbl_ResidentData[[#This Row],[PRN Med Discontinued]]&gt;BD$4,ISBLANK(Tbl_ResidentData[[#This Row],[PRN Med Discontinued]])))</f>
        <v>0</v>
      </c>
      <c r="CC74" s="121" t="b">
        <f ca="1">AND(Tbl_ResidentData[[#This Row],[PRN Med Started]]&lt;&gt;"",Tbl_ResidentData[[#This Row],[PRN Med Started]]&lt;=NOW(),Tbl_ResidentData[[#This Row],[PRN Med Started]]&lt;=BE$4,OR(Tbl_ResidentData[[#This Row],[PRN Med Discontinued]]&gt;BE$4,ISBLANK(Tbl_ResidentData[[#This Row],[PRN Med Discontinued]])))</f>
        <v>0</v>
      </c>
      <c r="CD74" s="121" t="b">
        <f ca="1">AND(Tbl_ResidentData[[#This Row],[PRN Med Started]]&lt;&gt;"",Tbl_ResidentData[[#This Row],[PRN Med Started]]&lt;=NOW(),Tbl_ResidentData[[#This Row],[PRN Med Started]]&lt;=BF$4,OR(Tbl_ResidentData[[#This Row],[PRN Med Discontinued]]&gt;BF$4,ISBLANK(Tbl_ResidentData[[#This Row],[PRN Med Discontinued]])))</f>
        <v>0</v>
      </c>
      <c r="CE74" s="121" t="b">
        <f ca="1">AND(Tbl_ResidentData[[#This Row],[PRN Med Started]]&lt;&gt;"",Tbl_ResidentData[[#This Row],[PRN Med Started]]&lt;=NOW(),Tbl_ResidentData[[#This Row],[PRN Med Started]]&lt;=BG$4,OR(Tbl_ResidentData[[#This Row],[PRN Med Discontinued]]&gt;BG$4,ISBLANK(Tbl_ResidentData[[#This Row],[PRN Med Discontinued]])))</f>
        <v>0</v>
      </c>
      <c r="CF74" s="121" t="b">
        <f ca="1">AND(Tbl_ResidentData[[#This Row],[PRN Med Started]]&lt;&gt;"",Tbl_ResidentData[[#This Row],[PRN Med Started]]&lt;=NOW(),Tbl_ResidentData[[#This Row],[PRN Med Started]]&lt;=BH$4,OR(Tbl_ResidentData[[#This Row],[PRN Med Discontinued]]&gt;BH$4,ISBLANK(Tbl_ResidentData[[#This Row],[PRN Med Discontinued]])))</f>
        <v>0</v>
      </c>
      <c r="CG74" s="121" t="b">
        <f ca="1">AND(Tbl_ResidentData[[#This Row],[PRN Med Started]]&lt;&gt;"",Tbl_ResidentData[[#This Row],[PRN Med Started]]&lt;=NOW(),Tbl_ResidentData[[#This Row],[PRN Med Started]]&lt;=BI$4,OR(Tbl_ResidentData[[#This Row],[PRN Med Discontinued]]&gt;BI$4,ISBLANK(Tbl_ResidentData[[#This Row],[PRN Med Discontinued]])))</f>
        <v>0</v>
      </c>
      <c r="CH74" s="121" t="b">
        <f ca="1">AND(Tbl_ResidentData[[#This Row],[PRN Med Started]]&lt;&gt;"",Tbl_ResidentData[[#This Row],[PRN Med Started]]&lt;=NOW(),Tbl_ResidentData[[#This Row],[PRN Med Started]]&lt;=BJ$4,OR(Tbl_ResidentData[[#This Row],[PRN Med Discontinued]]&gt;BJ$4,ISBLANK(Tbl_ResidentData[[#This Row],[PRN Med Discontinued]])))</f>
        <v>0</v>
      </c>
      <c r="CI74" s="121" t="b">
        <f ca="1">AND(Tbl_ResidentData[[#This Row],[PRN Med Started]]&lt;&gt;"",Tbl_ResidentData[[#This Row],[PRN Med Started]]&lt;=NOW(),Tbl_ResidentData[[#This Row],[PRN Med Started]]&lt;=BK$4,OR(Tbl_ResidentData[[#This Row],[PRN Med Discontinued]]&gt;BK$4,ISBLANK(Tbl_ResidentData[[#This Row],[PRN Med Discontinued]])))</f>
        <v>0</v>
      </c>
      <c r="CJ74" s="121" t="b">
        <f ca="1">AND(Tbl_ResidentData[[#This Row],[PRN Med Started]]&lt;&gt;"",Tbl_ResidentData[[#This Row],[PRN Med Started]]&lt;=NOW(),Tbl_ResidentData[[#This Row],[PRN Med Started]]&lt;=BL$4,OR(Tbl_ResidentData[[#This Row],[PRN Med Discontinued]]&gt;BL$4,ISBLANK(Tbl_ResidentData[[#This Row],[PRN Med Discontinued]])))</f>
        <v>0</v>
      </c>
      <c r="CK74" s="121" t="b">
        <f ca="1">AND(Tbl_ResidentData[[#This Row],[PRN Med Started]]&lt;&gt;"",Tbl_ResidentData[[#This Row],[PRN Med Started]]&lt;=NOW(),Tbl_ResidentData[[#This Row],[PRN Med Started]]&lt;=BM$4,OR(Tbl_ResidentData[[#This Row],[PRN Med Discontinued]]&gt;BM$4,ISBLANK(Tbl_ResidentData[[#This Row],[PRN Med Discontinued]])))</f>
        <v>0</v>
      </c>
      <c r="CL74" s="121" t="b">
        <f ca="1">AND(Tbl_ResidentData[[#This Row],[PRN Med Started]]&lt;&gt;"",Tbl_ResidentData[[#This Row],[PRN Med Started]]&lt;=NOW(),Tbl_ResidentData[[#This Row],[PRN Med Started]]&lt;=BN$4,OR(Tbl_ResidentData[[#This Row],[PRN Med Discontinued]]&gt;BN$4,ISBLANK(Tbl_ResidentData[[#This Row],[PRN Med Discontinued]])))</f>
        <v>0</v>
      </c>
      <c r="CM74" s="121" t="b">
        <f ca="1">AND(Tbl_ResidentData[[#This Row],[PRN Med Started]]&lt;&gt;"",Tbl_ResidentData[[#This Row],[PRN Med Started]]&lt;=NOW(),Tbl_ResidentData[[#This Row],[PRN Med Started]]&lt;=BO$4,OR(Tbl_ResidentData[[#This Row],[PRN Med Discontinued]]&gt;BO$4,ISBLANK(Tbl_ResidentData[[#This Row],[PRN Med Discontinued]])))</f>
        <v>0</v>
      </c>
      <c r="CN74" s="122" t="b">
        <f ca="1">AND(Tbl_ResidentData[[#This Row],[PRN Med Started]]&lt;&gt;"",Tbl_ResidentData[[#This Row],[PRN Med Started]]&lt;=NOW(),Tbl_ResidentData[[#This Row],[PRN Med Started]]&lt;=BP$4,OR(Tbl_ResidentData[[#This Row],[PRN Med Discontinued]]&gt;BP$4,ISBLANK(Tbl_ResidentData[[#This Row],[PRN Med Discontinued]])))</f>
        <v>0</v>
      </c>
      <c r="CO74" s="120">
        <f ca="1">IF(OR(Tbl_ResidentData[[#This Row],[S1]]=TRUE,Tbl_ResidentData[[#This Row],[P1]]=TRUE),1,0)</f>
        <v>0</v>
      </c>
      <c r="CP74" s="121">
        <f ca="1">IF(OR(Tbl_ResidentData[[#This Row],[S2]]=TRUE,Tbl_ResidentData[[#This Row],[P2]]=TRUE),1,0)</f>
        <v>0</v>
      </c>
      <c r="CQ74" s="121">
        <f ca="1">IF(OR(Tbl_ResidentData[[#This Row],[S3]]=TRUE,Tbl_ResidentData[[#This Row],[P3]]=TRUE),1,0)</f>
        <v>0</v>
      </c>
      <c r="CR74" s="120">
        <f ca="1">IF(OR(Tbl_ResidentData[[#This Row],[S4]]=TRUE,Tbl_ResidentData[[#This Row],[P4]]=TRUE),1,0)</f>
        <v>0</v>
      </c>
      <c r="CS74" s="120">
        <f ca="1">IF(OR(Tbl_ResidentData[[#This Row],[S5]]=TRUE,Tbl_ResidentData[[#This Row],[P5]]=TRUE),1,0)</f>
        <v>0</v>
      </c>
      <c r="CT74" s="120">
        <f ca="1">IF(OR(Tbl_ResidentData[[#This Row],[S6]]=TRUE,Tbl_ResidentData[[#This Row],[P6]]=TRUE),1,0)</f>
        <v>0</v>
      </c>
      <c r="CU74" s="120">
        <f ca="1">IF(OR(Tbl_ResidentData[[#This Row],[S7]]=TRUE,Tbl_ResidentData[[#This Row],[P7]]=TRUE),1,0)</f>
        <v>0</v>
      </c>
      <c r="CV74" s="120">
        <f ca="1">IF(OR(Tbl_ResidentData[[#This Row],[S8]]=TRUE,Tbl_ResidentData[[#This Row],[P8]]=TRUE),1,0)</f>
        <v>0</v>
      </c>
      <c r="CW74" s="120">
        <f ca="1">IF(OR(Tbl_ResidentData[[#This Row],[S9]]=TRUE,Tbl_ResidentData[[#This Row],[P9]]=TRUE),1,0)</f>
        <v>0</v>
      </c>
      <c r="CX74" s="120">
        <f ca="1">IF(OR(Tbl_ResidentData[[#This Row],[S10]]=TRUE,Tbl_ResidentData[[#This Row],[P10]]=TRUE),1,0)</f>
        <v>0</v>
      </c>
      <c r="CY74" s="120">
        <f ca="1">IF(OR(Tbl_ResidentData[[#This Row],[S11]]=TRUE,Tbl_ResidentData[[#This Row],[P11]]=TRUE),1,0)</f>
        <v>0</v>
      </c>
      <c r="CZ74" s="120">
        <f ca="1">IF(OR(Tbl_ResidentData[[#This Row],[S12]]=TRUE,Tbl_ResidentData[[#This Row],[P12]]=TRUE),1,0)</f>
        <v>0</v>
      </c>
      <c r="DA74" s="120">
        <f ca="1">IF(OR(Tbl_ResidentData[[#This Row],[S13]]=TRUE,Tbl_ResidentData[[#This Row],[P13]]=TRUE),1,0)</f>
        <v>0</v>
      </c>
      <c r="DB74" s="120">
        <f ca="1">IF(OR(Tbl_ResidentData[[#This Row],[S14]]=TRUE,Tbl_ResidentData[[#This Row],[P14]]=TRUE),1,0)</f>
        <v>0</v>
      </c>
      <c r="DC74" s="120">
        <f ca="1">IF(OR(Tbl_ResidentData[[#This Row],[S15]]=TRUE,Tbl_ResidentData[[#This Row],[P15]]=TRUE),1,0)</f>
        <v>0</v>
      </c>
      <c r="DD74" s="120">
        <f ca="1">IF(OR(Tbl_ResidentData[[#This Row],[S16]]=TRUE,Tbl_ResidentData[[#This Row],[P16]]=TRUE),1,0)</f>
        <v>0</v>
      </c>
      <c r="DE74" s="120">
        <f ca="1">IF(OR(Tbl_ResidentData[[#This Row],[S17]]=TRUE,Tbl_ResidentData[[#This Row],[P17]]=TRUE),1,0)</f>
        <v>0</v>
      </c>
      <c r="DF74" s="120">
        <f ca="1">IF(OR(Tbl_ResidentData[[#This Row],[S18]]=TRUE,Tbl_ResidentData[[#This Row],[P18]]=TRUE),1,0)</f>
        <v>0</v>
      </c>
      <c r="DG74" s="120">
        <f ca="1">IF(OR(Tbl_ResidentData[[#This Row],[S19]]=TRUE,Tbl_ResidentData[[#This Row],[P19]]=TRUE),1,0)</f>
        <v>0</v>
      </c>
      <c r="DH74" s="120">
        <f ca="1">IF(OR(Tbl_ResidentData[[#This Row],[S20]]=TRUE,Tbl_ResidentData[[#This Row],[P20]]=TRUE),1,0)</f>
        <v>0</v>
      </c>
      <c r="DI74" s="120">
        <f ca="1">IF(OR(Tbl_ResidentData[[#This Row],[S21]]=TRUE,Tbl_ResidentData[[#This Row],[P21]]=TRUE),1,0)</f>
        <v>0</v>
      </c>
      <c r="DJ74" s="120">
        <f ca="1">IF(OR(Tbl_ResidentData[[#This Row],[S22]]=TRUE,Tbl_ResidentData[[#This Row],[P22]]=TRUE),1,0)</f>
        <v>0</v>
      </c>
      <c r="DK74" s="120">
        <f ca="1">IF(OR(Tbl_ResidentData[[#This Row],[S23]]=TRUE,Tbl_ResidentData[[#This Row],[P23]]=TRUE),1,0)</f>
        <v>0</v>
      </c>
      <c r="DL74" s="120">
        <f ca="1">IF(OR(Tbl_ResidentData[[#This Row],[S24]]=TRUE,Tbl_ResidentData[[#This Row],[P24]]=TRUE),1,0)</f>
        <v>0</v>
      </c>
      <c r="DM74" s="123" t="str">
        <f ca="1">IFERROR(INDEX($CO$4:$DL$4,MATCH(TRUE,INDEX((Tbl_ResidentData[[#This Row],[Over1]:[Over24]]&lt;&gt;0),0),0)),"")</f>
        <v/>
      </c>
      <c r="DN74" s="133" t="str">
        <f>IFERROR(INDEX(Tbl_PDSAData[Last DRT],MATCH(Tbl_ResidentData[Resident Name '[last, first']],Tbl_PDSAData[Resident Name (last, first)],0)),"")</f>
        <v/>
      </c>
      <c r="DO74" s="222" t="str">
        <f>IFERROR(INDEX(Tbl_PDSAData[Last MR],MATCH(Tbl_ResidentData[Resident Name '[last, first']],Tbl_PDSAData[Resident Name (last, first)],0)),"")</f>
        <v/>
      </c>
    </row>
    <row r="75" spans="1:119" x14ac:dyDescent="0.25">
      <c r="A75" s="179"/>
      <c r="B75" s="180"/>
      <c r="C75" s="180"/>
      <c r="D75" s="218"/>
      <c r="E75" s="179"/>
      <c r="F75" s="181"/>
      <c r="G75" s="181"/>
      <c r="H75" s="182"/>
      <c r="I75" s="185"/>
      <c r="J75" s="387"/>
      <c r="K75" s="178"/>
      <c r="L75" s="388"/>
      <c r="M75" s="185"/>
      <c r="N75" s="386"/>
      <c r="O75" s="178"/>
      <c r="P75" s="388"/>
      <c r="Q75" s="395"/>
      <c r="R75" s="396"/>
      <c r="S75" s="131" t="str">
        <f>IF(ISBLANK(Tbl_ResidentData[[#This Row],[Discharge '[mmm-yyyy']]]),IF(ISBLANK(Tbl_ResidentData[[#This Row],[Enrollment '[mmm-yyyy']]]),"","In Care Home"),"Discharged")</f>
        <v/>
      </c>
      <c r="T75" s="119" t="str">
        <f>IF(ISBLANK(Tbl_ResidentData[[#This Row],[Diagnosis (RAI)]]),IF(ISBLANK(Tbl_ResidentData[[#This Row],[Resident Name '[last, first']]]),"",0),IF(Tbl_ResidentData[[#This Row],[Diagnosis (RAI)]]="Other (see clinical notes)",0,1))</f>
        <v/>
      </c>
      <c r="U75" s="120" t="str">
        <f ca="1">IF(U$4&gt;NOW(),"-",IF(ISBLANK(Tbl_ResidentData[[#This Row],[Enrollment '[mmm-yyyy']]]),"-",AND((Tbl_ResidentData[[#This Row],[Enrollment '[mmm-yyyy']]]&lt;=U$4),IF(ISBLANK(Tbl_ResidentData[[#This Row],[Discharge '[mmm-yyyy']]]),TRUE,(Tbl_ResidentData[[#This Row],[Discharge '[mmm-yyyy']]]&gt;=U$4)))))</f>
        <v>-</v>
      </c>
      <c r="V75" s="121" t="str">
        <f ca="1">IF(V$4&gt;NOW(),"-",IF(ISBLANK(Tbl_ResidentData[[#This Row],[Enrollment '[mmm-yyyy']]]),"-",AND((Tbl_ResidentData[[#This Row],[Enrollment '[mmm-yyyy']]]&lt;=V$4),IF(ISBLANK(Tbl_ResidentData[[#This Row],[Discharge '[mmm-yyyy']]]),TRUE,(Tbl_ResidentData[[#This Row],[Discharge '[mmm-yyyy']]]&gt;=V$4)))))</f>
        <v>-</v>
      </c>
      <c r="W75" s="121" t="str">
        <f ca="1">IF(W$4&gt;NOW(),"-",IF(ISBLANK(Tbl_ResidentData[[#This Row],[Enrollment '[mmm-yyyy']]]),"-",AND((Tbl_ResidentData[[#This Row],[Enrollment '[mmm-yyyy']]]&lt;=W$4),IF(ISBLANK(Tbl_ResidentData[[#This Row],[Discharge '[mmm-yyyy']]]),TRUE,(Tbl_ResidentData[[#This Row],[Discharge '[mmm-yyyy']]]&gt;=W$4)))))</f>
        <v>-</v>
      </c>
      <c r="X75" s="121" t="str">
        <f ca="1">IF(X$4&gt;NOW(),"-",IF(ISBLANK(Tbl_ResidentData[[#This Row],[Enrollment '[mmm-yyyy']]]),"-",AND((Tbl_ResidentData[[#This Row],[Enrollment '[mmm-yyyy']]]&lt;=X$4),IF(ISBLANK(Tbl_ResidentData[[#This Row],[Discharge '[mmm-yyyy']]]),TRUE,(Tbl_ResidentData[[#This Row],[Discharge '[mmm-yyyy']]]&gt;=X$4)))))</f>
        <v>-</v>
      </c>
      <c r="Y75" s="121" t="str">
        <f ca="1">IF(Y$4&gt;NOW(),"-",IF(ISBLANK(Tbl_ResidentData[[#This Row],[Enrollment '[mmm-yyyy']]]),"-",AND((Tbl_ResidentData[[#This Row],[Enrollment '[mmm-yyyy']]]&lt;=Y$4),IF(ISBLANK(Tbl_ResidentData[[#This Row],[Discharge '[mmm-yyyy']]]),TRUE,(Tbl_ResidentData[[#This Row],[Discharge '[mmm-yyyy']]]&gt;=Y$4)))))</f>
        <v>-</v>
      </c>
      <c r="Z75" s="121" t="str">
        <f ca="1">IF(Z$4&gt;NOW(),"-",IF(ISBLANK(Tbl_ResidentData[[#This Row],[Enrollment '[mmm-yyyy']]]),"-",AND((Tbl_ResidentData[[#This Row],[Enrollment '[mmm-yyyy']]]&lt;=Z$4),IF(ISBLANK(Tbl_ResidentData[[#This Row],[Discharge '[mmm-yyyy']]]),TRUE,(Tbl_ResidentData[[#This Row],[Discharge '[mmm-yyyy']]]&gt;=Z$4)))))</f>
        <v>-</v>
      </c>
      <c r="AA75" s="121" t="str">
        <f ca="1">IF(AA$4&gt;NOW(),"-",IF(ISBLANK(Tbl_ResidentData[[#This Row],[Enrollment '[mmm-yyyy']]]),"-",AND((Tbl_ResidentData[[#This Row],[Enrollment '[mmm-yyyy']]]&lt;=AA$4),IF(ISBLANK(Tbl_ResidentData[[#This Row],[Discharge '[mmm-yyyy']]]),TRUE,(Tbl_ResidentData[[#This Row],[Discharge '[mmm-yyyy']]]&gt;=AA$4)))))</f>
        <v>-</v>
      </c>
      <c r="AB75" s="121" t="str">
        <f ca="1">IF(AB$4&gt;NOW(),"-",IF(ISBLANK(Tbl_ResidentData[[#This Row],[Enrollment '[mmm-yyyy']]]),"-",AND((Tbl_ResidentData[[#This Row],[Enrollment '[mmm-yyyy']]]&lt;=AB$4),IF(ISBLANK(Tbl_ResidentData[[#This Row],[Discharge '[mmm-yyyy']]]),TRUE,(Tbl_ResidentData[[#This Row],[Discharge '[mmm-yyyy']]]&gt;=AB$4)))))</f>
        <v>-</v>
      </c>
      <c r="AC75" s="121" t="str">
        <f ca="1">IF(AC$4&gt;NOW(),"-",IF(ISBLANK(Tbl_ResidentData[[#This Row],[Enrollment '[mmm-yyyy']]]),"-",AND((Tbl_ResidentData[[#This Row],[Enrollment '[mmm-yyyy']]]&lt;=AC$4),IF(ISBLANK(Tbl_ResidentData[[#This Row],[Discharge '[mmm-yyyy']]]),TRUE,(Tbl_ResidentData[[#This Row],[Discharge '[mmm-yyyy']]]&gt;=AC$4)))))</f>
        <v>-</v>
      </c>
      <c r="AD75" s="121" t="str">
        <f ca="1">IF(AD$4&gt;NOW(),"-",IF(ISBLANK(Tbl_ResidentData[[#This Row],[Enrollment '[mmm-yyyy']]]),"-",AND((Tbl_ResidentData[[#This Row],[Enrollment '[mmm-yyyy']]]&lt;=AD$4),IF(ISBLANK(Tbl_ResidentData[[#This Row],[Discharge '[mmm-yyyy']]]),TRUE,(Tbl_ResidentData[[#This Row],[Discharge '[mmm-yyyy']]]&gt;=AD$4)))))</f>
        <v>-</v>
      </c>
      <c r="AE75" s="121" t="str">
        <f ca="1">IF(AE$4&gt;NOW(),"-",IF(ISBLANK(Tbl_ResidentData[[#This Row],[Enrollment '[mmm-yyyy']]]),"-",AND((Tbl_ResidentData[[#This Row],[Enrollment '[mmm-yyyy']]]&lt;=AE$4),IF(ISBLANK(Tbl_ResidentData[[#This Row],[Discharge '[mmm-yyyy']]]),TRUE,(Tbl_ResidentData[[#This Row],[Discharge '[mmm-yyyy']]]&gt;=AE$4)))))</f>
        <v>-</v>
      </c>
      <c r="AF75" s="121" t="str">
        <f ca="1">IF(AF$4&gt;NOW(),"-",IF(ISBLANK(Tbl_ResidentData[[#This Row],[Enrollment '[mmm-yyyy']]]),"-",AND((Tbl_ResidentData[[#This Row],[Enrollment '[mmm-yyyy']]]&lt;=AF$4),IF(ISBLANK(Tbl_ResidentData[[#This Row],[Discharge '[mmm-yyyy']]]),TRUE,(Tbl_ResidentData[[#This Row],[Discharge '[mmm-yyyy']]]&gt;=AF$4)))))</f>
        <v>-</v>
      </c>
      <c r="AG75" s="121" t="str">
        <f ca="1">IF(AG$4&gt;NOW(),"-",IF(ISBLANK(Tbl_ResidentData[[#This Row],[Enrollment '[mmm-yyyy']]]),"-",AND((Tbl_ResidentData[[#This Row],[Enrollment '[mmm-yyyy']]]&lt;=AG$4),IF(ISBLANK(Tbl_ResidentData[[#This Row],[Discharge '[mmm-yyyy']]]),TRUE,(Tbl_ResidentData[[#This Row],[Discharge '[mmm-yyyy']]]&gt;=AG$4)))))</f>
        <v>-</v>
      </c>
      <c r="AH75" s="121" t="str">
        <f ca="1">IF(AH$4&gt;NOW(),"-",IF(ISBLANK(Tbl_ResidentData[[#This Row],[Enrollment '[mmm-yyyy']]]),"-",AND((Tbl_ResidentData[[#This Row],[Enrollment '[mmm-yyyy']]]&lt;=AH$4),IF(ISBLANK(Tbl_ResidentData[[#This Row],[Discharge '[mmm-yyyy']]]),TRUE,(Tbl_ResidentData[[#This Row],[Discharge '[mmm-yyyy']]]&gt;=AH$4)))))</f>
        <v>-</v>
      </c>
      <c r="AI75" s="121" t="str">
        <f ca="1">IF(AI$4&gt;NOW(),"-",IF(ISBLANK(Tbl_ResidentData[[#This Row],[Enrollment '[mmm-yyyy']]]),"-",AND((Tbl_ResidentData[[#This Row],[Enrollment '[mmm-yyyy']]]&lt;=AI$4),IF(ISBLANK(Tbl_ResidentData[[#This Row],[Discharge '[mmm-yyyy']]]),TRUE,(Tbl_ResidentData[[#This Row],[Discharge '[mmm-yyyy']]]&gt;=AI$4)))))</f>
        <v>-</v>
      </c>
      <c r="AJ75" s="121" t="str">
        <f ca="1">IF(AJ$4&gt;NOW(),"-",IF(ISBLANK(Tbl_ResidentData[[#This Row],[Enrollment '[mmm-yyyy']]]),"-",AND((Tbl_ResidentData[[#This Row],[Enrollment '[mmm-yyyy']]]&lt;=AJ$4),IF(ISBLANK(Tbl_ResidentData[[#This Row],[Discharge '[mmm-yyyy']]]),TRUE,(Tbl_ResidentData[[#This Row],[Discharge '[mmm-yyyy']]]&gt;=AJ$4)))))</f>
        <v>-</v>
      </c>
      <c r="AK75" s="121" t="str">
        <f ca="1">IF(AK$4&gt;NOW(),"-",IF(ISBLANK(Tbl_ResidentData[[#This Row],[Enrollment '[mmm-yyyy']]]),"-",AND((Tbl_ResidentData[[#This Row],[Enrollment '[mmm-yyyy']]]&lt;=AK$4),IF(ISBLANK(Tbl_ResidentData[[#This Row],[Discharge '[mmm-yyyy']]]),TRUE,(Tbl_ResidentData[[#This Row],[Discharge '[mmm-yyyy']]]&gt;=AK$4)))))</f>
        <v>-</v>
      </c>
      <c r="AL75" s="121" t="str">
        <f ca="1">IF(AL$4&gt;NOW(),"-",IF(ISBLANK(Tbl_ResidentData[[#This Row],[Enrollment '[mmm-yyyy']]]),"-",AND((Tbl_ResidentData[[#This Row],[Enrollment '[mmm-yyyy']]]&lt;=AL$4),IF(ISBLANK(Tbl_ResidentData[[#This Row],[Discharge '[mmm-yyyy']]]),TRUE,(Tbl_ResidentData[[#This Row],[Discharge '[mmm-yyyy']]]&gt;=AL$4)))))</f>
        <v>-</v>
      </c>
      <c r="AM75" s="121" t="str">
        <f ca="1">IF(AM$4&gt;NOW(),"-",IF(ISBLANK(Tbl_ResidentData[[#This Row],[Enrollment '[mmm-yyyy']]]),"-",AND((Tbl_ResidentData[[#This Row],[Enrollment '[mmm-yyyy']]]&lt;=AM$4),IF(ISBLANK(Tbl_ResidentData[[#This Row],[Discharge '[mmm-yyyy']]]),TRUE,(Tbl_ResidentData[[#This Row],[Discharge '[mmm-yyyy']]]&gt;=AM$4)))))</f>
        <v>-</v>
      </c>
      <c r="AN75" s="121" t="str">
        <f ca="1">IF(AN$4&gt;NOW(),"-",IF(ISBLANK(Tbl_ResidentData[[#This Row],[Enrollment '[mmm-yyyy']]]),"-",AND((Tbl_ResidentData[[#This Row],[Enrollment '[mmm-yyyy']]]&lt;=AN$4),IF(ISBLANK(Tbl_ResidentData[[#This Row],[Discharge '[mmm-yyyy']]]),TRUE,(Tbl_ResidentData[[#This Row],[Discharge '[mmm-yyyy']]]&gt;=AN$4)))))</f>
        <v>-</v>
      </c>
      <c r="AO75" s="121" t="str">
        <f ca="1">IF(AO$4&gt;NOW(),"-",IF(ISBLANK(Tbl_ResidentData[[#This Row],[Enrollment '[mmm-yyyy']]]),"-",AND((Tbl_ResidentData[[#This Row],[Enrollment '[mmm-yyyy']]]&lt;=AO$4),IF(ISBLANK(Tbl_ResidentData[[#This Row],[Discharge '[mmm-yyyy']]]),TRUE,(Tbl_ResidentData[[#This Row],[Discharge '[mmm-yyyy']]]&gt;=AO$4)))))</f>
        <v>-</v>
      </c>
      <c r="AP75" s="121" t="str">
        <f ca="1">IF(AP$4&gt;NOW(),"-",IF(ISBLANK(Tbl_ResidentData[[#This Row],[Enrollment '[mmm-yyyy']]]),"-",AND((Tbl_ResidentData[[#This Row],[Enrollment '[mmm-yyyy']]]&lt;=AP$4),IF(ISBLANK(Tbl_ResidentData[[#This Row],[Discharge '[mmm-yyyy']]]),TRUE,(Tbl_ResidentData[[#This Row],[Discharge '[mmm-yyyy']]]&gt;=AP$4)))))</f>
        <v>-</v>
      </c>
      <c r="AQ75" s="121" t="str">
        <f ca="1">IF(AQ$4&gt;NOW(),"-",IF(ISBLANK(Tbl_ResidentData[[#This Row],[Enrollment '[mmm-yyyy']]]),"-",AND((Tbl_ResidentData[[#This Row],[Enrollment '[mmm-yyyy']]]&lt;=AQ$4),IF(ISBLANK(Tbl_ResidentData[[#This Row],[Discharge '[mmm-yyyy']]]),TRUE,(Tbl_ResidentData[[#This Row],[Discharge '[mmm-yyyy']]]&gt;=AQ$4)))))</f>
        <v>-</v>
      </c>
      <c r="AR75" s="122" t="str">
        <f ca="1">IF(AR$4&gt;NOW(),"-",IF(ISBLANK(Tbl_ResidentData[[#This Row],[Enrollment '[mmm-yyyy']]]),"-",AND((Tbl_ResidentData[[#This Row],[Enrollment '[mmm-yyyy']]]&lt;=AR$4),IF(ISBLANK(Tbl_ResidentData[[#This Row],[Discharge '[mmm-yyyy']]]),TRUE,(Tbl_ResidentData[[#This Row],[Discharge '[mmm-yyyy']]]&gt;=AR$4)))))</f>
        <v>-</v>
      </c>
      <c r="AS7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5" s="120" t="b">
        <f ca="1">AND(Tbl_ResidentData[[#This Row],[PRN Med Started]]&lt;&gt;"",Tbl_ResidentData[[#This Row],[PRN Med Started]]&lt;=NOW(),Tbl_ResidentData[[#This Row],[PRN Med Started]]&lt;=AS$4,OR(Tbl_ResidentData[[#This Row],[PRN Med Discontinued]]&gt;AS$4,ISBLANK(Tbl_ResidentData[[#This Row],[PRN Med Discontinued]])))</f>
        <v>0</v>
      </c>
      <c r="BR75" s="121" t="b">
        <f ca="1">AND(Tbl_ResidentData[[#This Row],[PRN Med Started]]&lt;&gt;"",Tbl_ResidentData[[#This Row],[PRN Med Started]]&lt;=NOW(),Tbl_ResidentData[[#This Row],[PRN Med Started]]&lt;=AT$4,OR(Tbl_ResidentData[[#This Row],[PRN Med Discontinued]]&gt;AT$4,ISBLANK(Tbl_ResidentData[[#This Row],[PRN Med Discontinued]])))</f>
        <v>0</v>
      </c>
      <c r="BS75" s="121" t="b">
        <f ca="1">AND(Tbl_ResidentData[[#This Row],[PRN Med Started]]&lt;&gt;"",Tbl_ResidentData[[#This Row],[PRN Med Started]]&lt;=NOW(),Tbl_ResidentData[[#This Row],[PRN Med Started]]&lt;=AU$4,OR(Tbl_ResidentData[[#This Row],[PRN Med Discontinued]]&gt;AU$4,ISBLANK(Tbl_ResidentData[[#This Row],[PRN Med Discontinued]])))</f>
        <v>0</v>
      </c>
      <c r="BT75" s="121" t="b">
        <f ca="1">AND(Tbl_ResidentData[[#This Row],[PRN Med Started]]&lt;&gt;"",Tbl_ResidentData[[#This Row],[PRN Med Started]]&lt;=NOW(),Tbl_ResidentData[[#This Row],[PRN Med Started]]&lt;=AV$4,OR(Tbl_ResidentData[[#This Row],[PRN Med Discontinued]]&gt;AV$4,ISBLANK(Tbl_ResidentData[[#This Row],[PRN Med Discontinued]])))</f>
        <v>0</v>
      </c>
      <c r="BU75" s="121" t="b">
        <f ca="1">AND(Tbl_ResidentData[[#This Row],[PRN Med Started]]&lt;&gt;"",Tbl_ResidentData[[#This Row],[PRN Med Started]]&lt;=NOW(),Tbl_ResidentData[[#This Row],[PRN Med Started]]&lt;=AW$4,OR(Tbl_ResidentData[[#This Row],[PRN Med Discontinued]]&gt;AW$4,ISBLANK(Tbl_ResidentData[[#This Row],[PRN Med Discontinued]])))</f>
        <v>0</v>
      </c>
      <c r="BV75" s="121" t="b">
        <f ca="1">AND(Tbl_ResidentData[[#This Row],[PRN Med Started]]&lt;&gt;"",Tbl_ResidentData[[#This Row],[PRN Med Started]]&lt;=NOW(),Tbl_ResidentData[[#This Row],[PRN Med Started]]&lt;=AX$4,OR(Tbl_ResidentData[[#This Row],[PRN Med Discontinued]]&gt;AX$4,ISBLANK(Tbl_ResidentData[[#This Row],[PRN Med Discontinued]])))</f>
        <v>0</v>
      </c>
      <c r="BW75" s="121" t="b">
        <f ca="1">AND(Tbl_ResidentData[[#This Row],[PRN Med Started]]&lt;&gt;"",Tbl_ResidentData[[#This Row],[PRN Med Started]]&lt;=NOW(),Tbl_ResidentData[[#This Row],[PRN Med Started]]&lt;=AY$4,OR(Tbl_ResidentData[[#This Row],[PRN Med Discontinued]]&gt;AY$4,ISBLANK(Tbl_ResidentData[[#This Row],[PRN Med Discontinued]])))</f>
        <v>0</v>
      </c>
      <c r="BX75" s="121" t="b">
        <f ca="1">AND(Tbl_ResidentData[[#This Row],[PRN Med Started]]&lt;&gt;"",Tbl_ResidentData[[#This Row],[PRN Med Started]]&lt;=NOW(),Tbl_ResidentData[[#This Row],[PRN Med Started]]&lt;=AZ$4,OR(Tbl_ResidentData[[#This Row],[PRN Med Discontinued]]&gt;AZ$4,ISBLANK(Tbl_ResidentData[[#This Row],[PRN Med Discontinued]])))</f>
        <v>0</v>
      </c>
      <c r="BY75" s="121" t="b">
        <f ca="1">AND(Tbl_ResidentData[[#This Row],[PRN Med Started]]&lt;&gt;"",Tbl_ResidentData[[#This Row],[PRN Med Started]]&lt;=NOW(),Tbl_ResidentData[[#This Row],[PRN Med Started]]&lt;=BA$4,OR(Tbl_ResidentData[[#This Row],[PRN Med Discontinued]]&gt;BA$4,ISBLANK(Tbl_ResidentData[[#This Row],[PRN Med Discontinued]])))</f>
        <v>0</v>
      </c>
      <c r="BZ75" s="121" t="b">
        <f ca="1">AND(Tbl_ResidentData[[#This Row],[PRN Med Started]]&lt;&gt;"",Tbl_ResidentData[[#This Row],[PRN Med Started]]&lt;=NOW(),Tbl_ResidentData[[#This Row],[PRN Med Started]]&lt;=BB$4,OR(Tbl_ResidentData[[#This Row],[PRN Med Discontinued]]&gt;BB$4,ISBLANK(Tbl_ResidentData[[#This Row],[PRN Med Discontinued]])))</f>
        <v>0</v>
      </c>
      <c r="CA75" s="121" t="b">
        <f ca="1">AND(Tbl_ResidentData[[#This Row],[PRN Med Started]]&lt;&gt;"",Tbl_ResidentData[[#This Row],[PRN Med Started]]&lt;=NOW(),Tbl_ResidentData[[#This Row],[PRN Med Started]]&lt;=BC$4,OR(Tbl_ResidentData[[#This Row],[PRN Med Discontinued]]&gt;BC$4,ISBLANK(Tbl_ResidentData[[#This Row],[PRN Med Discontinued]])))</f>
        <v>0</v>
      </c>
      <c r="CB75" s="121" t="b">
        <f ca="1">AND(Tbl_ResidentData[[#This Row],[PRN Med Started]]&lt;&gt;"",Tbl_ResidentData[[#This Row],[PRN Med Started]]&lt;=NOW(),Tbl_ResidentData[[#This Row],[PRN Med Started]]&lt;=BD$4,OR(Tbl_ResidentData[[#This Row],[PRN Med Discontinued]]&gt;BD$4,ISBLANK(Tbl_ResidentData[[#This Row],[PRN Med Discontinued]])))</f>
        <v>0</v>
      </c>
      <c r="CC75" s="121" t="b">
        <f ca="1">AND(Tbl_ResidentData[[#This Row],[PRN Med Started]]&lt;&gt;"",Tbl_ResidentData[[#This Row],[PRN Med Started]]&lt;=NOW(),Tbl_ResidentData[[#This Row],[PRN Med Started]]&lt;=BE$4,OR(Tbl_ResidentData[[#This Row],[PRN Med Discontinued]]&gt;BE$4,ISBLANK(Tbl_ResidentData[[#This Row],[PRN Med Discontinued]])))</f>
        <v>0</v>
      </c>
      <c r="CD75" s="121" t="b">
        <f ca="1">AND(Tbl_ResidentData[[#This Row],[PRN Med Started]]&lt;&gt;"",Tbl_ResidentData[[#This Row],[PRN Med Started]]&lt;=NOW(),Tbl_ResidentData[[#This Row],[PRN Med Started]]&lt;=BF$4,OR(Tbl_ResidentData[[#This Row],[PRN Med Discontinued]]&gt;BF$4,ISBLANK(Tbl_ResidentData[[#This Row],[PRN Med Discontinued]])))</f>
        <v>0</v>
      </c>
      <c r="CE75" s="121" t="b">
        <f ca="1">AND(Tbl_ResidentData[[#This Row],[PRN Med Started]]&lt;&gt;"",Tbl_ResidentData[[#This Row],[PRN Med Started]]&lt;=NOW(),Tbl_ResidentData[[#This Row],[PRN Med Started]]&lt;=BG$4,OR(Tbl_ResidentData[[#This Row],[PRN Med Discontinued]]&gt;BG$4,ISBLANK(Tbl_ResidentData[[#This Row],[PRN Med Discontinued]])))</f>
        <v>0</v>
      </c>
      <c r="CF75" s="121" t="b">
        <f ca="1">AND(Tbl_ResidentData[[#This Row],[PRN Med Started]]&lt;&gt;"",Tbl_ResidentData[[#This Row],[PRN Med Started]]&lt;=NOW(),Tbl_ResidentData[[#This Row],[PRN Med Started]]&lt;=BH$4,OR(Tbl_ResidentData[[#This Row],[PRN Med Discontinued]]&gt;BH$4,ISBLANK(Tbl_ResidentData[[#This Row],[PRN Med Discontinued]])))</f>
        <v>0</v>
      </c>
      <c r="CG75" s="121" t="b">
        <f ca="1">AND(Tbl_ResidentData[[#This Row],[PRN Med Started]]&lt;&gt;"",Tbl_ResidentData[[#This Row],[PRN Med Started]]&lt;=NOW(),Tbl_ResidentData[[#This Row],[PRN Med Started]]&lt;=BI$4,OR(Tbl_ResidentData[[#This Row],[PRN Med Discontinued]]&gt;BI$4,ISBLANK(Tbl_ResidentData[[#This Row],[PRN Med Discontinued]])))</f>
        <v>0</v>
      </c>
      <c r="CH75" s="121" t="b">
        <f ca="1">AND(Tbl_ResidentData[[#This Row],[PRN Med Started]]&lt;&gt;"",Tbl_ResidentData[[#This Row],[PRN Med Started]]&lt;=NOW(),Tbl_ResidentData[[#This Row],[PRN Med Started]]&lt;=BJ$4,OR(Tbl_ResidentData[[#This Row],[PRN Med Discontinued]]&gt;BJ$4,ISBLANK(Tbl_ResidentData[[#This Row],[PRN Med Discontinued]])))</f>
        <v>0</v>
      </c>
      <c r="CI75" s="121" t="b">
        <f ca="1">AND(Tbl_ResidentData[[#This Row],[PRN Med Started]]&lt;&gt;"",Tbl_ResidentData[[#This Row],[PRN Med Started]]&lt;=NOW(),Tbl_ResidentData[[#This Row],[PRN Med Started]]&lt;=BK$4,OR(Tbl_ResidentData[[#This Row],[PRN Med Discontinued]]&gt;BK$4,ISBLANK(Tbl_ResidentData[[#This Row],[PRN Med Discontinued]])))</f>
        <v>0</v>
      </c>
      <c r="CJ75" s="121" t="b">
        <f ca="1">AND(Tbl_ResidentData[[#This Row],[PRN Med Started]]&lt;&gt;"",Tbl_ResidentData[[#This Row],[PRN Med Started]]&lt;=NOW(),Tbl_ResidentData[[#This Row],[PRN Med Started]]&lt;=BL$4,OR(Tbl_ResidentData[[#This Row],[PRN Med Discontinued]]&gt;BL$4,ISBLANK(Tbl_ResidentData[[#This Row],[PRN Med Discontinued]])))</f>
        <v>0</v>
      </c>
      <c r="CK75" s="121" t="b">
        <f ca="1">AND(Tbl_ResidentData[[#This Row],[PRN Med Started]]&lt;&gt;"",Tbl_ResidentData[[#This Row],[PRN Med Started]]&lt;=NOW(),Tbl_ResidentData[[#This Row],[PRN Med Started]]&lt;=BM$4,OR(Tbl_ResidentData[[#This Row],[PRN Med Discontinued]]&gt;BM$4,ISBLANK(Tbl_ResidentData[[#This Row],[PRN Med Discontinued]])))</f>
        <v>0</v>
      </c>
      <c r="CL75" s="121" t="b">
        <f ca="1">AND(Tbl_ResidentData[[#This Row],[PRN Med Started]]&lt;&gt;"",Tbl_ResidentData[[#This Row],[PRN Med Started]]&lt;=NOW(),Tbl_ResidentData[[#This Row],[PRN Med Started]]&lt;=BN$4,OR(Tbl_ResidentData[[#This Row],[PRN Med Discontinued]]&gt;BN$4,ISBLANK(Tbl_ResidentData[[#This Row],[PRN Med Discontinued]])))</f>
        <v>0</v>
      </c>
      <c r="CM75" s="121" t="b">
        <f ca="1">AND(Tbl_ResidentData[[#This Row],[PRN Med Started]]&lt;&gt;"",Tbl_ResidentData[[#This Row],[PRN Med Started]]&lt;=NOW(),Tbl_ResidentData[[#This Row],[PRN Med Started]]&lt;=BO$4,OR(Tbl_ResidentData[[#This Row],[PRN Med Discontinued]]&gt;BO$4,ISBLANK(Tbl_ResidentData[[#This Row],[PRN Med Discontinued]])))</f>
        <v>0</v>
      </c>
      <c r="CN75" s="122" t="b">
        <f ca="1">AND(Tbl_ResidentData[[#This Row],[PRN Med Started]]&lt;&gt;"",Tbl_ResidentData[[#This Row],[PRN Med Started]]&lt;=NOW(),Tbl_ResidentData[[#This Row],[PRN Med Started]]&lt;=BP$4,OR(Tbl_ResidentData[[#This Row],[PRN Med Discontinued]]&gt;BP$4,ISBLANK(Tbl_ResidentData[[#This Row],[PRN Med Discontinued]])))</f>
        <v>0</v>
      </c>
      <c r="CO75" s="120">
        <f ca="1">IF(OR(Tbl_ResidentData[[#This Row],[S1]]=TRUE,Tbl_ResidentData[[#This Row],[P1]]=TRUE),1,0)</f>
        <v>0</v>
      </c>
      <c r="CP75" s="121">
        <f ca="1">IF(OR(Tbl_ResidentData[[#This Row],[S2]]=TRUE,Tbl_ResidentData[[#This Row],[P2]]=TRUE),1,0)</f>
        <v>0</v>
      </c>
      <c r="CQ75" s="121">
        <f ca="1">IF(OR(Tbl_ResidentData[[#This Row],[S3]]=TRUE,Tbl_ResidentData[[#This Row],[P3]]=TRUE),1,0)</f>
        <v>0</v>
      </c>
      <c r="CR75" s="120">
        <f ca="1">IF(OR(Tbl_ResidentData[[#This Row],[S4]]=TRUE,Tbl_ResidentData[[#This Row],[P4]]=TRUE),1,0)</f>
        <v>0</v>
      </c>
      <c r="CS75" s="120">
        <f ca="1">IF(OR(Tbl_ResidentData[[#This Row],[S5]]=TRUE,Tbl_ResidentData[[#This Row],[P5]]=TRUE),1,0)</f>
        <v>0</v>
      </c>
      <c r="CT75" s="120">
        <f ca="1">IF(OR(Tbl_ResidentData[[#This Row],[S6]]=TRUE,Tbl_ResidentData[[#This Row],[P6]]=TRUE),1,0)</f>
        <v>0</v>
      </c>
      <c r="CU75" s="120">
        <f ca="1">IF(OR(Tbl_ResidentData[[#This Row],[S7]]=TRUE,Tbl_ResidentData[[#This Row],[P7]]=TRUE),1,0)</f>
        <v>0</v>
      </c>
      <c r="CV75" s="120">
        <f ca="1">IF(OR(Tbl_ResidentData[[#This Row],[S8]]=TRUE,Tbl_ResidentData[[#This Row],[P8]]=TRUE),1,0)</f>
        <v>0</v>
      </c>
      <c r="CW75" s="120">
        <f ca="1">IF(OR(Tbl_ResidentData[[#This Row],[S9]]=TRUE,Tbl_ResidentData[[#This Row],[P9]]=TRUE),1,0)</f>
        <v>0</v>
      </c>
      <c r="CX75" s="120">
        <f ca="1">IF(OR(Tbl_ResidentData[[#This Row],[S10]]=TRUE,Tbl_ResidentData[[#This Row],[P10]]=TRUE),1,0)</f>
        <v>0</v>
      </c>
      <c r="CY75" s="120">
        <f ca="1">IF(OR(Tbl_ResidentData[[#This Row],[S11]]=TRUE,Tbl_ResidentData[[#This Row],[P11]]=TRUE),1,0)</f>
        <v>0</v>
      </c>
      <c r="CZ75" s="120">
        <f ca="1">IF(OR(Tbl_ResidentData[[#This Row],[S12]]=TRUE,Tbl_ResidentData[[#This Row],[P12]]=TRUE),1,0)</f>
        <v>0</v>
      </c>
      <c r="DA75" s="120">
        <f ca="1">IF(OR(Tbl_ResidentData[[#This Row],[S13]]=TRUE,Tbl_ResidentData[[#This Row],[P13]]=TRUE),1,0)</f>
        <v>0</v>
      </c>
      <c r="DB75" s="120">
        <f ca="1">IF(OR(Tbl_ResidentData[[#This Row],[S14]]=TRUE,Tbl_ResidentData[[#This Row],[P14]]=TRUE),1,0)</f>
        <v>0</v>
      </c>
      <c r="DC75" s="120">
        <f ca="1">IF(OR(Tbl_ResidentData[[#This Row],[S15]]=TRUE,Tbl_ResidentData[[#This Row],[P15]]=TRUE),1,0)</f>
        <v>0</v>
      </c>
      <c r="DD75" s="120">
        <f ca="1">IF(OR(Tbl_ResidentData[[#This Row],[S16]]=TRUE,Tbl_ResidentData[[#This Row],[P16]]=TRUE),1,0)</f>
        <v>0</v>
      </c>
      <c r="DE75" s="120">
        <f ca="1">IF(OR(Tbl_ResidentData[[#This Row],[S17]]=TRUE,Tbl_ResidentData[[#This Row],[P17]]=TRUE),1,0)</f>
        <v>0</v>
      </c>
      <c r="DF75" s="120">
        <f ca="1">IF(OR(Tbl_ResidentData[[#This Row],[S18]]=TRUE,Tbl_ResidentData[[#This Row],[P18]]=TRUE),1,0)</f>
        <v>0</v>
      </c>
      <c r="DG75" s="120">
        <f ca="1">IF(OR(Tbl_ResidentData[[#This Row],[S19]]=TRUE,Tbl_ResidentData[[#This Row],[P19]]=TRUE),1,0)</f>
        <v>0</v>
      </c>
      <c r="DH75" s="120">
        <f ca="1">IF(OR(Tbl_ResidentData[[#This Row],[S20]]=TRUE,Tbl_ResidentData[[#This Row],[P20]]=TRUE),1,0)</f>
        <v>0</v>
      </c>
      <c r="DI75" s="120">
        <f ca="1">IF(OR(Tbl_ResidentData[[#This Row],[S21]]=TRUE,Tbl_ResidentData[[#This Row],[P21]]=TRUE),1,0)</f>
        <v>0</v>
      </c>
      <c r="DJ75" s="120">
        <f ca="1">IF(OR(Tbl_ResidentData[[#This Row],[S22]]=TRUE,Tbl_ResidentData[[#This Row],[P22]]=TRUE),1,0)</f>
        <v>0</v>
      </c>
      <c r="DK75" s="120">
        <f ca="1">IF(OR(Tbl_ResidentData[[#This Row],[S23]]=TRUE,Tbl_ResidentData[[#This Row],[P23]]=TRUE),1,0)</f>
        <v>0</v>
      </c>
      <c r="DL75" s="120">
        <f ca="1">IF(OR(Tbl_ResidentData[[#This Row],[S24]]=TRUE,Tbl_ResidentData[[#This Row],[P24]]=TRUE),1,0)</f>
        <v>0</v>
      </c>
      <c r="DM75" s="123" t="str">
        <f ca="1">IFERROR(INDEX($CO$4:$DL$4,MATCH(TRUE,INDEX((Tbl_ResidentData[[#This Row],[Over1]:[Over24]]&lt;&gt;0),0),0)),"")</f>
        <v/>
      </c>
      <c r="DN75" s="133" t="str">
        <f>IFERROR(INDEX(Tbl_PDSAData[Last DRT],MATCH(Tbl_ResidentData[Resident Name '[last, first']],Tbl_PDSAData[Resident Name (last, first)],0)),"")</f>
        <v/>
      </c>
      <c r="DO75" s="222" t="str">
        <f>IFERROR(INDEX(Tbl_PDSAData[Last MR],MATCH(Tbl_ResidentData[Resident Name '[last, first']],Tbl_PDSAData[Resident Name (last, first)],0)),"")</f>
        <v/>
      </c>
    </row>
    <row r="76" spans="1:119" x14ac:dyDescent="0.25">
      <c r="A76" s="179"/>
      <c r="B76" s="180"/>
      <c r="C76" s="180"/>
      <c r="D76" s="218"/>
      <c r="E76" s="179"/>
      <c r="F76" s="181"/>
      <c r="G76" s="181"/>
      <c r="H76" s="375"/>
      <c r="I76" s="185"/>
      <c r="J76" s="387"/>
      <c r="K76" s="178"/>
      <c r="L76" s="388"/>
      <c r="M76" s="185"/>
      <c r="N76" s="386"/>
      <c r="O76" s="178"/>
      <c r="P76" s="388"/>
      <c r="Q76" s="394"/>
      <c r="R76" s="388"/>
      <c r="S76" s="131" t="str">
        <f>IF(ISBLANK(Tbl_ResidentData[[#This Row],[Discharge '[mmm-yyyy']]]),IF(ISBLANK(Tbl_ResidentData[[#This Row],[Enrollment '[mmm-yyyy']]]),"","In Care Home"),"Discharged")</f>
        <v/>
      </c>
      <c r="T76" s="119" t="str">
        <f>IF(ISBLANK(Tbl_ResidentData[[#This Row],[Diagnosis (RAI)]]),IF(ISBLANK(Tbl_ResidentData[[#This Row],[Resident Name '[last, first']]]),"",0),IF(Tbl_ResidentData[[#This Row],[Diagnosis (RAI)]]="Other (see clinical notes)",0,1))</f>
        <v/>
      </c>
      <c r="U76" s="120" t="str">
        <f ca="1">IF(U$4&gt;NOW(),"-",IF(ISBLANK(Tbl_ResidentData[[#This Row],[Enrollment '[mmm-yyyy']]]),"-",AND((Tbl_ResidentData[[#This Row],[Enrollment '[mmm-yyyy']]]&lt;=U$4),IF(ISBLANK(Tbl_ResidentData[[#This Row],[Discharge '[mmm-yyyy']]]),TRUE,(Tbl_ResidentData[[#This Row],[Discharge '[mmm-yyyy']]]&gt;=U$4)))))</f>
        <v>-</v>
      </c>
      <c r="V76" s="121" t="str">
        <f ca="1">IF(V$4&gt;NOW(),"-",IF(ISBLANK(Tbl_ResidentData[[#This Row],[Enrollment '[mmm-yyyy']]]),"-",AND((Tbl_ResidentData[[#This Row],[Enrollment '[mmm-yyyy']]]&lt;=V$4),IF(ISBLANK(Tbl_ResidentData[[#This Row],[Discharge '[mmm-yyyy']]]),TRUE,(Tbl_ResidentData[[#This Row],[Discharge '[mmm-yyyy']]]&gt;=V$4)))))</f>
        <v>-</v>
      </c>
      <c r="W76" s="121" t="str">
        <f ca="1">IF(W$4&gt;NOW(),"-",IF(ISBLANK(Tbl_ResidentData[[#This Row],[Enrollment '[mmm-yyyy']]]),"-",AND((Tbl_ResidentData[[#This Row],[Enrollment '[mmm-yyyy']]]&lt;=W$4),IF(ISBLANK(Tbl_ResidentData[[#This Row],[Discharge '[mmm-yyyy']]]),TRUE,(Tbl_ResidentData[[#This Row],[Discharge '[mmm-yyyy']]]&gt;=W$4)))))</f>
        <v>-</v>
      </c>
      <c r="X76" s="121" t="str">
        <f ca="1">IF(X$4&gt;NOW(),"-",IF(ISBLANK(Tbl_ResidentData[[#This Row],[Enrollment '[mmm-yyyy']]]),"-",AND((Tbl_ResidentData[[#This Row],[Enrollment '[mmm-yyyy']]]&lt;=X$4),IF(ISBLANK(Tbl_ResidentData[[#This Row],[Discharge '[mmm-yyyy']]]),TRUE,(Tbl_ResidentData[[#This Row],[Discharge '[mmm-yyyy']]]&gt;=X$4)))))</f>
        <v>-</v>
      </c>
      <c r="Y76" s="121" t="str">
        <f ca="1">IF(Y$4&gt;NOW(),"-",IF(ISBLANK(Tbl_ResidentData[[#This Row],[Enrollment '[mmm-yyyy']]]),"-",AND((Tbl_ResidentData[[#This Row],[Enrollment '[mmm-yyyy']]]&lt;=Y$4),IF(ISBLANK(Tbl_ResidentData[[#This Row],[Discharge '[mmm-yyyy']]]),TRUE,(Tbl_ResidentData[[#This Row],[Discharge '[mmm-yyyy']]]&gt;=Y$4)))))</f>
        <v>-</v>
      </c>
      <c r="Z76" s="121" t="str">
        <f ca="1">IF(Z$4&gt;NOW(),"-",IF(ISBLANK(Tbl_ResidentData[[#This Row],[Enrollment '[mmm-yyyy']]]),"-",AND((Tbl_ResidentData[[#This Row],[Enrollment '[mmm-yyyy']]]&lt;=Z$4),IF(ISBLANK(Tbl_ResidentData[[#This Row],[Discharge '[mmm-yyyy']]]),TRUE,(Tbl_ResidentData[[#This Row],[Discharge '[mmm-yyyy']]]&gt;=Z$4)))))</f>
        <v>-</v>
      </c>
      <c r="AA76" s="121" t="str">
        <f ca="1">IF(AA$4&gt;NOW(),"-",IF(ISBLANK(Tbl_ResidentData[[#This Row],[Enrollment '[mmm-yyyy']]]),"-",AND((Tbl_ResidentData[[#This Row],[Enrollment '[mmm-yyyy']]]&lt;=AA$4),IF(ISBLANK(Tbl_ResidentData[[#This Row],[Discharge '[mmm-yyyy']]]),TRUE,(Tbl_ResidentData[[#This Row],[Discharge '[mmm-yyyy']]]&gt;=AA$4)))))</f>
        <v>-</v>
      </c>
      <c r="AB76" s="121" t="str">
        <f ca="1">IF(AB$4&gt;NOW(),"-",IF(ISBLANK(Tbl_ResidentData[[#This Row],[Enrollment '[mmm-yyyy']]]),"-",AND((Tbl_ResidentData[[#This Row],[Enrollment '[mmm-yyyy']]]&lt;=AB$4),IF(ISBLANK(Tbl_ResidentData[[#This Row],[Discharge '[mmm-yyyy']]]),TRUE,(Tbl_ResidentData[[#This Row],[Discharge '[mmm-yyyy']]]&gt;=AB$4)))))</f>
        <v>-</v>
      </c>
      <c r="AC76" s="121" t="str">
        <f ca="1">IF(AC$4&gt;NOW(),"-",IF(ISBLANK(Tbl_ResidentData[[#This Row],[Enrollment '[mmm-yyyy']]]),"-",AND((Tbl_ResidentData[[#This Row],[Enrollment '[mmm-yyyy']]]&lt;=AC$4),IF(ISBLANK(Tbl_ResidentData[[#This Row],[Discharge '[mmm-yyyy']]]),TRUE,(Tbl_ResidentData[[#This Row],[Discharge '[mmm-yyyy']]]&gt;=AC$4)))))</f>
        <v>-</v>
      </c>
      <c r="AD76" s="121" t="str">
        <f ca="1">IF(AD$4&gt;NOW(),"-",IF(ISBLANK(Tbl_ResidentData[[#This Row],[Enrollment '[mmm-yyyy']]]),"-",AND((Tbl_ResidentData[[#This Row],[Enrollment '[mmm-yyyy']]]&lt;=AD$4),IF(ISBLANK(Tbl_ResidentData[[#This Row],[Discharge '[mmm-yyyy']]]),TRUE,(Tbl_ResidentData[[#This Row],[Discharge '[mmm-yyyy']]]&gt;=AD$4)))))</f>
        <v>-</v>
      </c>
      <c r="AE76" s="121" t="str">
        <f ca="1">IF(AE$4&gt;NOW(),"-",IF(ISBLANK(Tbl_ResidentData[[#This Row],[Enrollment '[mmm-yyyy']]]),"-",AND((Tbl_ResidentData[[#This Row],[Enrollment '[mmm-yyyy']]]&lt;=AE$4),IF(ISBLANK(Tbl_ResidentData[[#This Row],[Discharge '[mmm-yyyy']]]),TRUE,(Tbl_ResidentData[[#This Row],[Discharge '[mmm-yyyy']]]&gt;=AE$4)))))</f>
        <v>-</v>
      </c>
      <c r="AF76" s="121" t="str">
        <f ca="1">IF(AF$4&gt;NOW(),"-",IF(ISBLANK(Tbl_ResidentData[[#This Row],[Enrollment '[mmm-yyyy']]]),"-",AND((Tbl_ResidentData[[#This Row],[Enrollment '[mmm-yyyy']]]&lt;=AF$4),IF(ISBLANK(Tbl_ResidentData[[#This Row],[Discharge '[mmm-yyyy']]]),TRUE,(Tbl_ResidentData[[#This Row],[Discharge '[mmm-yyyy']]]&gt;=AF$4)))))</f>
        <v>-</v>
      </c>
      <c r="AG76" s="121" t="str">
        <f ca="1">IF(AG$4&gt;NOW(),"-",IF(ISBLANK(Tbl_ResidentData[[#This Row],[Enrollment '[mmm-yyyy']]]),"-",AND((Tbl_ResidentData[[#This Row],[Enrollment '[mmm-yyyy']]]&lt;=AG$4),IF(ISBLANK(Tbl_ResidentData[[#This Row],[Discharge '[mmm-yyyy']]]),TRUE,(Tbl_ResidentData[[#This Row],[Discharge '[mmm-yyyy']]]&gt;=AG$4)))))</f>
        <v>-</v>
      </c>
      <c r="AH76" s="121" t="str">
        <f ca="1">IF(AH$4&gt;NOW(),"-",IF(ISBLANK(Tbl_ResidentData[[#This Row],[Enrollment '[mmm-yyyy']]]),"-",AND((Tbl_ResidentData[[#This Row],[Enrollment '[mmm-yyyy']]]&lt;=AH$4),IF(ISBLANK(Tbl_ResidentData[[#This Row],[Discharge '[mmm-yyyy']]]),TRUE,(Tbl_ResidentData[[#This Row],[Discharge '[mmm-yyyy']]]&gt;=AH$4)))))</f>
        <v>-</v>
      </c>
      <c r="AI76" s="121" t="str">
        <f ca="1">IF(AI$4&gt;NOW(),"-",IF(ISBLANK(Tbl_ResidentData[[#This Row],[Enrollment '[mmm-yyyy']]]),"-",AND((Tbl_ResidentData[[#This Row],[Enrollment '[mmm-yyyy']]]&lt;=AI$4),IF(ISBLANK(Tbl_ResidentData[[#This Row],[Discharge '[mmm-yyyy']]]),TRUE,(Tbl_ResidentData[[#This Row],[Discharge '[mmm-yyyy']]]&gt;=AI$4)))))</f>
        <v>-</v>
      </c>
      <c r="AJ76" s="121" t="str">
        <f ca="1">IF(AJ$4&gt;NOW(),"-",IF(ISBLANK(Tbl_ResidentData[[#This Row],[Enrollment '[mmm-yyyy']]]),"-",AND((Tbl_ResidentData[[#This Row],[Enrollment '[mmm-yyyy']]]&lt;=AJ$4),IF(ISBLANK(Tbl_ResidentData[[#This Row],[Discharge '[mmm-yyyy']]]),TRUE,(Tbl_ResidentData[[#This Row],[Discharge '[mmm-yyyy']]]&gt;=AJ$4)))))</f>
        <v>-</v>
      </c>
      <c r="AK76" s="121" t="str">
        <f ca="1">IF(AK$4&gt;NOW(),"-",IF(ISBLANK(Tbl_ResidentData[[#This Row],[Enrollment '[mmm-yyyy']]]),"-",AND((Tbl_ResidentData[[#This Row],[Enrollment '[mmm-yyyy']]]&lt;=AK$4),IF(ISBLANK(Tbl_ResidentData[[#This Row],[Discharge '[mmm-yyyy']]]),TRUE,(Tbl_ResidentData[[#This Row],[Discharge '[mmm-yyyy']]]&gt;=AK$4)))))</f>
        <v>-</v>
      </c>
      <c r="AL76" s="121" t="str">
        <f ca="1">IF(AL$4&gt;NOW(),"-",IF(ISBLANK(Tbl_ResidentData[[#This Row],[Enrollment '[mmm-yyyy']]]),"-",AND((Tbl_ResidentData[[#This Row],[Enrollment '[mmm-yyyy']]]&lt;=AL$4),IF(ISBLANK(Tbl_ResidentData[[#This Row],[Discharge '[mmm-yyyy']]]),TRUE,(Tbl_ResidentData[[#This Row],[Discharge '[mmm-yyyy']]]&gt;=AL$4)))))</f>
        <v>-</v>
      </c>
      <c r="AM76" s="121" t="str">
        <f ca="1">IF(AM$4&gt;NOW(),"-",IF(ISBLANK(Tbl_ResidentData[[#This Row],[Enrollment '[mmm-yyyy']]]),"-",AND((Tbl_ResidentData[[#This Row],[Enrollment '[mmm-yyyy']]]&lt;=AM$4),IF(ISBLANK(Tbl_ResidentData[[#This Row],[Discharge '[mmm-yyyy']]]),TRUE,(Tbl_ResidentData[[#This Row],[Discharge '[mmm-yyyy']]]&gt;=AM$4)))))</f>
        <v>-</v>
      </c>
      <c r="AN76" s="121" t="str">
        <f ca="1">IF(AN$4&gt;NOW(),"-",IF(ISBLANK(Tbl_ResidentData[[#This Row],[Enrollment '[mmm-yyyy']]]),"-",AND((Tbl_ResidentData[[#This Row],[Enrollment '[mmm-yyyy']]]&lt;=AN$4),IF(ISBLANK(Tbl_ResidentData[[#This Row],[Discharge '[mmm-yyyy']]]),TRUE,(Tbl_ResidentData[[#This Row],[Discharge '[mmm-yyyy']]]&gt;=AN$4)))))</f>
        <v>-</v>
      </c>
      <c r="AO76" s="121" t="str">
        <f ca="1">IF(AO$4&gt;NOW(),"-",IF(ISBLANK(Tbl_ResidentData[[#This Row],[Enrollment '[mmm-yyyy']]]),"-",AND((Tbl_ResidentData[[#This Row],[Enrollment '[mmm-yyyy']]]&lt;=AO$4),IF(ISBLANK(Tbl_ResidentData[[#This Row],[Discharge '[mmm-yyyy']]]),TRUE,(Tbl_ResidentData[[#This Row],[Discharge '[mmm-yyyy']]]&gt;=AO$4)))))</f>
        <v>-</v>
      </c>
      <c r="AP76" s="121" t="str">
        <f ca="1">IF(AP$4&gt;NOW(),"-",IF(ISBLANK(Tbl_ResidentData[[#This Row],[Enrollment '[mmm-yyyy']]]),"-",AND((Tbl_ResidentData[[#This Row],[Enrollment '[mmm-yyyy']]]&lt;=AP$4),IF(ISBLANK(Tbl_ResidentData[[#This Row],[Discharge '[mmm-yyyy']]]),TRUE,(Tbl_ResidentData[[#This Row],[Discharge '[mmm-yyyy']]]&gt;=AP$4)))))</f>
        <v>-</v>
      </c>
      <c r="AQ76" s="121" t="str">
        <f ca="1">IF(AQ$4&gt;NOW(),"-",IF(ISBLANK(Tbl_ResidentData[[#This Row],[Enrollment '[mmm-yyyy']]]),"-",AND((Tbl_ResidentData[[#This Row],[Enrollment '[mmm-yyyy']]]&lt;=AQ$4),IF(ISBLANK(Tbl_ResidentData[[#This Row],[Discharge '[mmm-yyyy']]]),TRUE,(Tbl_ResidentData[[#This Row],[Discharge '[mmm-yyyy']]]&gt;=AQ$4)))))</f>
        <v>-</v>
      </c>
      <c r="AR76" s="122" t="str">
        <f ca="1">IF(AR$4&gt;NOW(),"-",IF(ISBLANK(Tbl_ResidentData[[#This Row],[Enrollment '[mmm-yyyy']]]),"-",AND((Tbl_ResidentData[[#This Row],[Enrollment '[mmm-yyyy']]]&lt;=AR$4),IF(ISBLANK(Tbl_ResidentData[[#This Row],[Discharge '[mmm-yyyy']]]),TRUE,(Tbl_ResidentData[[#This Row],[Discharge '[mmm-yyyy']]]&gt;=AR$4)))))</f>
        <v>-</v>
      </c>
      <c r="AS7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6" s="120" t="b">
        <f ca="1">AND(Tbl_ResidentData[[#This Row],[PRN Med Started]]&lt;&gt;"",Tbl_ResidentData[[#This Row],[PRN Med Started]]&lt;=NOW(),Tbl_ResidentData[[#This Row],[PRN Med Started]]&lt;=AS$4,OR(Tbl_ResidentData[[#This Row],[PRN Med Discontinued]]&gt;AS$4,ISBLANK(Tbl_ResidentData[[#This Row],[PRN Med Discontinued]])))</f>
        <v>0</v>
      </c>
      <c r="BR76" s="121" t="b">
        <f ca="1">AND(Tbl_ResidentData[[#This Row],[PRN Med Started]]&lt;&gt;"",Tbl_ResidentData[[#This Row],[PRN Med Started]]&lt;=NOW(),Tbl_ResidentData[[#This Row],[PRN Med Started]]&lt;=AT$4,OR(Tbl_ResidentData[[#This Row],[PRN Med Discontinued]]&gt;AT$4,ISBLANK(Tbl_ResidentData[[#This Row],[PRN Med Discontinued]])))</f>
        <v>0</v>
      </c>
      <c r="BS76" s="121" t="b">
        <f ca="1">AND(Tbl_ResidentData[[#This Row],[PRN Med Started]]&lt;&gt;"",Tbl_ResidentData[[#This Row],[PRN Med Started]]&lt;=NOW(),Tbl_ResidentData[[#This Row],[PRN Med Started]]&lt;=AU$4,OR(Tbl_ResidentData[[#This Row],[PRN Med Discontinued]]&gt;AU$4,ISBLANK(Tbl_ResidentData[[#This Row],[PRN Med Discontinued]])))</f>
        <v>0</v>
      </c>
      <c r="BT76" s="121" t="b">
        <f ca="1">AND(Tbl_ResidentData[[#This Row],[PRN Med Started]]&lt;&gt;"",Tbl_ResidentData[[#This Row],[PRN Med Started]]&lt;=NOW(),Tbl_ResidentData[[#This Row],[PRN Med Started]]&lt;=AV$4,OR(Tbl_ResidentData[[#This Row],[PRN Med Discontinued]]&gt;AV$4,ISBLANK(Tbl_ResidentData[[#This Row],[PRN Med Discontinued]])))</f>
        <v>0</v>
      </c>
      <c r="BU76" s="121" t="b">
        <f ca="1">AND(Tbl_ResidentData[[#This Row],[PRN Med Started]]&lt;&gt;"",Tbl_ResidentData[[#This Row],[PRN Med Started]]&lt;=NOW(),Tbl_ResidentData[[#This Row],[PRN Med Started]]&lt;=AW$4,OR(Tbl_ResidentData[[#This Row],[PRN Med Discontinued]]&gt;AW$4,ISBLANK(Tbl_ResidentData[[#This Row],[PRN Med Discontinued]])))</f>
        <v>0</v>
      </c>
      <c r="BV76" s="121" t="b">
        <f ca="1">AND(Tbl_ResidentData[[#This Row],[PRN Med Started]]&lt;&gt;"",Tbl_ResidentData[[#This Row],[PRN Med Started]]&lt;=NOW(),Tbl_ResidentData[[#This Row],[PRN Med Started]]&lt;=AX$4,OR(Tbl_ResidentData[[#This Row],[PRN Med Discontinued]]&gt;AX$4,ISBLANK(Tbl_ResidentData[[#This Row],[PRN Med Discontinued]])))</f>
        <v>0</v>
      </c>
      <c r="BW76" s="121" t="b">
        <f ca="1">AND(Tbl_ResidentData[[#This Row],[PRN Med Started]]&lt;&gt;"",Tbl_ResidentData[[#This Row],[PRN Med Started]]&lt;=NOW(),Tbl_ResidentData[[#This Row],[PRN Med Started]]&lt;=AY$4,OR(Tbl_ResidentData[[#This Row],[PRN Med Discontinued]]&gt;AY$4,ISBLANK(Tbl_ResidentData[[#This Row],[PRN Med Discontinued]])))</f>
        <v>0</v>
      </c>
      <c r="BX76" s="121" t="b">
        <f ca="1">AND(Tbl_ResidentData[[#This Row],[PRN Med Started]]&lt;&gt;"",Tbl_ResidentData[[#This Row],[PRN Med Started]]&lt;=NOW(),Tbl_ResidentData[[#This Row],[PRN Med Started]]&lt;=AZ$4,OR(Tbl_ResidentData[[#This Row],[PRN Med Discontinued]]&gt;AZ$4,ISBLANK(Tbl_ResidentData[[#This Row],[PRN Med Discontinued]])))</f>
        <v>0</v>
      </c>
      <c r="BY76" s="121" t="b">
        <f ca="1">AND(Tbl_ResidentData[[#This Row],[PRN Med Started]]&lt;&gt;"",Tbl_ResidentData[[#This Row],[PRN Med Started]]&lt;=NOW(),Tbl_ResidentData[[#This Row],[PRN Med Started]]&lt;=BA$4,OR(Tbl_ResidentData[[#This Row],[PRN Med Discontinued]]&gt;BA$4,ISBLANK(Tbl_ResidentData[[#This Row],[PRN Med Discontinued]])))</f>
        <v>0</v>
      </c>
      <c r="BZ76" s="121" t="b">
        <f ca="1">AND(Tbl_ResidentData[[#This Row],[PRN Med Started]]&lt;&gt;"",Tbl_ResidentData[[#This Row],[PRN Med Started]]&lt;=NOW(),Tbl_ResidentData[[#This Row],[PRN Med Started]]&lt;=BB$4,OR(Tbl_ResidentData[[#This Row],[PRN Med Discontinued]]&gt;BB$4,ISBLANK(Tbl_ResidentData[[#This Row],[PRN Med Discontinued]])))</f>
        <v>0</v>
      </c>
      <c r="CA76" s="121" t="b">
        <f ca="1">AND(Tbl_ResidentData[[#This Row],[PRN Med Started]]&lt;&gt;"",Tbl_ResidentData[[#This Row],[PRN Med Started]]&lt;=NOW(),Tbl_ResidentData[[#This Row],[PRN Med Started]]&lt;=BC$4,OR(Tbl_ResidentData[[#This Row],[PRN Med Discontinued]]&gt;BC$4,ISBLANK(Tbl_ResidentData[[#This Row],[PRN Med Discontinued]])))</f>
        <v>0</v>
      </c>
      <c r="CB76" s="121" t="b">
        <f ca="1">AND(Tbl_ResidentData[[#This Row],[PRN Med Started]]&lt;&gt;"",Tbl_ResidentData[[#This Row],[PRN Med Started]]&lt;=NOW(),Tbl_ResidentData[[#This Row],[PRN Med Started]]&lt;=BD$4,OR(Tbl_ResidentData[[#This Row],[PRN Med Discontinued]]&gt;BD$4,ISBLANK(Tbl_ResidentData[[#This Row],[PRN Med Discontinued]])))</f>
        <v>0</v>
      </c>
      <c r="CC76" s="121" t="b">
        <f ca="1">AND(Tbl_ResidentData[[#This Row],[PRN Med Started]]&lt;&gt;"",Tbl_ResidentData[[#This Row],[PRN Med Started]]&lt;=NOW(),Tbl_ResidentData[[#This Row],[PRN Med Started]]&lt;=BE$4,OR(Tbl_ResidentData[[#This Row],[PRN Med Discontinued]]&gt;BE$4,ISBLANK(Tbl_ResidentData[[#This Row],[PRN Med Discontinued]])))</f>
        <v>0</v>
      </c>
      <c r="CD76" s="121" t="b">
        <f ca="1">AND(Tbl_ResidentData[[#This Row],[PRN Med Started]]&lt;&gt;"",Tbl_ResidentData[[#This Row],[PRN Med Started]]&lt;=NOW(),Tbl_ResidentData[[#This Row],[PRN Med Started]]&lt;=BF$4,OR(Tbl_ResidentData[[#This Row],[PRN Med Discontinued]]&gt;BF$4,ISBLANK(Tbl_ResidentData[[#This Row],[PRN Med Discontinued]])))</f>
        <v>0</v>
      </c>
      <c r="CE76" s="121" t="b">
        <f ca="1">AND(Tbl_ResidentData[[#This Row],[PRN Med Started]]&lt;&gt;"",Tbl_ResidentData[[#This Row],[PRN Med Started]]&lt;=NOW(),Tbl_ResidentData[[#This Row],[PRN Med Started]]&lt;=BG$4,OR(Tbl_ResidentData[[#This Row],[PRN Med Discontinued]]&gt;BG$4,ISBLANK(Tbl_ResidentData[[#This Row],[PRN Med Discontinued]])))</f>
        <v>0</v>
      </c>
      <c r="CF76" s="121" t="b">
        <f ca="1">AND(Tbl_ResidentData[[#This Row],[PRN Med Started]]&lt;&gt;"",Tbl_ResidentData[[#This Row],[PRN Med Started]]&lt;=NOW(),Tbl_ResidentData[[#This Row],[PRN Med Started]]&lt;=BH$4,OR(Tbl_ResidentData[[#This Row],[PRN Med Discontinued]]&gt;BH$4,ISBLANK(Tbl_ResidentData[[#This Row],[PRN Med Discontinued]])))</f>
        <v>0</v>
      </c>
      <c r="CG76" s="121" t="b">
        <f ca="1">AND(Tbl_ResidentData[[#This Row],[PRN Med Started]]&lt;&gt;"",Tbl_ResidentData[[#This Row],[PRN Med Started]]&lt;=NOW(),Tbl_ResidentData[[#This Row],[PRN Med Started]]&lt;=BI$4,OR(Tbl_ResidentData[[#This Row],[PRN Med Discontinued]]&gt;BI$4,ISBLANK(Tbl_ResidentData[[#This Row],[PRN Med Discontinued]])))</f>
        <v>0</v>
      </c>
      <c r="CH76" s="121" t="b">
        <f ca="1">AND(Tbl_ResidentData[[#This Row],[PRN Med Started]]&lt;&gt;"",Tbl_ResidentData[[#This Row],[PRN Med Started]]&lt;=NOW(),Tbl_ResidentData[[#This Row],[PRN Med Started]]&lt;=BJ$4,OR(Tbl_ResidentData[[#This Row],[PRN Med Discontinued]]&gt;BJ$4,ISBLANK(Tbl_ResidentData[[#This Row],[PRN Med Discontinued]])))</f>
        <v>0</v>
      </c>
      <c r="CI76" s="121" t="b">
        <f ca="1">AND(Tbl_ResidentData[[#This Row],[PRN Med Started]]&lt;&gt;"",Tbl_ResidentData[[#This Row],[PRN Med Started]]&lt;=NOW(),Tbl_ResidentData[[#This Row],[PRN Med Started]]&lt;=BK$4,OR(Tbl_ResidentData[[#This Row],[PRN Med Discontinued]]&gt;BK$4,ISBLANK(Tbl_ResidentData[[#This Row],[PRN Med Discontinued]])))</f>
        <v>0</v>
      </c>
      <c r="CJ76" s="121" t="b">
        <f ca="1">AND(Tbl_ResidentData[[#This Row],[PRN Med Started]]&lt;&gt;"",Tbl_ResidentData[[#This Row],[PRN Med Started]]&lt;=NOW(),Tbl_ResidentData[[#This Row],[PRN Med Started]]&lt;=BL$4,OR(Tbl_ResidentData[[#This Row],[PRN Med Discontinued]]&gt;BL$4,ISBLANK(Tbl_ResidentData[[#This Row],[PRN Med Discontinued]])))</f>
        <v>0</v>
      </c>
      <c r="CK76" s="121" t="b">
        <f ca="1">AND(Tbl_ResidentData[[#This Row],[PRN Med Started]]&lt;&gt;"",Tbl_ResidentData[[#This Row],[PRN Med Started]]&lt;=NOW(),Tbl_ResidentData[[#This Row],[PRN Med Started]]&lt;=BM$4,OR(Tbl_ResidentData[[#This Row],[PRN Med Discontinued]]&gt;BM$4,ISBLANK(Tbl_ResidentData[[#This Row],[PRN Med Discontinued]])))</f>
        <v>0</v>
      </c>
      <c r="CL76" s="121" t="b">
        <f ca="1">AND(Tbl_ResidentData[[#This Row],[PRN Med Started]]&lt;&gt;"",Tbl_ResidentData[[#This Row],[PRN Med Started]]&lt;=NOW(),Tbl_ResidentData[[#This Row],[PRN Med Started]]&lt;=BN$4,OR(Tbl_ResidentData[[#This Row],[PRN Med Discontinued]]&gt;BN$4,ISBLANK(Tbl_ResidentData[[#This Row],[PRN Med Discontinued]])))</f>
        <v>0</v>
      </c>
      <c r="CM76" s="121" t="b">
        <f ca="1">AND(Tbl_ResidentData[[#This Row],[PRN Med Started]]&lt;&gt;"",Tbl_ResidentData[[#This Row],[PRN Med Started]]&lt;=NOW(),Tbl_ResidentData[[#This Row],[PRN Med Started]]&lt;=BO$4,OR(Tbl_ResidentData[[#This Row],[PRN Med Discontinued]]&gt;BO$4,ISBLANK(Tbl_ResidentData[[#This Row],[PRN Med Discontinued]])))</f>
        <v>0</v>
      </c>
      <c r="CN76" s="122" t="b">
        <f ca="1">AND(Tbl_ResidentData[[#This Row],[PRN Med Started]]&lt;&gt;"",Tbl_ResidentData[[#This Row],[PRN Med Started]]&lt;=NOW(),Tbl_ResidentData[[#This Row],[PRN Med Started]]&lt;=BP$4,OR(Tbl_ResidentData[[#This Row],[PRN Med Discontinued]]&gt;BP$4,ISBLANK(Tbl_ResidentData[[#This Row],[PRN Med Discontinued]])))</f>
        <v>0</v>
      </c>
      <c r="CO76" s="120">
        <f ca="1">IF(OR(Tbl_ResidentData[[#This Row],[S1]]=TRUE,Tbl_ResidentData[[#This Row],[P1]]=TRUE),1,0)</f>
        <v>0</v>
      </c>
      <c r="CP76" s="121">
        <f ca="1">IF(OR(Tbl_ResidentData[[#This Row],[S2]]=TRUE,Tbl_ResidentData[[#This Row],[P2]]=TRUE),1,0)</f>
        <v>0</v>
      </c>
      <c r="CQ76" s="121">
        <f ca="1">IF(OR(Tbl_ResidentData[[#This Row],[S3]]=TRUE,Tbl_ResidentData[[#This Row],[P3]]=TRUE),1,0)</f>
        <v>0</v>
      </c>
      <c r="CR76" s="120">
        <f ca="1">IF(OR(Tbl_ResidentData[[#This Row],[S4]]=TRUE,Tbl_ResidentData[[#This Row],[P4]]=TRUE),1,0)</f>
        <v>0</v>
      </c>
      <c r="CS76" s="120">
        <f ca="1">IF(OR(Tbl_ResidentData[[#This Row],[S5]]=TRUE,Tbl_ResidentData[[#This Row],[P5]]=TRUE),1,0)</f>
        <v>0</v>
      </c>
      <c r="CT76" s="120">
        <f ca="1">IF(OR(Tbl_ResidentData[[#This Row],[S6]]=TRUE,Tbl_ResidentData[[#This Row],[P6]]=TRUE),1,0)</f>
        <v>0</v>
      </c>
      <c r="CU76" s="120">
        <f ca="1">IF(OR(Tbl_ResidentData[[#This Row],[S7]]=TRUE,Tbl_ResidentData[[#This Row],[P7]]=TRUE),1,0)</f>
        <v>0</v>
      </c>
      <c r="CV76" s="120">
        <f ca="1">IF(OR(Tbl_ResidentData[[#This Row],[S8]]=TRUE,Tbl_ResidentData[[#This Row],[P8]]=TRUE),1,0)</f>
        <v>0</v>
      </c>
      <c r="CW76" s="120">
        <f ca="1">IF(OR(Tbl_ResidentData[[#This Row],[S9]]=TRUE,Tbl_ResidentData[[#This Row],[P9]]=TRUE),1,0)</f>
        <v>0</v>
      </c>
      <c r="CX76" s="120">
        <f ca="1">IF(OR(Tbl_ResidentData[[#This Row],[S10]]=TRUE,Tbl_ResidentData[[#This Row],[P10]]=TRUE),1,0)</f>
        <v>0</v>
      </c>
      <c r="CY76" s="120">
        <f ca="1">IF(OR(Tbl_ResidentData[[#This Row],[S11]]=TRUE,Tbl_ResidentData[[#This Row],[P11]]=TRUE),1,0)</f>
        <v>0</v>
      </c>
      <c r="CZ76" s="120">
        <f ca="1">IF(OR(Tbl_ResidentData[[#This Row],[S12]]=TRUE,Tbl_ResidentData[[#This Row],[P12]]=TRUE),1,0)</f>
        <v>0</v>
      </c>
      <c r="DA76" s="120">
        <f ca="1">IF(OR(Tbl_ResidentData[[#This Row],[S13]]=TRUE,Tbl_ResidentData[[#This Row],[P13]]=TRUE),1,0)</f>
        <v>0</v>
      </c>
      <c r="DB76" s="120">
        <f ca="1">IF(OR(Tbl_ResidentData[[#This Row],[S14]]=TRUE,Tbl_ResidentData[[#This Row],[P14]]=TRUE),1,0)</f>
        <v>0</v>
      </c>
      <c r="DC76" s="120">
        <f ca="1">IF(OR(Tbl_ResidentData[[#This Row],[S15]]=TRUE,Tbl_ResidentData[[#This Row],[P15]]=TRUE),1,0)</f>
        <v>0</v>
      </c>
      <c r="DD76" s="120">
        <f ca="1">IF(OR(Tbl_ResidentData[[#This Row],[S16]]=TRUE,Tbl_ResidentData[[#This Row],[P16]]=TRUE),1,0)</f>
        <v>0</v>
      </c>
      <c r="DE76" s="120">
        <f ca="1">IF(OR(Tbl_ResidentData[[#This Row],[S17]]=TRUE,Tbl_ResidentData[[#This Row],[P17]]=TRUE),1,0)</f>
        <v>0</v>
      </c>
      <c r="DF76" s="120">
        <f ca="1">IF(OR(Tbl_ResidentData[[#This Row],[S18]]=TRUE,Tbl_ResidentData[[#This Row],[P18]]=TRUE),1,0)</f>
        <v>0</v>
      </c>
      <c r="DG76" s="120">
        <f ca="1">IF(OR(Tbl_ResidentData[[#This Row],[S19]]=TRUE,Tbl_ResidentData[[#This Row],[P19]]=TRUE),1,0)</f>
        <v>0</v>
      </c>
      <c r="DH76" s="120">
        <f ca="1">IF(OR(Tbl_ResidentData[[#This Row],[S20]]=TRUE,Tbl_ResidentData[[#This Row],[P20]]=TRUE),1,0)</f>
        <v>0</v>
      </c>
      <c r="DI76" s="120">
        <f ca="1">IF(OR(Tbl_ResidentData[[#This Row],[S21]]=TRUE,Tbl_ResidentData[[#This Row],[P21]]=TRUE),1,0)</f>
        <v>0</v>
      </c>
      <c r="DJ76" s="120">
        <f ca="1">IF(OR(Tbl_ResidentData[[#This Row],[S22]]=TRUE,Tbl_ResidentData[[#This Row],[P22]]=TRUE),1,0)</f>
        <v>0</v>
      </c>
      <c r="DK76" s="120">
        <f ca="1">IF(OR(Tbl_ResidentData[[#This Row],[S23]]=TRUE,Tbl_ResidentData[[#This Row],[P23]]=TRUE),1,0)</f>
        <v>0</v>
      </c>
      <c r="DL76" s="120">
        <f ca="1">IF(OR(Tbl_ResidentData[[#This Row],[S24]]=TRUE,Tbl_ResidentData[[#This Row],[P24]]=TRUE),1,0)</f>
        <v>0</v>
      </c>
      <c r="DM76" s="123" t="str">
        <f ca="1">IFERROR(INDEX($CO$4:$DL$4,MATCH(TRUE,INDEX((Tbl_ResidentData[[#This Row],[Over1]:[Over24]]&lt;&gt;0),0),0)),"")</f>
        <v/>
      </c>
      <c r="DN76" s="133" t="str">
        <f>IFERROR(INDEX(Tbl_PDSAData[Last DRT],MATCH(Tbl_ResidentData[Resident Name '[last, first']],Tbl_PDSAData[Resident Name (last, first)],0)),"")</f>
        <v/>
      </c>
      <c r="DO76" s="222" t="str">
        <f>IFERROR(INDEX(Tbl_PDSAData[Last MR],MATCH(Tbl_ResidentData[Resident Name '[last, first']],Tbl_PDSAData[Resident Name (last, first)],0)),"")</f>
        <v/>
      </c>
    </row>
    <row r="77" spans="1:119" x14ac:dyDescent="0.25">
      <c r="A77" s="179"/>
      <c r="B77" s="180"/>
      <c r="C77" s="180"/>
      <c r="D77" s="218"/>
      <c r="E77" s="179"/>
      <c r="F77" s="181"/>
      <c r="G77" s="181"/>
      <c r="H77" s="375"/>
      <c r="I77" s="185"/>
      <c r="J77" s="387"/>
      <c r="K77" s="178"/>
      <c r="L77" s="388"/>
      <c r="M77" s="185"/>
      <c r="N77" s="386"/>
      <c r="O77" s="178"/>
      <c r="P77" s="388"/>
      <c r="Q77" s="395"/>
      <c r="R77" s="396"/>
      <c r="S77" s="131" t="str">
        <f>IF(ISBLANK(Tbl_ResidentData[[#This Row],[Discharge '[mmm-yyyy']]]),IF(ISBLANK(Tbl_ResidentData[[#This Row],[Enrollment '[mmm-yyyy']]]),"","In Care Home"),"Discharged")</f>
        <v/>
      </c>
      <c r="T77" s="119" t="str">
        <f>IF(ISBLANK(Tbl_ResidentData[[#This Row],[Diagnosis (RAI)]]),IF(ISBLANK(Tbl_ResidentData[[#This Row],[Resident Name '[last, first']]]),"",0),IF(Tbl_ResidentData[[#This Row],[Diagnosis (RAI)]]="Other (see clinical notes)",0,1))</f>
        <v/>
      </c>
      <c r="U77" s="120" t="str">
        <f ca="1">IF(U$4&gt;NOW(),"-",IF(ISBLANK(Tbl_ResidentData[[#This Row],[Enrollment '[mmm-yyyy']]]),"-",AND((Tbl_ResidentData[[#This Row],[Enrollment '[mmm-yyyy']]]&lt;=U$4),IF(ISBLANK(Tbl_ResidentData[[#This Row],[Discharge '[mmm-yyyy']]]),TRUE,(Tbl_ResidentData[[#This Row],[Discharge '[mmm-yyyy']]]&gt;=U$4)))))</f>
        <v>-</v>
      </c>
      <c r="V77" s="121" t="str">
        <f ca="1">IF(V$4&gt;NOW(),"-",IF(ISBLANK(Tbl_ResidentData[[#This Row],[Enrollment '[mmm-yyyy']]]),"-",AND((Tbl_ResidentData[[#This Row],[Enrollment '[mmm-yyyy']]]&lt;=V$4),IF(ISBLANK(Tbl_ResidentData[[#This Row],[Discharge '[mmm-yyyy']]]),TRUE,(Tbl_ResidentData[[#This Row],[Discharge '[mmm-yyyy']]]&gt;=V$4)))))</f>
        <v>-</v>
      </c>
      <c r="W77" s="121" t="str">
        <f ca="1">IF(W$4&gt;NOW(),"-",IF(ISBLANK(Tbl_ResidentData[[#This Row],[Enrollment '[mmm-yyyy']]]),"-",AND((Tbl_ResidentData[[#This Row],[Enrollment '[mmm-yyyy']]]&lt;=W$4),IF(ISBLANK(Tbl_ResidentData[[#This Row],[Discharge '[mmm-yyyy']]]),TRUE,(Tbl_ResidentData[[#This Row],[Discharge '[mmm-yyyy']]]&gt;=W$4)))))</f>
        <v>-</v>
      </c>
      <c r="X77" s="121" t="str">
        <f ca="1">IF(X$4&gt;NOW(),"-",IF(ISBLANK(Tbl_ResidentData[[#This Row],[Enrollment '[mmm-yyyy']]]),"-",AND((Tbl_ResidentData[[#This Row],[Enrollment '[mmm-yyyy']]]&lt;=X$4),IF(ISBLANK(Tbl_ResidentData[[#This Row],[Discharge '[mmm-yyyy']]]),TRUE,(Tbl_ResidentData[[#This Row],[Discharge '[mmm-yyyy']]]&gt;=X$4)))))</f>
        <v>-</v>
      </c>
      <c r="Y77" s="121" t="str">
        <f ca="1">IF(Y$4&gt;NOW(),"-",IF(ISBLANK(Tbl_ResidentData[[#This Row],[Enrollment '[mmm-yyyy']]]),"-",AND((Tbl_ResidentData[[#This Row],[Enrollment '[mmm-yyyy']]]&lt;=Y$4),IF(ISBLANK(Tbl_ResidentData[[#This Row],[Discharge '[mmm-yyyy']]]),TRUE,(Tbl_ResidentData[[#This Row],[Discharge '[mmm-yyyy']]]&gt;=Y$4)))))</f>
        <v>-</v>
      </c>
      <c r="Z77" s="121" t="str">
        <f ca="1">IF(Z$4&gt;NOW(),"-",IF(ISBLANK(Tbl_ResidentData[[#This Row],[Enrollment '[mmm-yyyy']]]),"-",AND((Tbl_ResidentData[[#This Row],[Enrollment '[mmm-yyyy']]]&lt;=Z$4),IF(ISBLANK(Tbl_ResidentData[[#This Row],[Discharge '[mmm-yyyy']]]),TRUE,(Tbl_ResidentData[[#This Row],[Discharge '[mmm-yyyy']]]&gt;=Z$4)))))</f>
        <v>-</v>
      </c>
      <c r="AA77" s="121" t="str">
        <f ca="1">IF(AA$4&gt;NOW(),"-",IF(ISBLANK(Tbl_ResidentData[[#This Row],[Enrollment '[mmm-yyyy']]]),"-",AND((Tbl_ResidentData[[#This Row],[Enrollment '[mmm-yyyy']]]&lt;=AA$4),IF(ISBLANK(Tbl_ResidentData[[#This Row],[Discharge '[mmm-yyyy']]]),TRUE,(Tbl_ResidentData[[#This Row],[Discharge '[mmm-yyyy']]]&gt;=AA$4)))))</f>
        <v>-</v>
      </c>
      <c r="AB77" s="121" t="str">
        <f ca="1">IF(AB$4&gt;NOW(),"-",IF(ISBLANK(Tbl_ResidentData[[#This Row],[Enrollment '[mmm-yyyy']]]),"-",AND((Tbl_ResidentData[[#This Row],[Enrollment '[mmm-yyyy']]]&lt;=AB$4),IF(ISBLANK(Tbl_ResidentData[[#This Row],[Discharge '[mmm-yyyy']]]),TRUE,(Tbl_ResidentData[[#This Row],[Discharge '[mmm-yyyy']]]&gt;=AB$4)))))</f>
        <v>-</v>
      </c>
      <c r="AC77" s="121" t="str">
        <f ca="1">IF(AC$4&gt;NOW(),"-",IF(ISBLANK(Tbl_ResidentData[[#This Row],[Enrollment '[mmm-yyyy']]]),"-",AND((Tbl_ResidentData[[#This Row],[Enrollment '[mmm-yyyy']]]&lt;=AC$4),IF(ISBLANK(Tbl_ResidentData[[#This Row],[Discharge '[mmm-yyyy']]]),TRUE,(Tbl_ResidentData[[#This Row],[Discharge '[mmm-yyyy']]]&gt;=AC$4)))))</f>
        <v>-</v>
      </c>
      <c r="AD77" s="121" t="str">
        <f ca="1">IF(AD$4&gt;NOW(),"-",IF(ISBLANK(Tbl_ResidentData[[#This Row],[Enrollment '[mmm-yyyy']]]),"-",AND((Tbl_ResidentData[[#This Row],[Enrollment '[mmm-yyyy']]]&lt;=AD$4),IF(ISBLANK(Tbl_ResidentData[[#This Row],[Discharge '[mmm-yyyy']]]),TRUE,(Tbl_ResidentData[[#This Row],[Discharge '[mmm-yyyy']]]&gt;=AD$4)))))</f>
        <v>-</v>
      </c>
      <c r="AE77" s="121" t="str">
        <f ca="1">IF(AE$4&gt;NOW(),"-",IF(ISBLANK(Tbl_ResidentData[[#This Row],[Enrollment '[mmm-yyyy']]]),"-",AND((Tbl_ResidentData[[#This Row],[Enrollment '[mmm-yyyy']]]&lt;=AE$4),IF(ISBLANK(Tbl_ResidentData[[#This Row],[Discharge '[mmm-yyyy']]]),TRUE,(Tbl_ResidentData[[#This Row],[Discharge '[mmm-yyyy']]]&gt;=AE$4)))))</f>
        <v>-</v>
      </c>
      <c r="AF77" s="121" t="str">
        <f ca="1">IF(AF$4&gt;NOW(),"-",IF(ISBLANK(Tbl_ResidentData[[#This Row],[Enrollment '[mmm-yyyy']]]),"-",AND((Tbl_ResidentData[[#This Row],[Enrollment '[mmm-yyyy']]]&lt;=AF$4),IF(ISBLANK(Tbl_ResidentData[[#This Row],[Discharge '[mmm-yyyy']]]),TRUE,(Tbl_ResidentData[[#This Row],[Discharge '[mmm-yyyy']]]&gt;=AF$4)))))</f>
        <v>-</v>
      </c>
      <c r="AG77" s="121" t="str">
        <f ca="1">IF(AG$4&gt;NOW(),"-",IF(ISBLANK(Tbl_ResidentData[[#This Row],[Enrollment '[mmm-yyyy']]]),"-",AND((Tbl_ResidentData[[#This Row],[Enrollment '[mmm-yyyy']]]&lt;=AG$4),IF(ISBLANK(Tbl_ResidentData[[#This Row],[Discharge '[mmm-yyyy']]]),TRUE,(Tbl_ResidentData[[#This Row],[Discharge '[mmm-yyyy']]]&gt;=AG$4)))))</f>
        <v>-</v>
      </c>
      <c r="AH77" s="121" t="str">
        <f ca="1">IF(AH$4&gt;NOW(),"-",IF(ISBLANK(Tbl_ResidentData[[#This Row],[Enrollment '[mmm-yyyy']]]),"-",AND((Tbl_ResidentData[[#This Row],[Enrollment '[mmm-yyyy']]]&lt;=AH$4),IF(ISBLANK(Tbl_ResidentData[[#This Row],[Discharge '[mmm-yyyy']]]),TRUE,(Tbl_ResidentData[[#This Row],[Discharge '[mmm-yyyy']]]&gt;=AH$4)))))</f>
        <v>-</v>
      </c>
      <c r="AI77" s="121" t="str">
        <f ca="1">IF(AI$4&gt;NOW(),"-",IF(ISBLANK(Tbl_ResidentData[[#This Row],[Enrollment '[mmm-yyyy']]]),"-",AND((Tbl_ResidentData[[#This Row],[Enrollment '[mmm-yyyy']]]&lt;=AI$4),IF(ISBLANK(Tbl_ResidentData[[#This Row],[Discharge '[mmm-yyyy']]]),TRUE,(Tbl_ResidentData[[#This Row],[Discharge '[mmm-yyyy']]]&gt;=AI$4)))))</f>
        <v>-</v>
      </c>
      <c r="AJ77" s="121" t="str">
        <f ca="1">IF(AJ$4&gt;NOW(),"-",IF(ISBLANK(Tbl_ResidentData[[#This Row],[Enrollment '[mmm-yyyy']]]),"-",AND((Tbl_ResidentData[[#This Row],[Enrollment '[mmm-yyyy']]]&lt;=AJ$4),IF(ISBLANK(Tbl_ResidentData[[#This Row],[Discharge '[mmm-yyyy']]]),TRUE,(Tbl_ResidentData[[#This Row],[Discharge '[mmm-yyyy']]]&gt;=AJ$4)))))</f>
        <v>-</v>
      </c>
      <c r="AK77" s="121" t="str">
        <f ca="1">IF(AK$4&gt;NOW(),"-",IF(ISBLANK(Tbl_ResidentData[[#This Row],[Enrollment '[mmm-yyyy']]]),"-",AND((Tbl_ResidentData[[#This Row],[Enrollment '[mmm-yyyy']]]&lt;=AK$4),IF(ISBLANK(Tbl_ResidentData[[#This Row],[Discharge '[mmm-yyyy']]]),TRUE,(Tbl_ResidentData[[#This Row],[Discharge '[mmm-yyyy']]]&gt;=AK$4)))))</f>
        <v>-</v>
      </c>
      <c r="AL77" s="121" t="str">
        <f ca="1">IF(AL$4&gt;NOW(),"-",IF(ISBLANK(Tbl_ResidentData[[#This Row],[Enrollment '[mmm-yyyy']]]),"-",AND((Tbl_ResidentData[[#This Row],[Enrollment '[mmm-yyyy']]]&lt;=AL$4),IF(ISBLANK(Tbl_ResidentData[[#This Row],[Discharge '[mmm-yyyy']]]),TRUE,(Tbl_ResidentData[[#This Row],[Discharge '[mmm-yyyy']]]&gt;=AL$4)))))</f>
        <v>-</v>
      </c>
      <c r="AM77" s="121" t="str">
        <f ca="1">IF(AM$4&gt;NOW(),"-",IF(ISBLANK(Tbl_ResidentData[[#This Row],[Enrollment '[mmm-yyyy']]]),"-",AND((Tbl_ResidentData[[#This Row],[Enrollment '[mmm-yyyy']]]&lt;=AM$4),IF(ISBLANK(Tbl_ResidentData[[#This Row],[Discharge '[mmm-yyyy']]]),TRUE,(Tbl_ResidentData[[#This Row],[Discharge '[mmm-yyyy']]]&gt;=AM$4)))))</f>
        <v>-</v>
      </c>
      <c r="AN77" s="121" t="str">
        <f ca="1">IF(AN$4&gt;NOW(),"-",IF(ISBLANK(Tbl_ResidentData[[#This Row],[Enrollment '[mmm-yyyy']]]),"-",AND((Tbl_ResidentData[[#This Row],[Enrollment '[mmm-yyyy']]]&lt;=AN$4),IF(ISBLANK(Tbl_ResidentData[[#This Row],[Discharge '[mmm-yyyy']]]),TRUE,(Tbl_ResidentData[[#This Row],[Discharge '[mmm-yyyy']]]&gt;=AN$4)))))</f>
        <v>-</v>
      </c>
      <c r="AO77" s="121" t="str">
        <f ca="1">IF(AO$4&gt;NOW(),"-",IF(ISBLANK(Tbl_ResidentData[[#This Row],[Enrollment '[mmm-yyyy']]]),"-",AND((Tbl_ResidentData[[#This Row],[Enrollment '[mmm-yyyy']]]&lt;=AO$4),IF(ISBLANK(Tbl_ResidentData[[#This Row],[Discharge '[mmm-yyyy']]]),TRUE,(Tbl_ResidentData[[#This Row],[Discharge '[mmm-yyyy']]]&gt;=AO$4)))))</f>
        <v>-</v>
      </c>
      <c r="AP77" s="121" t="str">
        <f ca="1">IF(AP$4&gt;NOW(),"-",IF(ISBLANK(Tbl_ResidentData[[#This Row],[Enrollment '[mmm-yyyy']]]),"-",AND((Tbl_ResidentData[[#This Row],[Enrollment '[mmm-yyyy']]]&lt;=AP$4),IF(ISBLANK(Tbl_ResidentData[[#This Row],[Discharge '[mmm-yyyy']]]),TRUE,(Tbl_ResidentData[[#This Row],[Discharge '[mmm-yyyy']]]&gt;=AP$4)))))</f>
        <v>-</v>
      </c>
      <c r="AQ77" s="121" t="str">
        <f ca="1">IF(AQ$4&gt;NOW(),"-",IF(ISBLANK(Tbl_ResidentData[[#This Row],[Enrollment '[mmm-yyyy']]]),"-",AND((Tbl_ResidentData[[#This Row],[Enrollment '[mmm-yyyy']]]&lt;=AQ$4),IF(ISBLANK(Tbl_ResidentData[[#This Row],[Discharge '[mmm-yyyy']]]),TRUE,(Tbl_ResidentData[[#This Row],[Discharge '[mmm-yyyy']]]&gt;=AQ$4)))))</f>
        <v>-</v>
      </c>
      <c r="AR77" s="122" t="str">
        <f ca="1">IF(AR$4&gt;NOW(),"-",IF(ISBLANK(Tbl_ResidentData[[#This Row],[Enrollment '[mmm-yyyy']]]),"-",AND((Tbl_ResidentData[[#This Row],[Enrollment '[mmm-yyyy']]]&lt;=AR$4),IF(ISBLANK(Tbl_ResidentData[[#This Row],[Discharge '[mmm-yyyy']]]),TRUE,(Tbl_ResidentData[[#This Row],[Discharge '[mmm-yyyy']]]&gt;=AR$4)))))</f>
        <v>-</v>
      </c>
      <c r="AS7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7" s="120" t="b">
        <f ca="1">AND(Tbl_ResidentData[[#This Row],[PRN Med Started]]&lt;&gt;"",Tbl_ResidentData[[#This Row],[PRN Med Started]]&lt;=NOW(),Tbl_ResidentData[[#This Row],[PRN Med Started]]&lt;=AS$4,OR(Tbl_ResidentData[[#This Row],[PRN Med Discontinued]]&gt;AS$4,ISBLANK(Tbl_ResidentData[[#This Row],[PRN Med Discontinued]])))</f>
        <v>0</v>
      </c>
      <c r="BR77" s="121" t="b">
        <f ca="1">AND(Tbl_ResidentData[[#This Row],[PRN Med Started]]&lt;&gt;"",Tbl_ResidentData[[#This Row],[PRN Med Started]]&lt;=NOW(),Tbl_ResidentData[[#This Row],[PRN Med Started]]&lt;=AT$4,OR(Tbl_ResidentData[[#This Row],[PRN Med Discontinued]]&gt;AT$4,ISBLANK(Tbl_ResidentData[[#This Row],[PRN Med Discontinued]])))</f>
        <v>0</v>
      </c>
      <c r="BS77" s="121" t="b">
        <f ca="1">AND(Tbl_ResidentData[[#This Row],[PRN Med Started]]&lt;&gt;"",Tbl_ResidentData[[#This Row],[PRN Med Started]]&lt;=NOW(),Tbl_ResidentData[[#This Row],[PRN Med Started]]&lt;=AU$4,OR(Tbl_ResidentData[[#This Row],[PRN Med Discontinued]]&gt;AU$4,ISBLANK(Tbl_ResidentData[[#This Row],[PRN Med Discontinued]])))</f>
        <v>0</v>
      </c>
      <c r="BT77" s="121" t="b">
        <f ca="1">AND(Tbl_ResidentData[[#This Row],[PRN Med Started]]&lt;&gt;"",Tbl_ResidentData[[#This Row],[PRN Med Started]]&lt;=NOW(),Tbl_ResidentData[[#This Row],[PRN Med Started]]&lt;=AV$4,OR(Tbl_ResidentData[[#This Row],[PRN Med Discontinued]]&gt;AV$4,ISBLANK(Tbl_ResidentData[[#This Row],[PRN Med Discontinued]])))</f>
        <v>0</v>
      </c>
      <c r="BU77" s="121" t="b">
        <f ca="1">AND(Tbl_ResidentData[[#This Row],[PRN Med Started]]&lt;&gt;"",Tbl_ResidentData[[#This Row],[PRN Med Started]]&lt;=NOW(),Tbl_ResidentData[[#This Row],[PRN Med Started]]&lt;=AW$4,OR(Tbl_ResidentData[[#This Row],[PRN Med Discontinued]]&gt;AW$4,ISBLANK(Tbl_ResidentData[[#This Row],[PRN Med Discontinued]])))</f>
        <v>0</v>
      </c>
      <c r="BV77" s="121" t="b">
        <f ca="1">AND(Tbl_ResidentData[[#This Row],[PRN Med Started]]&lt;&gt;"",Tbl_ResidentData[[#This Row],[PRN Med Started]]&lt;=NOW(),Tbl_ResidentData[[#This Row],[PRN Med Started]]&lt;=AX$4,OR(Tbl_ResidentData[[#This Row],[PRN Med Discontinued]]&gt;AX$4,ISBLANK(Tbl_ResidentData[[#This Row],[PRN Med Discontinued]])))</f>
        <v>0</v>
      </c>
      <c r="BW77" s="121" t="b">
        <f ca="1">AND(Tbl_ResidentData[[#This Row],[PRN Med Started]]&lt;&gt;"",Tbl_ResidentData[[#This Row],[PRN Med Started]]&lt;=NOW(),Tbl_ResidentData[[#This Row],[PRN Med Started]]&lt;=AY$4,OR(Tbl_ResidentData[[#This Row],[PRN Med Discontinued]]&gt;AY$4,ISBLANK(Tbl_ResidentData[[#This Row],[PRN Med Discontinued]])))</f>
        <v>0</v>
      </c>
      <c r="BX77" s="121" t="b">
        <f ca="1">AND(Tbl_ResidentData[[#This Row],[PRN Med Started]]&lt;&gt;"",Tbl_ResidentData[[#This Row],[PRN Med Started]]&lt;=NOW(),Tbl_ResidentData[[#This Row],[PRN Med Started]]&lt;=AZ$4,OR(Tbl_ResidentData[[#This Row],[PRN Med Discontinued]]&gt;AZ$4,ISBLANK(Tbl_ResidentData[[#This Row],[PRN Med Discontinued]])))</f>
        <v>0</v>
      </c>
      <c r="BY77" s="121" t="b">
        <f ca="1">AND(Tbl_ResidentData[[#This Row],[PRN Med Started]]&lt;&gt;"",Tbl_ResidentData[[#This Row],[PRN Med Started]]&lt;=NOW(),Tbl_ResidentData[[#This Row],[PRN Med Started]]&lt;=BA$4,OR(Tbl_ResidentData[[#This Row],[PRN Med Discontinued]]&gt;BA$4,ISBLANK(Tbl_ResidentData[[#This Row],[PRN Med Discontinued]])))</f>
        <v>0</v>
      </c>
      <c r="BZ77" s="121" t="b">
        <f ca="1">AND(Tbl_ResidentData[[#This Row],[PRN Med Started]]&lt;&gt;"",Tbl_ResidentData[[#This Row],[PRN Med Started]]&lt;=NOW(),Tbl_ResidentData[[#This Row],[PRN Med Started]]&lt;=BB$4,OR(Tbl_ResidentData[[#This Row],[PRN Med Discontinued]]&gt;BB$4,ISBLANK(Tbl_ResidentData[[#This Row],[PRN Med Discontinued]])))</f>
        <v>0</v>
      </c>
      <c r="CA77" s="121" t="b">
        <f ca="1">AND(Tbl_ResidentData[[#This Row],[PRN Med Started]]&lt;&gt;"",Tbl_ResidentData[[#This Row],[PRN Med Started]]&lt;=NOW(),Tbl_ResidentData[[#This Row],[PRN Med Started]]&lt;=BC$4,OR(Tbl_ResidentData[[#This Row],[PRN Med Discontinued]]&gt;BC$4,ISBLANK(Tbl_ResidentData[[#This Row],[PRN Med Discontinued]])))</f>
        <v>0</v>
      </c>
      <c r="CB77" s="121" t="b">
        <f ca="1">AND(Tbl_ResidentData[[#This Row],[PRN Med Started]]&lt;&gt;"",Tbl_ResidentData[[#This Row],[PRN Med Started]]&lt;=NOW(),Tbl_ResidentData[[#This Row],[PRN Med Started]]&lt;=BD$4,OR(Tbl_ResidentData[[#This Row],[PRN Med Discontinued]]&gt;BD$4,ISBLANK(Tbl_ResidentData[[#This Row],[PRN Med Discontinued]])))</f>
        <v>0</v>
      </c>
      <c r="CC77" s="121" t="b">
        <f ca="1">AND(Tbl_ResidentData[[#This Row],[PRN Med Started]]&lt;&gt;"",Tbl_ResidentData[[#This Row],[PRN Med Started]]&lt;=NOW(),Tbl_ResidentData[[#This Row],[PRN Med Started]]&lt;=BE$4,OR(Tbl_ResidentData[[#This Row],[PRN Med Discontinued]]&gt;BE$4,ISBLANK(Tbl_ResidentData[[#This Row],[PRN Med Discontinued]])))</f>
        <v>0</v>
      </c>
      <c r="CD77" s="121" t="b">
        <f ca="1">AND(Tbl_ResidentData[[#This Row],[PRN Med Started]]&lt;&gt;"",Tbl_ResidentData[[#This Row],[PRN Med Started]]&lt;=NOW(),Tbl_ResidentData[[#This Row],[PRN Med Started]]&lt;=BF$4,OR(Tbl_ResidentData[[#This Row],[PRN Med Discontinued]]&gt;BF$4,ISBLANK(Tbl_ResidentData[[#This Row],[PRN Med Discontinued]])))</f>
        <v>0</v>
      </c>
      <c r="CE77" s="121" t="b">
        <f ca="1">AND(Tbl_ResidentData[[#This Row],[PRN Med Started]]&lt;&gt;"",Tbl_ResidentData[[#This Row],[PRN Med Started]]&lt;=NOW(),Tbl_ResidentData[[#This Row],[PRN Med Started]]&lt;=BG$4,OR(Tbl_ResidentData[[#This Row],[PRN Med Discontinued]]&gt;BG$4,ISBLANK(Tbl_ResidentData[[#This Row],[PRN Med Discontinued]])))</f>
        <v>0</v>
      </c>
      <c r="CF77" s="121" t="b">
        <f ca="1">AND(Tbl_ResidentData[[#This Row],[PRN Med Started]]&lt;&gt;"",Tbl_ResidentData[[#This Row],[PRN Med Started]]&lt;=NOW(),Tbl_ResidentData[[#This Row],[PRN Med Started]]&lt;=BH$4,OR(Tbl_ResidentData[[#This Row],[PRN Med Discontinued]]&gt;BH$4,ISBLANK(Tbl_ResidentData[[#This Row],[PRN Med Discontinued]])))</f>
        <v>0</v>
      </c>
      <c r="CG77" s="121" t="b">
        <f ca="1">AND(Tbl_ResidentData[[#This Row],[PRN Med Started]]&lt;&gt;"",Tbl_ResidentData[[#This Row],[PRN Med Started]]&lt;=NOW(),Tbl_ResidentData[[#This Row],[PRN Med Started]]&lt;=BI$4,OR(Tbl_ResidentData[[#This Row],[PRN Med Discontinued]]&gt;BI$4,ISBLANK(Tbl_ResidentData[[#This Row],[PRN Med Discontinued]])))</f>
        <v>0</v>
      </c>
      <c r="CH77" s="121" t="b">
        <f ca="1">AND(Tbl_ResidentData[[#This Row],[PRN Med Started]]&lt;&gt;"",Tbl_ResidentData[[#This Row],[PRN Med Started]]&lt;=NOW(),Tbl_ResidentData[[#This Row],[PRN Med Started]]&lt;=BJ$4,OR(Tbl_ResidentData[[#This Row],[PRN Med Discontinued]]&gt;BJ$4,ISBLANK(Tbl_ResidentData[[#This Row],[PRN Med Discontinued]])))</f>
        <v>0</v>
      </c>
      <c r="CI77" s="121" t="b">
        <f ca="1">AND(Tbl_ResidentData[[#This Row],[PRN Med Started]]&lt;&gt;"",Tbl_ResidentData[[#This Row],[PRN Med Started]]&lt;=NOW(),Tbl_ResidentData[[#This Row],[PRN Med Started]]&lt;=BK$4,OR(Tbl_ResidentData[[#This Row],[PRN Med Discontinued]]&gt;BK$4,ISBLANK(Tbl_ResidentData[[#This Row],[PRN Med Discontinued]])))</f>
        <v>0</v>
      </c>
      <c r="CJ77" s="121" t="b">
        <f ca="1">AND(Tbl_ResidentData[[#This Row],[PRN Med Started]]&lt;&gt;"",Tbl_ResidentData[[#This Row],[PRN Med Started]]&lt;=NOW(),Tbl_ResidentData[[#This Row],[PRN Med Started]]&lt;=BL$4,OR(Tbl_ResidentData[[#This Row],[PRN Med Discontinued]]&gt;BL$4,ISBLANK(Tbl_ResidentData[[#This Row],[PRN Med Discontinued]])))</f>
        <v>0</v>
      </c>
      <c r="CK77" s="121" t="b">
        <f ca="1">AND(Tbl_ResidentData[[#This Row],[PRN Med Started]]&lt;&gt;"",Tbl_ResidentData[[#This Row],[PRN Med Started]]&lt;=NOW(),Tbl_ResidentData[[#This Row],[PRN Med Started]]&lt;=BM$4,OR(Tbl_ResidentData[[#This Row],[PRN Med Discontinued]]&gt;BM$4,ISBLANK(Tbl_ResidentData[[#This Row],[PRN Med Discontinued]])))</f>
        <v>0</v>
      </c>
      <c r="CL77" s="121" t="b">
        <f ca="1">AND(Tbl_ResidentData[[#This Row],[PRN Med Started]]&lt;&gt;"",Tbl_ResidentData[[#This Row],[PRN Med Started]]&lt;=NOW(),Tbl_ResidentData[[#This Row],[PRN Med Started]]&lt;=BN$4,OR(Tbl_ResidentData[[#This Row],[PRN Med Discontinued]]&gt;BN$4,ISBLANK(Tbl_ResidentData[[#This Row],[PRN Med Discontinued]])))</f>
        <v>0</v>
      </c>
      <c r="CM77" s="121" t="b">
        <f ca="1">AND(Tbl_ResidentData[[#This Row],[PRN Med Started]]&lt;&gt;"",Tbl_ResidentData[[#This Row],[PRN Med Started]]&lt;=NOW(),Tbl_ResidentData[[#This Row],[PRN Med Started]]&lt;=BO$4,OR(Tbl_ResidentData[[#This Row],[PRN Med Discontinued]]&gt;BO$4,ISBLANK(Tbl_ResidentData[[#This Row],[PRN Med Discontinued]])))</f>
        <v>0</v>
      </c>
      <c r="CN77" s="122" t="b">
        <f ca="1">AND(Tbl_ResidentData[[#This Row],[PRN Med Started]]&lt;&gt;"",Tbl_ResidentData[[#This Row],[PRN Med Started]]&lt;=NOW(),Tbl_ResidentData[[#This Row],[PRN Med Started]]&lt;=BP$4,OR(Tbl_ResidentData[[#This Row],[PRN Med Discontinued]]&gt;BP$4,ISBLANK(Tbl_ResidentData[[#This Row],[PRN Med Discontinued]])))</f>
        <v>0</v>
      </c>
      <c r="CO77" s="120">
        <f ca="1">IF(OR(Tbl_ResidentData[[#This Row],[S1]]=TRUE,Tbl_ResidentData[[#This Row],[P1]]=TRUE),1,0)</f>
        <v>0</v>
      </c>
      <c r="CP77" s="121">
        <f ca="1">IF(OR(Tbl_ResidentData[[#This Row],[S2]]=TRUE,Tbl_ResidentData[[#This Row],[P2]]=TRUE),1,0)</f>
        <v>0</v>
      </c>
      <c r="CQ77" s="121">
        <f ca="1">IF(OR(Tbl_ResidentData[[#This Row],[S3]]=TRUE,Tbl_ResidentData[[#This Row],[P3]]=TRUE),1,0)</f>
        <v>0</v>
      </c>
      <c r="CR77" s="120">
        <f ca="1">IF(OR(Tbl_ResidentData[[#This Row],[S4]]=TRUE,Tbl_ResidentData[[#This Row],[P4]]=TRUE),1,0)</f>
        <v>0</v>
      </c>
      <c r="CS77" s="120">
        <f ca="1">IF(OR(Tbl_ResidentData[[#This Row],[S5]]=TRUE,Tbl_ResidentData[[#This Row],[P5]]=TRUE),1,0)</f>
        <v>0</v>
      </c>
      <c r="CT77" s="120">
        <f ca="1">IF(OR(Tbl_ResidentData[[#This Row],[S6]]=TRUE,Tbl_ResidentData[[#This Row],[P6]]=TRUE),1,0)</f>
        <v>0</v>
      </c>
      <c r="CU77" s="120">
        <f ca="1">IF(OR(Tbl_ResidentData[[#This Row],[S7]]=TRUE,Tbl_ResidentData[[#This Row],[P7]]=TRUE),1,0)</f>
        <v>0</v>
      </c>
      <c r="CV77" s="120">
        <f ca="1">IF(OR(Tbl_ResidentData[[#This Row],[S8]]=TRUE,Tbl_ResidentData[[#This Row],[P8]]=TRUE),1,0)</f>
        <v>0</v>
      </c>
      <c r="CW77" s="120">
        <f ca="1">IF(OR(Tbl_ResidentData[[#This Row],[S9]]=TRUE,Tbl_ResidentData[[#This Row],[P9]]=TRUE),1,0)</f>
        <v>0</v>
      </c>
      <c r="CX77" s="120">
        <f ca="1">IF(OR(Tbl_ResidentData[[#This Row],[S10]]=TRUE,Tbl_ResidentData[[#This Row],[P10]]=TRUE),1,0)</f>
        <v>0</v>
      </c>
      <c r="CY77" s="120">
        <f ca="1">IF(OR(Tbl_ResidentData[[#This Row],[S11]]=TRUE,Tbl_ResidentData[[#This Row],[P11]]=TRUE),1,0)</f>
        <v>0</v>
      </c>
      <c r="CZ77" s="120">
        <f ca="1">IF(OR(Tbl_ResidentData[[#This Row],[S12]]=TRUE,Tbl_ResidentData[[#This Row],[P12]]=TRUE),1,0)</f>
        <v>0</v>
      </c>
      <c r="DA77" s="120">
        <f ca="1">IF(OR(Tbl_ResidentData[[#This Row],[S13]]=TRUE,Tbl_ResidentData[[#This Row],[P13]]=TRUE),1,0)</f>
        <v>0</v>
      </c>
      <c r="DB77" s="120">
        <f ca="1">IF(OR(Tbl_ResidentData[[#This Row],[S14]]=TRUE,Tbl_ResidentData[[#This Row],[P14]]=TRUE),1,0)</f>
        <v>0</v>
      </c>
      <c r="DC77" s="120">
        <f ca="1">IF(OR(Tbl_ResidentData[[#This Row],[S15]]=TRUE,Tbl_ResidentData[[#This Row],[P15]]=TRUE),1,0)</f>
        <v>0</v>
      </c>
      <c r="DD77" s="120">
        <f ca="1">IF(OR(Tbl_ResidentData[[#This Row],[S16]]=TRUE,Tbl_ResidentData[[#This Row],[P16]]=TRUE),1,0)</f>
        <v>0</v>
      </c>
      <c r="DE77" s="120">
        <f ca="1">IF(OR(Tbl_ResidentData[[#This Row],[S17]]=TRUE,Tbl_ResidentData[[#This Row],[P17]]=TRUE),1,0)</f>
        <v>0</v>
      </c>
      <c r="DF77" s="120">
        <f ca="1">IF(OR(Tbl_ResidentData[[#This Row],[S18]]=TRUE,Tbl_ResidentData[[#This Row],[P18]]=TRUE),1,0)</f>
        <v>0</v>
      </c>
      <c r="DG77" s="120">
        <f ca="1">IF(OR(Tbl_ResidentData[[#This Row],[S19]]=TRUE,Tbl_ResidentData[[#This Row],[P19]]=TRUE),1,0)</f>
        <v>0</v>
      </c>
      <c r="DH77" s="120">
        <f ca="1">IF(OR(Tbl_ResidentData[[#This Row],[S20]]=TRUE,Tbl_ResidentData[[#This Row],[P20]]=TRUE),1,0)</f>
        <v>0</v>
      </c>
      <c r="DI77" s="120">
        <f ca="1">IF(OR(Tbl_ResidentData[[#This Row],[S21]]=TRUE,Tbl_ResidentData[[#This Row],[P21]]=TRUE),1,0)</f>
        <v>0</v>
      </c>
      <c r="DJ77" s="120">
        <f ca="1">IF(OR(Tbl_ResidentData[[#This Row],[S22]]=TRUE,Tbl_ResidentData[[#This Row],[P22]]=TRUE),1,0)</f>
        <v>0</v>
      </c>
      <c r="DK77" s="120">
        <f ca="1">IF(OR(Tbl_ResidentData[[#This Row],[S23]]=TRUE,Tbl_ResidentData[[#This Row],[P23]]=TRUE),1,0)</f>
        <v>0</v>
      </c>
      <c r="DL77" s="120">
        <f ca="1">IF(OR(Tbl_ResidentData[[#This Row],[S24]]=TRUE,Tbl_ResidentData[[#This Row],[P24]]=TRUE),1,0)</f>
        <v>0</v>
      </c>
      <c r="DM77" s="123" t="str">
        <f ca="1">IFERROR(INDEX($CO$4:$DL$4,MATCH(TRUE,INDEX((Tbl_ResidentData[[#This Row],[Over1]:[Over24]]&lt;&gt;0),0),0)),"")</f>
        <v/>
      </c>
      <c r="DN77" s="133" t="str">
        <f>IFERROR(INDEX(Tbl_PDSAData[Last DRT],MATCH(Tbl_ResidentData[Resident Name '[last, first']],Tbl_PDSAData[Resident Name (last, first)],0)),"")</f>
        <v/>
      </c>
      <c r="DO77" s="222" t="str">
        <f>IFERROR(INDEX(Tbl_PDSAData[Last MR],MATCH(Tbl_ResidentData[Resident Name '[last, first']],Tbl_PDSAData[Resident Name (last, first)],0)),"")</f>
        <v/>
      </c>
    </row>
    <row r="78" spans="1:119" x14ac:dyDescent="0.25">
      <c r="A78" s="179"/>
      <c r="B78" s="180"/>
      <c r="C78" s="180"/>
      <c r="D78" s="218"/>
      <c r="E78" s="179"/>
      <c r="F78" s="181"/>
      <c r="G78" s="181"/>
      <c r="H78" s="182"/>
      <c r="I78" s="185"/>
      <c r="J78" s="387"/>
      <c r="K78" s="178"/>
      <c r="L78" s="388"/>
      <c r="M78" s="185"/>
      <c r="N78" s="386"/>
      <c r="O78" s="178"/>
      <c r="P78" s="388"/>
      <c r="Q78" s="394"/>
      <c r="R78" s="388"/>
      <c r="S78" s="131" t="str">
        <f>IF(ISBLANK(Tbl_ResidentData[[#This Row],[Discharge '[mmm-yyyy']]]),IF(ISBLANK(Tbl_ResidentData[[#This Row],[Enrollment '[mmm-yyyy']]]),"","In Care Home"),"Discharged")</f>
        <v/>
      </c>
      <c r="T78" s="119" t="str">
        <f>IF(ISBLANK(Tbl_ResidentData[[#This Row],[Diagnosis (RAI)]]),IF(ISBLANK(Tbl_ResidentData[[#This Row],[Resident Name '[last, first']]]),"",0),IF(Tbl_ResidentData[[#This Row],[Diagnosis (RAI)]]="Other (see clinical notes)",0,1))</f>
        <v/>
      </c>
      <c r="U78" s="120" t="str">
        <f ca="1">IF(U$4&gt;NOW(),"-",IF(ISBLANK(Tbl_ResidentData[[#This Row],[Enrollment '[mmm-yyyy']]]),"-",AND((Tbl_ResidentData[[#This Row],[Enrollment '[mmm-yyyy']]]&lt;=U$4),IF(ISBLANK(Tbl_ResidentData[[#This Row],[Discharge '[mmm-yyyy']]]),TRUE,(Tbl_ResidentData[[#This Row],[Discharge '[mmm-yyyy']]]&gt;=U$4)))))</f>
        <v>-</v>
      </c>
      <c r="V78" s="121" t="str">
        <f ca="1">IF(V$4&gt;NOW(),"-",IF(ISBLANK(Tbl_ResidentData[[#This Row],[Enrollment '[mmm-yyyy']]]),"-",AND((Tbl_ResidentData[[#This Row],[Enrollment '[mmm-yyyy']]]&lt;=V$4),IF(ISBLANK(Tbl_ResidentData[[#This Row],[Discharge '[mmm-yyyy']]]),TRUE,(Tbl_ResidentData[[#This Row],[Discharge '[mmm-yyyy']]]&gt;=V$4)))))</f>
        <v>-</v>
      </c>
      <c r="W78" s="121" t="str">
        <f ca="1">IF(W$4&gt;NOW(),"-",IF(ISBLANK(Tbl_ResidentData[[#This Row],[Enrollment '[mmm-yyyy']]]),"-",AND((Tbl_ResidentData[[#This Row],[Enrollment '[mmm-yyyy']]]&lt;=W$4),IF(ISBLANK(Tbl_ResidentData[[#This Row],[Discharge '[mmm-yyyy']]]),TRUE,(Tbl_ResidentData[[#This Row],[Discharge '[mmm-yyyy']]]&gt;=W$4)))))</f>
        <v>-</v>
      </c>
      <c r="X78" s="121" t="str">
        <f ca="1">IF(X$4&gt;NOW(),"-",IF(ISBLANK(Tbl_ResidentData[[#This Row],[Enrollment '[mmm-yyyy']]]),"-",AND((Tbl_ResidentData[[#This Row],[Enrollment '[mmm-yyyy']]]&lt;=X$4),IF(ISBLANK(Tbl_ResidentData[[#This Row],[Discharge '[mmm-yyyy']]]),TRUE,(Tbl_ResidentData[[#This Row],[Discharge '[mmm-yyyy']]]&gt;=X$4)))))</f>
        <v>-</v>
      </c>
      <c r="Y78" s="121" t="str">
        <f ca="1">IF(Y$4&gt;NOW(),"-",IF(ISBLANK(Tbl_ResidentData[[#This Row],[Enrollment '[mmm-yyyy']]]),"-",AND((Tbl_ResidentData[[#This Row],[Enrollment '[mmm-yyyy']]]&lt;=Y$4),IF(ISBLANK(Tbl_ResidentData[[#This Row],[Discharge '[mmm-yyyy']]]),TRUE,(Tbl_ResidentData[[#This Row],[Discharge '[mmm-yyyy']]]&gt;=Y$4)))))</f>
        <v>-</v>
      </c>
      <c r="Z78" s="121" t="str">
        <f ca="1">IF(Z$4&gt;NOW(),"-",IF(ISBLANK(Tbl_ResidentData[[#This Row],[Enrollment '[mmm-yyyy']]]),"-",AND((Tbl_ResidentData[[#This Row],[Enrollment '[mmm-yyyy']]]&lt;=Z$4),IF(ISBLANK(Tbl_ResidentData[[#This Row],[Discharge '[mmm-yyyy']]]),TRUE,(Tbl_ResidentData[[#This Row],[Discharge '[mmm-yyyy']]]&gt;=Z$4)))))</f>
        <v>-</v>
      </c>
      <c r="AA78" s="121" t="str">
        <f ca="1">IF(AA$4&gt;NOW(),"-",IF(ISBLANK(Tbl_ResidentData[[#This Row],[Enrollment '[mmm-yyyy']]]),"-",AND((Tbl_ResidentData[[#This Row],[Enrollment '[mmm-yyyy']]]&lt;=AA$4),IF(ISBLANK(Tbl_ResidentData[[#This Row],[Discharge '[mmm-yyyy']]]),TRUE,(Tbl_ResidentData[[#This Row],[Discharge '[mmm-yyyy']]]&gt;=AA$4)))))</f>
        <v>-</v>
      </c>
      <c r="AB78" s="121" t="str">
        <f ca="1">IF(AB$4&gt;NOW(),"-",IF(ISBLANK(Tbl_ResidentData[[#This Row],[Enrollment '[mmm-yyyy']]]),"-",AND((Tbl_ResidentData[[#This Row],[Enrollment '[mmm-yyyy']]]&lt;=AB$4),IF(ISBLANK(Tbl_ResidentData[[#This Row],[Discharge '[mmm-yyyy']]]),TRUE,(Tbl_ResidentData[[#This Row],[Discharge '[mmm-yyyy']]]&gt;=AB$4)))))</f>
        <v>-</v>
      </c>
      <c r="AC78" s="121" t="str">
        <f ca="1">IF(AC$4&gt;NOW(),"-",IF(ISBLANK(Tbl_ResidentData[[#This Row],[Enrollment '[mmm-yyyy']]]),"-",AND((Tbl_ResidentData[[#This Row],[Enrollment '[mmm-yyyy']]]&lt;=AC$4),IF(ISBLANK(Tbl_ResidentData[[#This Row],[Discharge '[mmm-yyyy']]]),TRUE,(Tbl_ResidentData[[#This Row],[Discharge '[mmm-yyyy']]]&gt;=AC$4)))))</f>
        <v>-</v>
      </c>
      <c r="AD78" s="121" t="str">
        <f ca="1">IF(AD$4&gt;NOW(),"-",IF(ISBLANK(Tbl_ResidentData[[#This Row],[Enrollment '[mmm-yyyy']]]),"-",AND((Tbl_ResidentData[[#This Row],[Enrollment '[mmm-yyyy']]]&lt;=AD$4),IF(ISBLANK(Tbl_ResidentData[[#This Row],[Discharge '[mmm-yyyy']]]),TRUE,(Tbl_ResidentData[[#This Row],[Discharge '[mmm-yyyy']]]&gt;=AD$4)))))</f>
        <v>-</v>
      </c>
      <c r="AE78" s="121" t="str">
        <f ca="1">IF(AE$4&gt;NOW(),"-",IF(ISBLANK(Tbl_ResidentData[[#This Row],[Enrollment '[mmm-yyyy']]]),"-",AND((Tbl_ResidentData[[#This Row],[Enrollment '[mmm-yyyy']]]&lt;=AE$4),IF(ISBLANK(Tbl_ResidentData[[#This Row],[Discharge '[mmm-yyyy']]]),TRUE,(Tbl_ResidentData[[#This Row],[Discharge '[mmm-yyyy']]]&gt;=AE$4)))))</f>
        <v>-</v>
      </c>
      <c r="AF78" s="121" t="str">
        <f ca="1">IF(AF$4&gt;NOW(),"-",IF(ISBLANK(Tbl_ResidentData[[#This Row],[Enrollment '[mmm-yyyy']]]),"-",AND((Tbl_ResidentData[[#This Row],[Enrollment '[mmm-yyyy']]]&lt;=AF$4),IF(ISBLANK(Tbl_ResidentData[[#This Row],[Discharge '[mmm-yyyy']]]),TRUE,(Tbl_ResidentData[[#This Row],[Discharge '[mmm-yyyy']]]&gt;=AF$4)))))</f>
        <v>-</v>
      </c>
      <c r="AG78" s="121" t="str">
        <f ca="1">IF(AG$4&gt;NOW(),"-",IF(ISBLANK(Tbl_ResidentData[[#This Row],[Enrollment '[mmm-yyyy']]]),"-",AND((Tbl_ResidentData[[#This Row],[Enrollment '[mmm-yyyy']]]&lt;=AG$4),IF(ISBLANK(Tbl_ResidentData[[#This Row],[Discharge '[mmm-yyyy']]]),TRUE,(Tbl_ResidentData[[#This Row],[Discharge '[mmm-yyyy']]]&gt;=AG$4)))))</f>
        <v>-</v>
      </c>
      <c r="AH78" s="121" t="str">
        <f ca="1">IF(AH$4&gt;NOW(),"-",IF(ISBLANK(Tbl_ResidentData[[#This Row],[Enrollment '[mmm-yyyy']]]),"-",AND((Tbl_ResidentData[[#This Row],[Enrollment '[mmm-yyyy']]]&lt;=AH$4),IF(ISBLANK(Tbl_ResidentData[[#This Row],[Discharge '[mmm-yyyy']]]),TRUE,(Tbl_ResidentData[[#This Row],[Discharge '[mmm-yyyy']]]&gt;=AH$4)))))</f>
        <v>-</v>
      </c>
      <c r="AI78" s="121" t="str">
        <f ca="1">IF(AI$4&gt;NOW(),"-",IF(ISBLANK(Tbl_ResidentData[[#This Row],[Enrollment '[mmm-yyyy']]]),"-",AND((Tbl_ResidentData[[#This Row],[Enrollment '[mmm-yyyy']]]&lt;=AI$4),IF(ISBLANK(Tbl_ResidentData[[#This Row],[Discharge '[mmm-yyyy']]]),TRUE,(Tbl_ResidentData[[#This Row],[Discharge '[mmm-yyyy']]]&gt;=AI$4)))))</f>
        <v>-</v>
      </c>
      <c r="AJ78" s="121" t="str">
        <f ca="1">IF(AJ$4&gt;NOW(),"-",IF(ISBLANK(Tbl_ResidentData[[#This Row],[Enrollment '[mmm-yyyy']]]),"-",AND((Tbl_ResidentData[[#This Row],[Enrollment '[mmm-yyyy']]]&lt;=AJ$4),IF(ISBLANK(Tbl_ResidentData[[#This Row],[Discharge '[mmm-yyyy']]]),TRUE,(Tbl_ResidentData[[#This Row],[Discharge '[mmm-yyyy']]]&gt;=AJ$4)))))</f>
        <v>-</v>
      </c>
      <c r="AK78" s="121" t="str">
        <f ca="1">IF(AK$4&gt;NOW(),"-",IF(ISBLANK(Tbl_ResidentData[[#This Row],[Enrollment '[mmm-yyyy']]]),"-",AND((Tbl_ResidentData[[#This Row],[Enrollment '[mmm-yyyy']]]&lt;=AK$4),IF(ISBLANK(Tbl_ResidentData[[#This Row],[Discharge '[mmm-yyyy']]]),TRUE,(Tbl_ResidentData[[#This Row],[Discharge '[mmm-yyyy']]]&gt;=AK$4)))))</f>
        <v>-</v>
      </c>
      <c r="AL78" s="121" t="str">
        <f ca="1">IF(AL$4&gt;NOW(),"-",IF(ISBLANK(Tbl_ResidentData[[#This Row],[Enrollment '[mmm-yyyy']]]),"-",AND((Tbl_ResidentData[[#This Row],[Enrollment '[mmm-yyyy']]]&lt;=AL$4),IF(ISBLANK(Tbl_ResidentData[[#This Row],[Discharge '[mmm-yyyy']]]),TRUE,(Tbl_ResidentData[[#This Row],[Discharge '[mmm-yyyy']]]&gt;=AL$4)))))</f>
        <v>-</v>
      </c>
      <c r="AM78" s="121" t="str">
        <f ca="1">IF(AM$4&gt;NOW(),"-",IF(ISBLANK(Tbl_ResidentData[[#This Row],[Enrollment '[mmm-yyyy']]]),"-",AND((Tbl_ResidentData[[#This Row],[Enrollment '[mmm-yyyy']]]&lt;=AM$4),IF(ISBLANK(Tbl_ResidentData[[#This Row],[Discharge '[mmm-yyyy']]]),TRUE,(Tbl_ResidentData[[#This Row],[Discharge '[mmm-yyyy']]]&gt;=AM$4)))))</f>
        <v>-</v>
      </c>
      <c r="AN78" s="121" t="str">
        <f ca="1">IF(AN$4&gt;NOW(),"-",IF(ISBLANK(Tbl_ResidentData[[#This Row],[Enrollment '[mmm-yyyy']]]),"-",AND((Tbl_ResidentData[[#This Row],[Enrollment '[mmm-yyyy']]]&lt;=AN$4),IF(ISBLANK(Tbl_ResidentData[[#This Row],[Discharge '[mmm-yyyy']]]),TRUE,(Tbl_ResidentData[[#This Row],[Discharge '[mmm-yyyy']]]&gt;=AN$4)))))</f>
        <v>-</v>
      </c>
      <c r="AO78" s="121" t="str">
        <f ca="1">IF(AO$4&gt;NOW(),"-",IF(ISBLANK(Tbl_ResidentData[[#This Row],[Enrollment '[mmm-yyyy']]]),"-",AND((Tbl_ResidentData[[#This Row],[Enrollment '[mmm-yyyy']]]&lt;=AO$4),IF(ISBLANK(Tbl_ResidentData[[#This Row],[Discharge '[mmm-yyyy']]]),TRUE,(Tbl_ResidentData[[#This Row],[Discharge '[mmm-yyyy']]]&gt;=AO$4)))))</f>
        <v>-</v>
      </c>
      <c r="AP78" s="121" t="str">
        <f ca="1">IF(AP$4&gt;NOW(),"-",IF(ISBLANK(Tbl_ResidentData[[#This Row],[Enrollment '[mmm-yyyy']]]),"-",AND((Tbl_ResidentData[[#This Row],[Enrollment '[mmm-yyyy']]]&lt;=AP$4),IF(ISBLANK(Tbl_ResidentData[[#This Row],[Discharge '[mmm-yyyy']]]),TRUE,(Tbl_ResidentData[[#This Row],[Discharge '[mmm-yyyy']]]&gt;=AP$4)))))</f>
        <v>-</v>
      </c>
      <c r="AQ78" s="121" t="str">
        <f ca="1">IF(AQ$4&gt;NOW(),"-",IF(ISBLANK(Tbl_ResidentData[[#This Row],[Enrollment '[mmm-yyyy']]]),"-",AND((Tbl_ResidentData[[#This Row],[Enrollment '[mmm-yyyy']]]&lt;=AQ$4),IF(ISBLANK(Tbl_ResidentData[[#This Row],[Discharge '[mmm-yyyy']]]),TRUE,(Tbl_ResidentData[[#This Row],[Discharge '[mmm-yyyy']]]&gt;=AQ$4)))))</f>
        <v>-</v>
      </c>
      <c r="AR78" s="122" t="str">
        <f ca="1">IF(AR$4&gt;NOW(),"-",IF(ISBLANK(Tbl_ResidentData[[#This Row],[Enrollment '[mmm-yyyy']]]),"-",AND((Tbl_ResidentData[[#This Row],[Enrollment '[mmm-yyyy']]]&lt;=AR$4),IF(ISBLANK(Tbl_ResidentData[[#This Row],[Discharge '[mmm-yyyy']]]),TRUE,(Tbl_ResidentData[[#This Row],[Discharge '[mmm-yyyy']]]&gt;=AR$4)))))</f>
        <v>-</v>
      </c>
      <c r="AS7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8" s="120" t="b">
        <f ca="1">AND(Tbl_ResidentData[[#This Row],[PRN Med Started]]&lt;&gt;"",Tbl_ResidentData[[#This Row],[PRN Med Started]]&lt;=NOW(),Tbl_ResidentData[[#This Row],[PRN Med Started]]&lt;=AS$4,OR(Tbl_ResidentData[[#This Row],[PRN Med Discontinued]]&gt;AS$4,ISBLANK(Tbl_ResidentData[[#This Row],[PRN Med Discontinued]])))</f>
        <v>0</v>
      </c>
      <c r="BR78" s="121" t="b">
        <f ca="1">AND(Tbl_ResidentData[[#This Row],[PRN Med Started]]&lt;&gt;"",Tbl_ResidentData[[#This Row],[PRN Med Started]]&lt;=NOW(),Tbl_ResidentData[[#This Row],[PRN Med Started]]&lt;=AT$4,OR(Tbl_ResidentData[[#This Row],[PRN Med Discontinued]]&gt;AT$4,ISBLANK(Tbl_ResidentData[[#This Row],[PRN Med Discontinued]])))</f>
        <v>0</v>
      </c>
      <c r="BS78" s="121" t="b">
        <f ca="1">AND(Tbl_ResidentData[[#This Row],[PRN Med Started]]&lt;&gt;"",Tbl_ResidentData[[#This Row],[PRN Med Started]]&lt;=NOW(),Tbl_ResidentData[[#This Row],[PRN Med Started]]&lt;=AU$4,OR(Tbl_ResidentData[[#This Row],[PRN Med Discontinued]]&gt;AU$4,ISBLANK(Tbl_ResidentData[[#This Row],[PRN Med Discontinued]])))</f>
        <v>0</v>
      </c>
      <c r="BT78" s="121" t="b">
        <f ca="1">AND(Tbl_ResidentData[[#This Row],[PRN Med Started]]&lt;&gt;"",Tbl_ResidentData[[#This Row],[PRN Med Started]]&lt;=NOW(),Tbl_ResidentData[[#This Row],[PRN Med Started]]&lt;=AV$4,OR(Tbl_ResidentData[[#This Row],[PRN Med Discontinued]]&gt;AV$4,ISBLANK(Tbl_ResidentData[[#This Row],[PRN Med Discontinued]])))</f>
        <v>0</v>
      </c>
      <c r="BU78" s="121" t="b">
        <f ca="1">AND(Tbl_ResidentData[[#This Row],[PRN Med Started]]&lt;&gt;"",Tbl_ResidentData[[#This Row],[PRN Med Started]]&lt;=NOW(),Tbl_ResidentData[[#This Row],[PRN Med Started]]&lt;=AW$4,OR(Tbl_ResidentData[[#This Row],[PRN Med Discontinued]]&gt;AW$4,ISBLANK(Tbl_ResidentData[[#This Row],[PRN Med Discontinued]])))</f>
        <v>0</v>
      </c>
      <c r="BV78" s="121" t="b">
        <f ca="1">AND(Tbl_ResidentData[[#This Row],[PRN Med Started]]&lt;&gt;"",Tbl_ResidentData[[#This Row],[PRN Med Started]]&lt;=NOW(),Tbl_ResidentData[[#This Row],[PRN Med Started]]&lt;=AX$4,OR(Tbl_ResidentData[[#This Row],[PRN Med Discontinued]]&gt;AX$4,ISBLANK(Tbl_ResidentData[[#This Row],[PRN Med Discontinued]])))</f>
        <v>0</v>
      </c>
      <c r="BW78" s="121" t="b">
        <f ca="1">AND(Tbl_ResidentData[[#This Row],[PRN Med Started]]&lt;&gt;"",Tbl_ResidentData[[#This Row],[PRN Med Started]]&lt;=NOW(),Tbl_ResidentData[[#This Row],[PRN Med Started]]&lt;=AY$4,OR(Tbl_ResidentData[[#This Row],[PRN Med Discontinued]]&gt;AY$4,ISBLANK(Tbl_ResidentData[[#This Row],[PRN Med Discontinued]])))</f>
        <v>0</v>
      </c>
      <c r="BX78" s="121" t="b">
        <f ca="1">AND(Tbl_ResidentData[[#This Row],[PRN Med Started]]&lt;&gt;"",Tbl_ResidentData[[#This Row],[PRN Med Started]]&lt;=NOW(),Tbl_ResidentData[[#This Row],[PRN Med Started]]&lt;=AZ$4,OR(Tbl_ResidentData[[#This Row],[PRN Med Discontinued]]&gt;AZ$4,ISBLANK(Tbl_ResidentData[[#This Row],[PRN Med Discontinued]])))</f>
        <v>0</v>
      </c>
      <c r="BY78" s="121" t="b">
        <f ca="1">AND(Tbl_ResidentData[[#This Row],[PRN Med Started]]&lt;&gt;"",Tbl_ResidentData[[#This Row],[PRN Med Started]]&lt;=NOW(),Tbl_ResidentData[[#This Row],[PRN Med Started]]&lt;=BA$4,OR(Tbl_ResidentData[[#This Row],[PRN Med Discontinued]]&gt;BA$4,ISBLANK(Tbl_ResidentData[[#This Row],[PRN Med Discontinued]])))</f>
        <v>0</v>
      </c>
      <c r="BZ78" s="121" t="b">
        <f ca="1">AND(Tbl_ResidentData[[#This Row],[PRN Med Started]]&lt;&gt;"",Tbl_ResidentData[[#This Row],[PRN Med Started]]&lt;=NOW(),Tbl_ResidentData[[#This Row],[PRN Med Started]]&lt;=BB$4,OR(Tbl_ResidentData[[#This Row],[PRN Med Discontinued]]&gt;BB$4,ISBLANK(Tbl_ResidentData[[#This Row],[PRN Med Discontinued]])))</f>
        <v>0</v>
      </c>
      <c r="CA78" s="121" t="b">
        <f ca="1">AND(Tbl_ResidentData[[#This Row],[PRN Med Started]]&lt;&gt;"",Tbl_ResidentData[[#This Row],[PRN Med Started]]&lt;=NOW(),Tbl_ResidentData[[#This Row],[PRN Med Started]]&lt;=BC$4,OR(Tbl_ResidentData[[#This Row],[PRN Med Discontinued]]&gt;BC$4,ISBLANK(Tbl_ResidentData[[#This Row],[PRN Med Discontinued]])))</f>
        <v>0</v>
      </c>
      <c r="CB78" s="121" t="b">
        <f ca="1">AND(Tbl_ResidentData[[#This Row],[PRN Med Started]]&lt;&gt;"",Tbl_ResidentData[[#This Row],[PRN Med Started]]&lt;=NOW(),Tbl_ResidentData[[#This Row],[PRN Med Started]]&lt;=BD$4,OR(Tbl_ResidentData[[#This Row],[PRN Med Discontinued]]&gt;BD$4,ISBLANK(Tbl_ResidentData[[#This Row],[PRN Med Discontinued]])))</f>
        <v>0</v>
      </c>
      <c r="CC78" s="121" t="b">
        <f ca="1">AND(Tbl_ResidentData[[#This Row],[PRN Med Started]]&lt;&gt;"",Tbl_ResidentData[[#This Row],[PRN Med Started]]&lt;=NOW(),Tbl_ResidentData[[#This Row],[PRN Med Started]]&lt;=BE$4,OR(Tbl_ResidentData[[#This Row],[PRN Med Discontinued]]&gt;BE$4,ISBLANK(Tbl_ResidentData[[#This Row],[PRN Med Discontinued]])))</f>
        <v>0</v>
      </c>
      <c r="CD78" s="121" t="b">
        <f ca="1">AND(Tbl_ResidentData[[#This Row],[PRN Med Started]]&lt;&gt;"",Tbl_ResidentData[[#This Row],[PRN Med Started]]&lt;=NOW(),Tbl_ResidentData[[#This Row],[PRN Med Started]]&lt;=BF$4,OR(Tbl_ResidentData[[#This Row],[PRN Med Discontinued]]&gt;BF$4,ISBLANK(Tbl_ResidentData[[#This Row],[PRN Med Discontinued]])))</f>
        <v>0</v>
      </c>
      <c r="CE78" s="121" t="b">
        <f ca="1">AND(Tbl_ResidentData[[#This Row],[PRN Med Started]]&lt;&gt;"",Tbl_ResidentData[[#This Row],[PRN Med Started]]&lt;=NOW(),Tbl_ResidentData[[#This Row],[PRN Med Started]]&lt;=BG$4,OR(Tbl_ResidentData[[#This Row],[PRN Med Discontinued]]&gt;BG$4,ISBLANK(Tbl_ResidentData[[#This Row],[PRN Med Discontinued]])))</f>
        <v>0</v>
      </c>
      <c r="CF78" s="121" t="b">
        <f ca="1">AND(Tbl_ResidentData[[#This Row],[PRN Med Started]]&lt;&gt;"",Tbl_ResidentData[[#This Row],[PRN Med Started]]&lt;=NOW(),Tbl_ResidentData[[#This Row],[PRN Med Started]]&lt;=BH$4,OR(Tbl_ResidentData[[#This Row],[PRN Med Discontinued]]&gt;BH$4,ISBLANK(Tbl_ResidentData[[#This Row],[PRN Med Discontinued]])))</f>
        <v>0</v>
      </c>
      <c r="CG78" s="121" t="b">
        <f ca="1">AND(Tbl_ResidentData[[#This Row],[PRN Med Started]]&lt;&gt;"",Tbl_ResidentData[[#This Row],[PRN Med Started]]&lt;=NOW(),Tbl_ResidentData[[#This Row],[PRN Med Started]]&lt;=BI$4,OR(Tbl_ResidentData[[#This Row],[PRN Med Discontinued]]&gt;BI$4,ISBLANK(Tbl_ResidentData[[#This Row],[PRN Med Discontinued]])))</f>
        <v>0</v>
      </c>
      <c r="CH78" s="121" t="b">
        <f ca="1">AND(Tbl_ResidentData[[#This Row],[PRN Med Started]]&lt;&gt;"",Tbl_ResidentData[[#This Row],[PRN Med Started]]&lt;=NOW(),Tbl_ResidentData[[#This Row],[PRN Med Started]]&lt;=BJ$4,OR(Tbl_ResidentData[[#This Row],[PRN Med Discontinued]]&gt;BJ$4,ISBLANK(Tbl_ResidentData[[#This Row],[PRN Med Discontinued]])))</f>
        <v>0</v>
      </c>
      <c r="CI78" s="121" t="b">
        <f ca="1">AND(Tbl_ResidentData[[#This Row],[PRN Med Started]]&lt;&gt;"",Tbl_ResidentData[[#This Row],[PRN Med Started]]&lt;=NOW(),Tbl_ResidentData[[#This Row],[PRN Med Started]]&lt;=BK$4,OR(Tbl_ResidentData[[#This Row],[PRN Med Discontinued]]&gt;BK$4,ISBLANK(Tbl_ResidentData[[#This Row],[PRN Med Discontinued]])))</f>
        <v>0</v>
      </c>
      <c r="CJ78" s="121" t="b">
        <f ca="1">AND(Tbl_ResidentData[[#This Row],[PRN Med Started]]&lt;&gt;"",Tbl_ResidentData[[#This Row],[PRN Med Started]]&lt;=NOW(),Tbl_ResidentData[[#This Row],[PRN Med Started]]&lt;=BL$4,OR(Tbl_ResidentData[[#This Row],[PRN Med Discontinued]]&gt;BL$4,ISBLANK(Tbl_ResidentData[[#This Row],[PRN Med Discontinued]])))</f>
        <v>0</v>
      </c>
      <c r="CK78" s="121" t="b">
        <f ca="1">AND(Tbl_ResidentData[[#This Row],[PRN Med Started]]&lt;&gt;"",Tbl_ResidentData[[#This Row],[PRN Med Started]]&lt;=NOW(),Tbl_ResidentData[[#This Row],[PRN Med Started]]&lt;=BM$4,OR(Tbl_ResidentData[[#This Row],[PRN Med Discontinued]]&gt;BM$4,ISBLANK(Tbl_ResidentData[[#This Row],[PRN Med Discontinued]])))</f>
        <v>0</v>
      </c>
      <c r="CL78" s="121" t="b">
        <f ca="1">AND(Tbl_ResidentData[[#This Row],[PRN Med Started]]&lt;&gt;"",Tbl_ResidentData[[#This Row],[PRN Med Started]]&lt;=NOW(),Tbl_ResidentData[[#This Row],[PRN Med Started]]&lt;=BN$4,OR(Tbl_ResidentData[[#This Row],[PRN Med Discontinued]]&gt;BN$4,ISBLANK(Tbl_ResidentData[[#This Row],[PRN Med Discontinued]])))</f>
        <v>0</v>
      </c>
      <c r="CM78" s="121" t="b">
        <f ca="1">AND(Tbl_ResidentData[[#This Row],[PRN Med Started]]&lt;&gt;"",Tbl_ResidentData[[#This Row],[PRN Med Started]]&lt;=NOW(),Tbl_ResidentData[[#This Row],[PRN Med Started]]&lt;=BO$4,OR(Tbl_ResidentData[[#This Row],[PRN Med Discontinued]]&gt;BO$4,ISBLANK(Tbl_ResidentData[[#This Row],[PRN Med Discontinued]])))</f>
        <v>0</v>
      </c>
      <c r="CN78" s="122" t="b">
        <f ca="1">AND(Tbl_ResidentData[[#This Row],[PRN Med Started]]&lt;&gt;"",Tbl_ResidentData[[#This Row],[PRN Med Started]]&lt;=NOW(),Tbl_ResidentData[[#This Row],[PRN Med Started]]&lt;=BP$4,OR(Tbl_ResidentData[[#This Row],[PRN Med Discontinued]]&gt;BP$4,ISBLANK(Tbl_ResidentData[[#This Row],[PRN Med Discontinued]])))</f>
        <v>0</v>
      </c>
      <c r="CO78" s="120">
        <f ca="1">IF(OR(Tbl_ResidentData[[#This Row],[S1]]=TRUE,Tbl_ResidentData[[#This Row],[P1]]=TRUE),1,0)</f>
        <v>0</v>
      </c>
      <c r="CP78" s="121">
        <f ca="1">IF(OR(Tbl_ResidentData[[#This Row],[S2]]=TRUE,Tbl_ResidentData[[#This Row],[P2]]=TRUE),1,0)</f>
        <v>0</v>
      </c>
      <c r="CQ78" s="121">
        <f ca="1">IF(OR(Tbl_ResidentData[[#This Row],[S3]]=TRUE,Tbl_ResidentData[[#This Row],[P3]]=TRUE),1,0)</f>
        <v>0</v>
      </c>
      <c r="CR78" s="120">
        <f ca="1">IF(OR(Tbl_ResidentData[[#This Row],[S4]]=TRUE,Tbl_ResidentData[[#This Row],[P4]]=TRUE),1,0)</f>
        <v>0</v>
      </c>
      <c r="CS78" s="120">
        <f ca="1">IF(OR(Tbl_ResidentData[[#This Row],[S5]]=TRUE,Tbl_ResidentData[[#This Row],[P5]]=TRUE),1,0)</f>
        <v>0</v>
      </c>
      <c r="CT78" s="120">
        <f ca="1">IF(OR(Tbl_ResidentData[[#This Row],[S6]]=TRUE,Tbl_ResidentData[[#This Row],[P6]]=TRUE),1,0)</f>
        <v>0</v>
      </c>
      <c r="CU78" s="120">
        <f ca="1">IF(OR(Tbl_ResidentData[[#This Row],[S7]]=TRUE,Tbl_ResidentData[[#This Row],[P7]]=TRUE),1,0)</f>
        <v>0</v>
      </c>
      <c r="CV78" s="120">
        <f ca="1">IF(OR(Tbl_ResidentData[[#This Row],[S8]]=TRUE,Tbl_ResidentData[[#This Row],[P8]]=TRUE),1,0)</f>
        <v>0</v>
      </c>
      <c r="CW78" s="120">
        <f ca="1">IF(OR(Tbl_ResidentData[[#This Row],[S9]]=TRUE,Tbl_ResidentData[[#This Row],[P9]]=TRUE),1,0)</f>
        <v>0</v>
      </c>
      <c r="CX78" s="120">
        <f ca="1">IF(OR(Tbl_ResidentData[[#This Row],[S10]]=TRUE,Tbl_ResidentData[[#This Row],[P10]]=TRUE),1,0)</f>
        <v>0</v>
      </c>
      <c r="CY78" s="120">
        <f ca="1">IF(OR(Tbl_ResidentData[[#This Row],[S11]]=TRUE,Tbl_ResidentData[[#This Row],[P11]]=TRUE),1,0)</f>
        <v>0</v>
      </c>
      <c r="CZ78" s="120">
        <f ca="1">IF(OR(Tbl_ResidentData[[#This Row],[S12]]=TRUE,Tbl_ResidentData[[#This Row],[P12]]=TRUE),1,0)</f>
        <v>0</v>
      </c>
      <c r="DA78" s="120">
        <f ca="1">IF(OR(Tbl_ResidentData[[#This Row],[S13]]=TRUE,Tbl_ResidentData[[#This Row],[P13]]=TRUE),1,0)</f>
        <v>0</v>
      </c>
      <c r="DB78" s="120">
        <f ca="1">IF(OR(Tbl_ResidentData[[#This Row],[S14]]=TRUE,Tbl_ResidentData[[#This Row],[P14]]=TRUE),1,0)</f>
        <v>0</v>
      </c>
      <c r="DC78" s="120">
        <f ca="1">IF(OR(Tbl_ResidentData[[#This Row],[S15]]=TRUE,Tbl_ResidentData[[#This Row],[P15]]=TRUE),1,0)</f>
        <v>0</v>
      </c>
      <c r="DD78" s="120">
        <f ca="1">IF(OR(Tbl_ResidentData[[#This Row],[S16]]=TRUE,Tbl_ResidentData[[#This Row],[P16]]=TRUE),1,0)</f>
        <v>0</v>
      </c>
      <c r="DE78" s="120">
        <f ca="1">IF(OR(Tbl_ResidentData[[#This Row],[S17]]=TRUE,Tbl_ResidentData[[#This Row],[P17]]=TRUE),1,0)</f>
        <v>0</v>
      </c>
      <c r="DF78" s="120">
        <f ca="1">IF(OR(Tbl_ResidentData[[#This Row],[S18]]=TRUE,Tbl_ResidentData[[#This Row],[P18]]=TRUE),1,0)</f>
        <v>0</v>
      </c>
      <c r="DG78" s="120">
        <f ca="1">IF(OR(Tbl_ResidentData[[#This Row],[S19]]=TRUE,Tbl_ResidentData[[#This Row],[P19]]=TRUE),1,0)</f>
        <v>0</v>
      </c>
      <c r="DH78" s="120">
        <f ca="1">IF(OR(Tbl_ResidentData[[#This Row],[S20]]=TRUE,Tbl_ResidentData[[#This Row],[P20]]=TRUE),1,0)</f>
        <v>0</v>
      </c>
      <c r="DI78" s="120">
        <f ca="1">IF(OR(Tbl_ResidentData[[#This Row],[S21]]=TRUE,Tbl_ResidentData[[#This Row],[P21]]=TRUE),1,0)</f>
        <v>0</v>
      </c>
      <c r="DJ78" s="120">
        <f ca="1">IF(OR(Tbl_ResidentData[[#This Row],[S22]]=TRUE,Tbl_ResidentData[[#This Row],[P22]]=TRUE),1,0)</f>
        <v>0</v>
      </c>
      <c r="DK78" s="120">
        <f ca="1">IF(OR(Tbl_ResidentData[[#This Row],[S23]]=TRUE,Tbl_ResidentData[[#This Row],[P23]]=TRUE),1,0)</f>
        <v>0</v>
      </c>
      <c r="DL78" s="120">
        <f ca="1">IF(OR(Tbl_ResidentData[[#This Row],[S24]]=TRUE,Tbl_ResidentData[[#This Row],[P24]]=TRUE),1,0)</f>
        <v>0</v>
      </c>
      <c r="DM78" s="123" t="str">
        <f ca="1">IFERROR(INDEX($CO$4:$DL$4,MATCH(TRUE,INDEX((Tbl_ResidentData[[#This Row],[Over1]:[Over24]]&lt;&gt;0),0),0)),"")</f>
        <v/>
      </c>
      <c r="DN78" s="133" t="str">
        <f>IFERROR(INDEX(Tbl_PDSAData[Last DRT],MATCH(Tbl_ResidentData[Resident Name '[last, first']],Tbl_PDSAData[Resident Name (last, first)],0)),"")</f>
        <v/>
      </c>
      <c r="DO78" s="222" t="str">
        <f>IFERROR(INDEX(Tbl_PDSAData[Last MR],MATCH(Tbl_ResidentData[Resident Name '[last, first']],Tbl_PDSAData[Resident Name (last, first)],0)),"")</f>
        <v/>
      </c>
    </row>
    <row r="79" spans="1:119" x14ac:dyDescent="0.25">
      <c r="A79" s="179"/>
      <c r="B79" s="180"/>
      <c r="C79" s="180"/>
      <c r="D79" s="218"/>
      <c r="E79" s="179"/>
      <c r="F79" s="181"/>
      <c r="G79" s="181"/>
      <c r="H79" s="375"/>
      <c r="I79" s="185"/>
      <c r="J79" s="387"/>
      <c r="K79" s="178"/>
      <c r="L79" s="388"/>
      <c r="M79" s="185"/>
      <c r="N79" s="386"/>
      <c r="O79" s="178"/>
      <c r="P79" s="388"/>
      <c r="Q79" s="395"/>
      <c r="R79" s="396"/>
      <c r="S79" s="131" t="str">
        <f>IF(ISBLANK(Tbl_ResidentData[[#This Row],[Discharge '[mmm-yyyy']]]),IF(ISBLANK(Tbl_ResidentData[[#This Row],[Enrollment '[mmm-yyyy']]]),"","In Care Home"),"Discharged")</f>
        <v/>
      </c>
      <c r="T79" s="119" t="str">
        <f>IF(ISBLANK(Tbl_ResidentData[[#This Row],[Diagnosis (RAI)]]),IF(ISBLANK(Tbl_ResidentData[[#This Row],[Resident Name '[last, first']]]),"",0),IF(Tbl_ResidentData[[#This Row],[Diagnosis (RAI)]]="Other (see clinical notes)",0,1))</f>
        <v/>
      </c>
      <c r="U79" s="120" t="str">
        <f ca="1">IF(U$4&gt;NOW(),"-",IF(ISBLANK(Tbl_ResidentData[[#This Row],[Enrollment '[mmm-yyyy']]]),"-",AND((Tbl_ResidentData[[#This Row],[Enrollment '[mmm-yyyy']]]&lt;=U$4),IF(ISBLANK(Tbl_ResidentData[[#This Row],[Discharge '[mmm-yyyy']]]),TRUE,(Tbl_ResidentData[[#This Row],[Discharge '[mmm-yyyy']]]&gt;=U$4)))))</f>
        <v>-</v>
      </c>
      <c r="V79" s="121" t="str">
        <f ca="1">IF(V$4&gt;NOW(),"-",IF(ISBLANK(Tbl_ResidentData[[#This Row],[Enrollment '[mmm-yyyy']]]),"-",AND((Tbl_ResidentData[[#This Row],[Enrollment '[mmm-yyyy']]]&lt;=V$4),IF(ISBLANK(Tbl_ResidentData[[#This Row],[Discharge '[mmm-yyyy']]]),TRUE,(Tbl_ResidentData[[#This Row],[Discharge '[mmm-yyyy']]]&gt;=V$4)))))</f>
        <v>-</v>
      </c>
      <c r="W79" s="121" t="str">
        <f ca="1">IF(W$4&gt;NOW(),"-",IF(ISBLANK(Tbl_ResidentData[[#This Row],[Enrollment '[mmm-yyyy']]]),"-",AND((Tbl_ResidentData[[#This Row],[Enrollment '[mmm-yyyy']]]&lt;=W$4),IF(ISBLANK(Tbl_ResidentData[[#This Row],[Discharge '[mmm-yyyy']]]),TRUE,(Tbl_ResidentData[[#This Row],[Discharge '[mmm-yyyy']]]&gt;=W$4)))))</f>
        <v>-</v>
      </c>
      <c r="X79" s="121" t="str">
        <f ca="1">IF(X$4&gt;NOW(),"-",IF(ISBLANK(Tbl_ResidentData[[#This Row],[Enrollment '[mmm-yyyy']]]),"-",AND((Tbl_ResidentData[[#This Row],[Enrollment '[mmm-yyyy']]]&lt;=X$4),IF(ISBLANK(Tbl_ResidentData[[#This Row],[Discharge '[mmm-yyyy']]]),TRUE,(Tbl_ResidentData[[#This Row],[Discharge '[mmm-yyyy']]]&gt;=X$4)))))</f>
        <v>-</v>
      </c>
      <c r="Y79" s="121" t="str">
        <f ca="1">IF(Y$4&gt;NOW(),"-",IF(ISBLANK(Tbl_ResidentData[[#This Row],[Enrollment '[mmm-yyyy']]]),"-",AND((Tbl_ResidentData[[#This Row],[Enrollment '[mmm-yyyy']]]&lt;=Y$4),IF(ISBLANK(Tbl_ResidentData[[#This Row],[Discharge '[mmm-yyyy']]]),TRUE,(Tbl_ResidentData[[#This Row],[Discharge '[mmm-yyyy']]]&gt;=Y$4)))))</f>
        <v>-</v>
      </c>
      <c r="Z79" s="121" t="str">
        <f ca="1">IF(Z$4&gt;NOW(),"-",IF(ISBLANK(Tbl_ResidentData[[#This Row],[Enrollment '[mmm-yyyy']]]),"-",AND((Tbl_ResidentData[[#This Row],[Enrollment '[mmm-yyyy']]]&lt;=Z$4),IF(ISBLANK(Tbl_ResidentData[[#This Row],[Discharge '[mmm-yyyy']]]),TRUE,(Tbl_ResidentData[[#This Row],[Discharge '[mmm-yyyy']]]&gt;=Z$4)))))</f>
        <v>-</v>
      </c>
      <c r="AA79" s="121" t="str">
        <f ca="1">IF(AA$4&gt;NOW(),"-",IF(ISBLANK(Tbl_ResidentData[[#This Row],[Enrollment '[mmm-yyyy']]]),"-",AND((Tbl_ResidentData[[#This Row],[Enrollment '[mmm-yyyy']]]&lt;=AA$4),IF(ISBLANK(Tbl_ResidentData[[#This Row],[Discharge '[mmm-yyyy']]]),TRUE,(Tbl_ResidentData[[#This Row],[Discharge '[mmm-yyyy']]]&gt;=AA$4)))))</f>
        <v>-</v>
      </c>
      <c r="AB79" s="121" t="str">
        <f ca="1">IF(AB$4&gt;NOW(),"-",IF(ISBLANK(Tbl_ResidentData[[#This Row],[Enrollment '[mmm-yyyy']]]),"-",AND((Tbl_ResidentData[[#This Row],[Enrollment '[mmm-yyyy']]]&lt;=AB$4),IF(ISBLANK(Tbl_ResidentData[[#This Row],[Discharge '[mmm-yyyy']]]),TRUE,(Tbl_ResidentData[[#This Row],[Discharge '[mmm-yyyy']]]&gt;=AB$4)))))</f>
        <v>-</v>
      </c>
      <c r="AC79" s="121" t="str">
        <f ca="1">IF(AC$4&gt;NOW(),"-",IF(ISBLANK(Tbl_ResidentData[[#This Row],[Enrollment '[mmm-yyyy']]]),"-",AND((Tbl_ResidentData[[#This Row],[Enrollment '[mmm-yyyy']]]&lt;=AC$4),IF(ISBLANK(Tbl_ResidentData[[#This Row],[Discharge '[mmm-yyyy']]]),TRUE,(Tbl_ResidentData[[#This Row],[Discharge '[mmm-yyyy']]]&gt;=AC$4)))))</f>
        <v>-</v>
      </c>
      <c r="AD79" s="121" t="str">
        <f ca="1">IF(AD$4&gt;NOW(),"-",IF(ISBLANK(Tbl_ResidentData[[#This Row],[Enrollment '[mmm-yyyy']]]),"-",AND((Tbl_ResidentData[[#This Row],[Enrollment '[mmm-yyyy']]]&lt;=AD$4),IF(ISBLANK(Tbl_ResidentData[[#This Row],[Discharge '[mmm-yyyy']]]),TRUE,(Tbl_ResidentData[[#This Row],[Discharge '[mmm-yyyy']]]&gt;=AD$4)))))</f>
        <v>-</v>
      </c>
      <c r="AE79" s="121" t="str">
        <f ca="1">IF(AE$4&gt;NOW(),"-",IF(ISBLANK(Tbl_ResidentData[[#This Row],[Enrollment '[mmm-yyyy']]]),"-",AND((Tbl_ResidentData[[#This Row],[Enrollment '[mmm-yyyy']]]&lt;=AE$4),IF(ISBLANK(Tbl_ResidentData[[#This Row],[Discharge '[mmm-yyyy']]]),TRUE,(Tbl_ResidentData[[#This Row],[Discharge '[mmm-yyyy']]]&gt;=AE$4)))))</f>
        <v>-</v>
      </c>
      <c r="AF79" s="121" t="str">
        <f ca="1">IF(AF$4&gt;NOW(),"-",IF(ISBLANK(Tbl_ResidentData[[#This Row],[Enrollment '[mmm-yyyy']]]),"-",AND((Tbl_ResidentData[[#This Row],[Enrollment '[mmm-yyyy']]]&lt;=AF$4),IF(ISBLANK(Tbl_ResidentData[[#This Row],[Discharge '[mmm-yyyy']]]),TRUE,(Tbl_ResidentData[[#This Row],[Discharge '[mmm-yyyy']]]&gt;=AF$4)))))</f>
        <v>-</v>
      </c>
      <c r="AG79" s="121" t="str">
        <f ca="1">IF(AG$4&gt;NOW(),"-",IF(ISBLANK(Tbl_ResidentData[[#This Row],[Enrollment '[mmm-yyyy']]]),"-",AND((Tbl_ResidentData[[#This Row],[Enrollment '[mmm-yyyy']]]&lt;=AG$4),IF(ISBLANK(Tbl_ResidentData[[#This Row],[Discharge '[mmm-yyyy']]]),TRUE,(Tbl_ResidentData[[#This Row],[Discharge '[mmm-yyyy']]]&gt;=AG$4)))))</f>
        <v>-</v>
      </c>
      <c r="AH79" s="121" t="str">
        <f ca="1">IF(AH$4&gt;NOW(),"-",IF(ISBLANK(Tbl_ResidentData[[#This Row],[Enrollment '[mmm-yyyy']]]),"-",AND((Tbl_ResidentData[[#This Row],[Enrollment '[mmm-yyyy']]]&lt;=AH$4),IF(ISBLANK(Tbl_ResidentData[[#This Row],[Discharge '[mmm-yyyy']]]),TRUE,(Tbl_ResidentData[[#This Row],[Discharge '[mmm-yyyy']]]&gt;=AH$4)))))</f>
        <v>-</v>
      </c>
      <c r="AI79" s="121" t="str">
        <f ca="1">IF(AI$4&gt;NOW(),"-",IF(ISBLANK(Tbl_ResidentData[[#This Row],[Enrollment '[mmm-yyyy']]]),"-",AND((Tbl_ResidentData[[#This Row],[Enrollment '[mmm-yyyy']]]&lt;=AI$4),IF(ISBLANK(Tbl_ResidentData[[#This Row],[Discharge '[mmm-yyyy']]]),TRUE,(Tbl_ResidentData[[#This Row],[Discharge '[mmm-yyyy']]]&gt;=AI$4)))))</f>
        <v>-</v>
      </c>
      <c r="AJ79" s="121" t="str">
        <f ca="1">IF(AJ$4&gt;NOW(),"-",IF(ISBLANK(Tbl_ResidentData[[#This Row],[Enrollment '[mmm-yyyy']]]),"-",AND((Tbl_ResidentData[[#This Row],[Enrollment '[mmm-yyyy']]]&lt;=AJ$4),IF(ISBLANK(Tbl_ResidentData[[#This Row],[Discharge '[mmm-yyyy']]]),TRUE,(Tbl_ResidentData[[#This Row],[Discharge '[mmm-yyyy']]]&gt;=AJ$4)))))</f>
        <v>-</v>
      </c>
      <c r="AK79" s="121" t="str">
        <f ca="1">IF(AK$4&gt;NOW(),"-",IF(ISBLANK(Tbl_ResidentData[[#This Row],[Enrollment '[mmm-yyyy']]]),"-",AND((Tbl_ResidentData[[#This Row],[Enrollment '[mmm-yyyy']]]&lt;=AK$4),IF(ISBLANK(Tbl_ResidentData[[#This Row],[Discharge '[mmm-yyyy']]]),TRUE,(Tbl_ResidentData[[#This Row],[Discharge '[mmm-yyyy']]]&gt;=AK$4)))))</f>
        <v>-</v>
      </c>
      <c r="AL79" s="121" t="str">
        <f ca="1">IF(AL$4&gt;NOW(),"-",IF(ISBLANK(Tbl_ResidentData[[#This Row],[Enrollment '[mmm-yyyy']]]),"-",AND((Tbl_ResidentData[[#This Row],[Enrollment '[mmm-yyyy']]]&lt;=AL$4),IF(ISBLANK(Tbl_ResidentData[[#This Row],[Discharge '[mmm-yyyy']]]),TRUE,(Tbl_ResidentData[[#This Row],[Discharge '[mmm-yyyy']]]&gt;=AL$4)))))</f>
        <v>-</v>
      </c>
      <c r="AM79" s="121" t="str">
        <f ca="1">IF(AM$4&gt;NOW(),"-",IF(ISBLANK(Tbl_ResidentData[[#This Row],[Enrollment '[mmm-yyyy']]]),"-",AND((Tbl_ResidentData[[#This Row],[Enrollment '[mmm-yyyy']]]&lt;=AM$4),IF(ISBLANK(Tbl_ResidentData[[#This Row],[Discharge '[mmm-yyyy']]]),TRUE,(Tbl_ResidentData[[#This Row],[Discharge '[mmm-yyyy']]]&gt;=AM$4)))))</f>
        <v>-</v>
      </c>
      <c r="AN79" s="121" t="str">
        <f ca="1">IF(AN$4&gt;NOW(),"-",IF(ISBLANK(Tbl_ResidentData[[#This Row],[Enrollment '[mmm-yyyy']]]),"-",AND((Tbl_ResidentData[[#This Row],[Enrollment '[mmm-yyyy']]]&lt;=AN$4),IF(ISBLANK(Tbl_ResidentData[[#This Row],[Discharge '[mmm-yyyy']]]),TRUE,(Tbl_ResidentData[[#This Row],[Discharge '[mmm-yyyy']]]&gt;=AN$4)))))</f>
        <v>-</v>
      </c>
      <c r="AO79" s="121" t="str">
        <f ca="1">IF(AO$4&gt;NOW(),"-",IF(ISBLANK(Tbl_ResidentData[[#This Row],[Enrollment '[mmm-yyyy']]]),"-",AND((Tbl_ResidentData[[#This Row],[Enrollment '[mmm-yyyy']]]&lt;=AO$4),IF(ISBLANK(Tbl_ResidentData[[#This Row],[Discharge '[mmm-yyyy']]]),TRUE,(Tbl_ResidentData[[#This Row],[Discharge '[mmm-yyyy']]]&gt;=AO$4)))))</f>
        <v>-</v>
      </c>
      <c r="AP79" s="121" t="str">
        <f ca="1">IF(AP$4&gt;NOW(),"-",IF(ISBLANK(Tbl_ResidentData[[#This Row],[Enrollment '[mmm-yyyy']]]),"-",AND((Tbl_ResidentData[[#This Row],[Enrollment '[mmm-yyyy']]]&lt;=AP$4),IF(ISBLANK(Tbl_ResidentData[[#This Row],[Discharge '[mmm-yyyy']]]),TRUE,(Tbl_ResidentData[[#This Row],[Discharge '[mmm-yyyy']]]&gt;=AP$4)))))</f>
        <v>-</v>
      </c>
      <c r="AQ79" s="121" t="str">
        <f ca="1">IF(AQ$4&gt;NOW(),"-",IF(ISBLANK(Tbl_ResidentData[[#This Row],[Enrollment '[mmm-yyyy']]]),"-",AND((Tbl_ResidentData[[#This Row],[Enrollment '[mmm-yyyy']]]&lt;=AQ$4),IF(ISBLANK(Tbl_ResidentData[[#This Row],[Discharge '[mmm-yyyy']]]),TRUE,(Tbl_ResidentData[[#This Row],[Discharge '[mmm-yyyy']]]&gt;=AQ$4)))))</f>
        <v>-</v>
      </c>
      <c r="AR79" s="122" t="str">
        <f ca="1">IF(AR$4&gt;NOW(),"-",IF(ISBLANK(Tbl_ResidentData[[#This Row],[Enrollment '[mmm-yyyy']]]),"-",AND((Tbl_ResidentData[[#This Row],[Enrollment '[mmm-yyyy']]]&lt;=AR$4),IF(ISBLANK(Tbl_ResidentData[[#This Row],[Discharge '[mmm-yyyy']]]),TRUE,(Tbl_ResidentData[[#This Row],[Discharge '[mmm-yyyy']]]&gt;=AR$4)))))</f>
        <v>-</v>
      </c>
      <c r="AS7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9" s="120" t="b">
        <f ca="1">AND(Tbl_ResidentData[[#This Row],[PRN Med Started]]&lt;&gt;"",Tbl_ResidentData[[#This Row],[PRN Med Started]]&lt;=NOW(),Tbl_ResidentData[[#This Row],[PRN Med Started]]&lt;=AS$4,OR(Tbl_ResidentData[[#This Row],[PRN Med Discontinued]]&gt;AS$4,ISBLANK(Tbl_ResidentData[[#This Row],[PRN Med Discontinued]])))</f>
        <v>0</v>
      </c>
      <c r="BR79" s="121" t="b">
        <f ca="1">AND(Tbl_ResidentData[[#This Row],[PRN Med Started]]&lt;&gt;"",Tbl_ResidentData[[#This Row],[PRN Med Started]]&lt;=NOW(),Tbl_ResidentData[[#This Row],[PRN Med Started]]&lt;=AT$4,OR(Tbl_ResidentData[[#This Row],[PRN Med Discontinued]]&gt;AT$4,ISBLANK(Tbl_ResidentData[[#This Row],[PRN Med Discontinued]])))</f>
        <v>0</v>
      </c>
      <c r="BS79" s="121" t="b">
        <f ca="1">AND(Tbl_ResidentData[[#This Row],[PRN Med Started]]&lt;&gt;"",Tbl_ResidentData[[#This Row],[PRN Med Started]]&lt;=NOW(),Tbl_ResidentData[[#This Row],[PRN Med Started]]&lt;=AU$4,OR(Tbl_ResidentData[[#This Row],[PRN Med Discontinued]]&gt;AU$4,ISBLANK(Tbl_ResidentData[[#This Row],[PRN Med Discontinued]])))</f>
        <v>0</v>
      </c>
      <c r="BT79" s="121" t="b">
        <f ca="1">AND(Tbl_ResidentData[[#This Row],[PRN Med Started]]&lt;&gt;"",Tbl_ResidentData[[#This Row],[PRN Med Started]]&lt;=NOW(),Tbl_ResidentData[[#This Row],[PRN Med Started]]&lt;=AV$4,OR(Tbl_ResidentData[[#This Row],[PRN Med Discontinued]]&gt;AV$4,ISBLANK(Tbl_ResidentData[[#This Row],[PRN Med Discontinued]])))</f>
        <v>0</v>
      </c>
      <c r="BU79" s="121" t="b">
        <f ca="1">AND(Tbl_ResidentData[[#This Row],[PRN Med Started]]&lt;&gt;"",Tbl_ResidentData[[#This Row],[PRN Med Started]]&lt;=NOW(),Tbl_ResidentData[[#This Row],[PRN Med Started]]&lt;=AW$4,OR(Tbl_ResidentData[[#This Row],[PRN Med Discontinued]]&gt;AW$4,ISBLANK(Tbl_ResidentData[[#This Row],[PRN Med Discontinued]])))</f>
        <v>0</v>
      </c>
      <c r="BV79" s="121" t="b">
        <f ca="1">AND(Tbl_ResidentData[[#This Row],[PRN Med Started]]&lt;&gt;"",Tbl_ResidentData[[#This Row],[PRN Med Started]]&lt;=NOW(),Tbl_ResidentData[[#This Row],[PRN Med Started]]&lt;=AX$4,OR(Tbl_ResidentData[[#This Row],[PRN Med Discontinued]]&gt;AX$4,ISBLANK(Tbl_ResidentData[[#This Row],[PRN Med Discontinued]])))</f>
        <v>0</v>
      </c>
      <c r="BW79" s="121" t="b">
        <f ca="1">AND(Tbl_ResidentData[[#This Row],[PRN Med Started]]&lt;&gt;"",Tbl_ResidentData[[#This Row],[PRN Med Started]]&lt;=NOW(),Tbl_ResidentData[[#This Row],[PRN Med Started]]&lt;=AY$4,OR(Tbl_ResidentData[[#This Row],[PRN Med Discontinued]]&gt;AY$4,ISBLANK(Tbl_ResidentData[[#This Row],[PRN Med Discontinued]])))</f>
        <v>0</v>
      </c>
      <c r="BX79" s="121" t="b">
        <f ca="1">AND(Tbl_ResidentData[[#This Row],[PRN Med Started]]&lt;&gt;"",Tbl_ResidentData[[#This Row],[PRN Med Started]]&lt;=NOW(),Tbl_ResidentData[[#This Row],[PRN Med Started]]&lt;=AZ$4,OR(Tbl_ResidentData[[#This Row],[PRN Med Discontinued]]&gt;AZ$4,ISBLANK(Tbl_ResidentData[[#This Row],[PRN Med Discontinued]])))</f>
        <v>0</v>
      </c>
      <c r="BY79" s="121" t="b">
        <f ca="1">AND(Tbl_ResidentData[[#This Row],[PRN Med Started]]&lt;&gt;"",Tbl_ResidentData[[#This Row],[PRN Med Started]]&lt;=NOW(),Tbl_ResidentData[[#This Row],[PRN Med Started]]&lt;=BA$4,OR(Tbl_ResidentData[[#This Row],[PRN Med Discontinued]]&gt;BA$4,ISBLANK(Tbl_ResidentData[[#This Row],[PRN Med Discontinued]])))</f>
        <v>0</v>
      </c>
      <c r="BZ79" s="121" t="b">
        <f ca="1">AND(Tbl_ResidentData[[#This Row],[PRN Med Started]]&lt;&gt;"",Tbl_ResidentData[[#This Row],[PRN Med Started]]&lt;=NOW(),Tbl_ResidentData[[#This Row],[PRN Med Started]]&lt;=BB$4,OR(Tbl_ResidentData[[#This Row],[PRN Med Discontinued]]&gt;BB$4,ISBLANK(Tbl_ResidentData[[#This Row],[PRN Med Discontinued]])))</f>
        <v>0</v>
      </c>
      <c r="CA79" s="121" t="b">
        <f ca="1">AND(Tbl_ResidentData[[#This Row],[PRN Med Started]]&lt;&gt;"",Tbl_ResidentData[[#This Row],[PRN Med Started]]&lt;=NOW(),Tbl_ResidentData[[#This Row],[PRN Med Started]]&lt;=BC$4,OR(Tbl_ResidentData[[#This Row],[PRN Med Discontinued]]&gt;BC$4,ISBLANK(Tbl_ResidentData[[#This Row],[PRN Med Discontinued]])))</f>
        <v>0</v>
      </c>
      <c r="CB79" s="121" t="b">
        <f ca="1">AND(Tbl_ResidentData[[#This Row],[PRN Med Started]]&lt;&gt;"",Tbl_ResidentData[[#This Row],[PRN Med Started]]&lt;=NOW(),Tbl_ResidentData[[#This Row],[PRN Med Started]]&lt;=BD$4,OR(Tbl_ResidentData[[#This Row],[PRN Med Discontinued]]&gt;BD$4,ISBLANK(Tbl_ResidentData[[#This Row],[PRN Med Discontinued]])))</f>
        <v>0</v>
      </c>
      <c r="CC79" s="121" t="b">
        <f ca="1">AND(Tbl_ResidentData[[#This Row],[PRN Med Started]]&lt;&gt;"",Tbl_ResidentData[[#This Row],[PRN Med Started]]&lt;=NOW(),Tbl_ResidentData[[#This Row],[PRN Med Started]]&lt;=BE$4,OR(Tbl_ResidentData[[#This Row],[PRN Med Discontinued]]&gt;BE$4,ISBLANK(Tbl_ResidentData[[#This Row],[PRN Med Discontinued]])))</f>
        <v>0</v>
      </c>
      <c r="CD79" s="121" t="b">
        <f ca="1">AND(Tbl_ResidentData[[#This Row],[PRN Med Started]]&lt;&gt;"",Tbl_ResidentData[[#This Row],[PRN Med Started]]&lt;=NOW(),Tbl_ResidentData[[#This Row],[PRN Med Started]]&lt;=BF$4,OR(Tbl_ResidentData[[#This Row],[PRN Med Discontinued]]&gt;BF$4,ISBLANK(Tbl_ResidentData[[#This Row],[PRN Med Discontinued]])))</f>
        <v>0</v>
      </c>
      <c r="CE79" s="121" t="b">
        <f ca="1">AND(Tbl_ResidentData[[#This Row],[PRN Med Started]]&lt;&gt;"",Tbl_ResidentData[[#This Row],[PRN Med Started]]&lt;=NOW(),Tbl_ResidentData[[#This Row],[PRN Med Started]]&lt;=BG$4,OR(Tbl_ResidentData[[#This Row],[PRN Med Discontinued]]&gt;BG$4,ISBLANK(Tbl_ResidentData[[#This Row],[PRN Med Discontinued]])))</f>
        <v>0</v>
      </c>
      <c r="CF79" s="121" t="b">
        <f ca="1">AND(Tbl_ResidentData[[#This Row],[PRN Med Started]]&lt;&gt;"",Tbl_ResidentData[[#This Row],[PRN Med Started]]&lt;=NOW(),Tbl_ResidentData[[#This Row],[PRN Med Started]]&lt;=BH$4,OR(Tbl_ResidentData[[#This Row],[PRN Med Discontinued]]&gt;BH$4,ISBLANK(Tbl_ResidentData[[#This Row],[PRN Med Discontinued]])))</f>
        <v>0</v>
      </c>
      <c r="CG79" s="121" t="b">
        <f ca="1">AND(Tbl_ResidentData[[#This Row],[PRN Med Started]]&lt;&gt;"",Tbl_ResidentData[[#This Row],[PRN Med Started]]&lt;=NOW(),Tbl_ResidentData[[#This Row],[PRN Med Started]]&lt;=BI$4,OR(Tbl_ResidentData[[#This Row],[PRN Med Discontinued]]&gt;BI$4,ISBLANK(Tbl_ResidentData[[#This Row],[PRN Med Discontinued]])))</f>
        <v>0</v>
      </c>
      <c r="CH79" s="121" t="b">
        <f ca="1">AND(Tbl_ResidentData[[#This Row],[PRN Med Started]]&lt;&gt;"",Tbl_ResidentData[[#This Row],[PRN Med Started]]&lt;=NOW(),Tbl_ResidentData[[#This Row],[PRN Med Started]]&lt;=BJ$4,OR(Tbl_ResidentData[[#This Row],[PRN Med Discontinued]]&gt;BJ$4,ISBLANK(Tbl_ResidentData[[#This Row],[PRN Med Discontinued]])))</f>
        <v>0</v>
      </c>
      <c r="CI79" s="121" t="b">
        <f ca="1">AND(Tbl_ResidentData[[#This Row],[PRN Med Started]]&lt;&gt;"",Tbl_ResidentData[[#This Row],[PRN Med Started]]&lt;=NOW(),Tbl_ResidentData[[#This Row],[PRN Med Started]]&lt;=BK$4,OR(Tbl_ResidentData[[#This Row],[PRN Med Discontinued]]&gt;BK$4,ISBLANK(Tbl_ResidentData[[#This Row],[PRN Med Discontinued]])))</f>
        <v>0</v>
      </c>
      <c r="CJ79" s="121" t="b">
        <f ca="1">AND(Tbl_ResidentData[[#This Row],[PRN Med Started]]&lt;&gt;"",Tbl_ResidentData[[#This Row],[PRN Med Started]]&lt;=NOW(),Tbl_ResidentData[[#This Row],[PRN Med Started]]&lt;=BL$4,OR(Tbl_ResidentData[[#This Row],[PRN Med Discontinued]]&gt;BL$4,ISBLANK(Tbl_ResidentData[[#This Row],[PRN Med Discontinued]])))</f>
        <v>0</v>
      </c>
      <c r="CK79" s="121" t="b">
        <f ca="1">AND(Tbl_ResidentData[[#This Row],[PRN Med Started]]&lt;&gt;"",Tbl_ResidentData[[#This Row],[PRN Med Started]]&lt;=NOW(),Tbl_ResidentData[[#This Row],[PRN Med Started]]&lt;=BM$4,OR(Tbl_ResidentData[[#This Row],[PRN Med Discontinued]]&gt;BM$4,ISBLANK(Tbl_ResidentData[[#This Row],[PRN Med Discontinued]])))</f>
        <v>0</v>
      </c>
      <c r="CL79" s="121" t="b">
        <f ca="1">AND(Tbl_ResidentData[[#This Row],[PRN Med Started]]&lt;&gt;"",Tbl_ResidentData[[#This Row],[PRN Med Started]]&lt;=NOW(),Tbl_ResidentData[[#This Row],[PRN Med Started]]&lt;=BN$4,OR(Tbl_ResidentData[[#This Row],[PRN Med Discontinued]]&gt;BN$4,ISBLANK(Tbl_ResidentData[[#This Row],[PRN Med Discontinued]])))</f>
        <v>0</v>
      </c>
      <c r="CM79" s="121" t="b">
        <f ca="1">AND(Tbl_ResidentData[[#This Row],[PRN Med Started]]&lt;&gt;"",Tbl_ResidentData[[#This Row],[PRN Med Started]]&lt;=NOW(),Tbl_ResidentData[[#This Row],[PRN Med Started]]&lt;=BO$4,OR(Tbl_ResidentData[[#This Row],[PRN Med Discontinued]]&gt;BO$4,ISBLANK(Tbl_ResidentData[[#This Row],[PRN Med Discontinued]])))</f>
        <v>0</v>
      </c>
      <c r="CN79" s="122" t="b">
        <f ca="1">AND(Tbl_ResidentData[[#This Row],[PRN Med Started]]&lt;&gt;"",Tbl_ResidentData[[#This Row],[PRN Med Started]]&lt;=NOW(),Tbl_ResidentData[[#This Row],[PRN Med Started]]&lt;=BP$4,OR(Tbl_ResidentData[[#This Row],[PRN Med Discontinued]]&gt;BP$4,ISBLANK(Tbl_ResidentData[[#This Row],[PRN Med Discontinued]])))</f>
        <v>0</v>
      </c>
      <c r="CO79" s="120">
        <f ca="1">IF(OR(Tbl_ResidentData[[#This Row],[S1]]=TRUE,Tbl_ResidentData[[#This Row],[P1]]=TRUE),1,0)</f>
        <v>0</v>
      </c>
      <c r="CP79" s="121">
        <f ca="1">IF(OR(Tbl_ResidentData[[#This Row],[S2]]=TRUE,Tbl_ResidentData[[#This Row],[P2]]=TRUE),1,0)</f>
        <v>0</v>
      </c>
      <c r="CQ79" s="121">
        <f ca="1">IF(OR(Tbl_ResidentData[[#This Row],[S3]]=TRUE,Tbl_ResidentData[[#This Row],[P3]]=TRUE),1,0)</f>
        <v>0</v>
      </c>
      <c r="CR79" s="120">
        <f ca="1">IF(OR(Tbl_ResidentData[[#This Row],[S4]]=TRUE,Tbl_ResidentData[[#This Row],[P4]]=TRUE),1,0)</f>
        <v>0</v>
      </c>
      <c r="CS79" s="120">
        <f ca="1">IF(OR(Tbl_ResidentData[[#This Row],[S5]]=TRUE,Tbl_ResidentData[[#This Row],[P5]]=TRUE),1,0)</f>
        <v>0</v>
      </c>
      <c r="CT79" s="120">
        <f ca="1">IF(OR(Tbl_ResidentData[[#This Row],[S6]]=TRUE,Tbl_ResidentData[[#This Row],[P6]]=TRUE),1,0)</f>
        <v>0</v>
      </c>
      <c r="CU79" s="120">
        <f ca="1">IF(OR(Tbl_ResidentData[[#This Row],[S7]]=TRUE,Tbl_ResidentData[[#This Row],[P7]]=TRUE),1,0)</f>
        <v>0</v>
      </c>
      <c r="CV79" s="120">
        <f ca="1">IF(OR(Tbl_ResidentData[[#This Row],[S8]]=TRUE,Tbl_ResidentData[[#This Row],[P8]]=TRUE),1,0)</f>
        <v>0</v>
      </c>
      <c r="CW79" s="120">
        <f ca="1">IF(OR(Tbl_ResidentData[[#This Row],[S9]]=TRUE,Tbl_ResidentData[[#This Row],[P9]]=TRUE),1,0)</f>
        <v>0</v>
      </c>
      <c r="CX79" s="120">
        <f ca="1">IF(OR(Tbl_ResidentData[[#This Row],[S10]]=TRUE,Tbl_ResidentData[[#This Row],[P10]]=TRUE),1,0)</f>
        <v>0</v>
      </c>
      <c r="CY79" s="120">
        <f ca="1">IF(OR(Tbl_ResidentData[[#This Row],[S11]]=TRUE,Tbl_ResidentData[[#This Row],[P11]]=TRUE),1,0)</f>
        <v>0</v>
      </c>
      <c r="CZ79" s="120">
        <f ca="1">IF(OR(Tbl_ResidentData[[#This Row],[S12]]=TRUE,Tbl_ResidentData[[#This Row],[P12]]=TRUE),1,0)</f>
        <v>0</v>
      </c>
      <c r="DA79" s="120">
        <f ca="1">IF(OR(Tbl_ResidentData[[#This Row],[S13]]=TRUE,Tbl_ResidentData[[#This Row],[P13]]=TRUE),1,0)</f>
        <v>0</v>
      </c>
      <c r="DB79" s="120">
        <f ca="1">IF(OR(Tbl_ResidentData[[#This Row],[S14]]=TRUE,Tbl_ResidentData[[#This Row],[P14]]=TRUE),1,0)</f>
        <v>0</v>
      </c>
      <c r="DC79" s="120">
        <f ca="1">IF(OR(Tbl_ResidentData[[#This Row],[S15]]=TRUE,Tbl_ResidentData[[#This Row],[P15]]=TRUE),1,0)</f>
        <v>0</v>
      </c>
      <c r="DD79" s="120">
        <f ca="1">IF(OR(Tbl_ResidentData[[#This Row],[S16]]=TRUE,Tbl_ResidentData[[#This Row],[P16]]=TRUE),1,0)</f>
        <v>0</v>
      </c>
      <c r="DE79" s="120">
        <f ca="1">IF(OR(Tbl_ResidentData[[#This Row],[S17]]=TRUE,Tbl_ResidentData[[#This Row],[P17]]=TRUE),1,0)</f>
        <v>0</v>
      </c>
      <c r="DF79" s="120">
        <f ca="1">IF(OR(Tbl_ResidentData[[#This Row],[S18]]=TRUE,Tbl_ResidentData[[#This Row],[P18]]=TRUE),1,0)</f>
        <v>0</v>
      </c>
      <c r="DG79" s="120">
        <f ca="1">IF(OR(Tbl_ResidentData[[#This Row],[S19]]=TRUE,Tbl_ResidentData[[#This Row],[P19]]=TRUE),1,0)</f>
        <v>0</v>
      </c>
      <c r="DH79" s="120">
        <f ca="1">IF(OR(Tbl_ResidentData[[#This Row],[S20]]=TRUE,Tbl_ResidentData[[#This Row],[P20]]=TRUE),1,0)</f>
        <v>0</v>
      </c>
      <c r="DI79" s="120">
        <f ca="1">IF(OR(Tbl_ResidentData[[#This Row],[S21]]=TRUE,Tbl_ResidentData[[#This Row],[P21]]=TRUE),1,0)</f>
        <v>0</v>
      </c>
      <c r="DJ79" s="120">
        <f ca="1">IF(OR(Tbl_ResidentData[[#This Row],[S22]]=TRUE,Tbl_ResidentData[[#This Row],[P22]]=TRUE),1,0)</f>
        <v>0</v>
      </c>
      <c r="DK79" s="120">
        <f ca="1">IF(OR(Tbl_ResidentData[[#This Row],[S23]]=TRUE,Tbl_ResidentData[[#This Row],[P23]]=TRUE),1,0)</f>
        <v>0</v>
      </c>
      <c r="DL79" s="120">
        <f ca="1">IF(OR(Tbl_ResidentData[[#This Row],[S24]]=TRUE,Tbl_ResidentData[[#This Row],[P24]]=TRUE),1,0)</f>
        <v>0</v>
      </c>
      <c r="DM79" s="123" t="str">
        <f ca="1">IFERROR(INDEX($CO$4:$DL$4,MATCH(TRUE,INDEX((Tbl_ResidentData[[#This Row],[Over1]:[Over24]]&lt;&gt;0),0),0)),"")</f>
        <v/>
      </c>
      <c r="DN79" s="133" t="str">
        <f>IFERROR(INDEX(Tbl_PDSAData[Last DRT],MATCH(Tbl_ResidentData[Resident Name '[last, first']],Tbl_PDSAData[Resident Name (last, first)],0)),"")</f>
        <v/>
      </c>
      <c r="DO79" s="222" t="str">
        <f>IFERROR(INDEX(Tbl_PDSAData[Last MR],MATCH(Tbl_ResidentData[Resident Name '[last, first']],Tbl_PDSAData[Resident Name (last, first)],0)),"")</f>
        <v/>
      </c>
    </row>
    <row r="80" spans="1:119" x14ac:dyDescent="0.25">
      <c r="A80" s="179"/>
      <c r="B80" s="180"/>
      <c r="C80" s="180"/>
      <c r="D80" s="218"/>
      <c r="E80" s="179"/>
      <c r="F80" s="181"/>
      <c r="G80" s="181"/>
      <c r="H80" s="375"/>
      <c r="I80" s="185"/>
      <c r="J80" s="387"/>
      <c r="K80" s="178"/>
      <c r="L80" s="388"/>
      <c r="M80" s="185"/>
      <c r="N80" s="386"/>
      <c r="O80" s="178"/>
      <c r="P80" s="388"/>
      <c r="Q80" s="394"/>
      <c r="R80" s="388"/>
      <c r="S80" s="131" t="str">
        <f>IF(ISBLANK(Tbl_ResidentData[[#This Row],[Discharge '[mmm-yyyy']]]),IF(ISBLANK(Tbl_ResidentData[[#This Row],[Enrollment '[mmm-yyyy']]]),"","In Care Home"),"Discharged")</f>
        <v/>
      </c>
      <c r="T80" s="119" t="str">
        <f>IF(ISBLANK(Tbl_ResidentData[[#This Row],[Diagnosis (RAI)]]),IF(ISBLANK(Tbl_ResidentData[[#This Row],[Resident Name '[last, first']]]),"",0),IF(Tbl_ResidentData[[#This Row],[Diagnosis (RAI)]]="Other (see clinical notes)",0,1))</f>
        <v/>
      </c>
      <c r="U80" s="120" t="str">
        <f ca="1">IF(U$4&gt;NOW(),"-",IF(ISBLANK(Tbl_ResidentData[[#This Row],[Enrollment '[mmm-yyyy']]]),"-",AND((Tbl_ResidentData[[#This Row],[Enrollment '[mmm-yyyy']]]&lt;=U$4),IF(ISBLANK(Tbl_ResidentData[[#This Row],[Discharge '[mmm-yyyy']]]),TRUE,(Tbl_ResidentData[[#This Row],[Discharge '[mmm-yyyy']]]&gt;=U$4)))))</f>
        <v>-</v>
      </c>
      <c r="V80" s="121" t="str">
        <f ca="1">IF(V$4&gt;NOW(),"-",IF(ISBLANK(Tbl_ResidentData[[#This Row],[Enrollment '[mmm-yyyy']]]),"-",AND((Tbl_ResidentData[[#This Row],[Enrollment '[mmm-yyyy']]]&lt;=V$4),IF(ISBLANK(Tbl_ResidentData[[#This Row],[Discharge '[mmm-yyyy']]]),TRUE,(Tbl_ResidentData[[#This Row],[Discharge '[mmm-yyyy']]]&gt;=V$4)))))</f>
        <v>-</v>
      </c>
      <c r="W80" s="121" t="str">
        <f ca="1">IF(W$4&gt;NOW(),"-",IF(ISBLANK(Tbl_ResidentData[[#This Row],[Enrollment '[mmm-yyyy']]]),"-",AND((Tbl_ResidentData[[#This Row],[Enrollment '[mmm-yyyy']]]&lt;=W$4),IF(ISBLANK(Tbl_ResidentData[[#This Row],[Discharge '[mmm-yyyy']]]),TRUE,(Tbl_ResidentData[[#This Row],[Discharge '[mmm-yyyy']]]&gt;=W$4)))))</f>
        <v>-</v>
      </c>
      <c r="X80" s="121" t="str">
        <f ca="1">IF(X$4&gt;NOW(),"-",IF(ISBLANK(Tbl_ResidentData[[#This Row],[Enrollment '[mmm-yyyy']]]),"-",AND((Tbl_ResidentData[[#This Row],[Enrollment '[mmm-yyyy']]]&lt;=X$4),IF(ISBLANK(Tbl_ResidentData[[#This Row],[Discharge '[mmm-yyyy']]]),TRUE,(Tbl_ResidentData[[#This Row],[Discharge '[mmm-yyyy']]]&gt;=X$4)))))</f>
        <v>-</v>
      </c>
      <c r="Y80" s="121" t="str">
        <f ca="1">IF(Y$4&gt;NOW(),"-",IF(ISBLANK(Tbl_ResidentData[[#This Row],[Enrollment '[mmm-yyyy']]]),"-",AND((Tbl_ResidentData[[#This Row],[Enrollment '[mmm-yyyy']]]&lt;=Y$4),IF(ISBLANK(Tbl_ResidentData[[#This Row],[Discharge '[mmm-yyyy']]]),TRUE,(Tbl_ResidentData[[#This Row],[Discharge '[mmm-yyyy']]]&gt;=Y$4)))))</f>
        <v>-</v>
      </c>
      <c r="Z80" s="121" t="str">
        <f ca="1">IF(Z$4&gt;NOW(),"-",IF(ISBLANK(Tbl_ResidentData[[#This Row],[Enrollment '[mmm-yyyy']]]),"-",AND((Tbl_ResidentData[[#This Row],[Enrollment '[mmm-yyyy']]]&lt;=Z$4),IF(ISBLANK(Tbl_ResidentData[[#This Row],[Discharge '[mmm-yyyy']]]),TRUE,(Tbl_ResidentData[[#This Row],[Discharge '[mmm-yyyy']]]&gt;=Z$4)))))</f>
        <v>-</v>
      </c>
      <c r="AA80" s="121" t="str">
        <f ca="1">IF(AA$4&gt;NOW(),"-",IF(ISBLANK(Tbl_ResidentData[[#This Row],[Enrollment '[mmm-yyyy']]]),"-",AND((Tbl_ResidentData[[#This Row],[Enrollment '[mmm-yyyy']]]&lt;=AA$4),IF(ISBLANK(Tbl_ResidentData[[#This Row],[Discharge '[mmm-yyyy']]]),TRUE,(Tbl_ResidentData[[#This Row],[Discharge '[mmm-yyyy']]]&gt;=AA$4)))))</f>
        <v>-</v>
      </c>
      <c r="AB80" s="121" t="str">
        <f ca="1">IF(AB$4&gt;NOW(),"-",IF(ISBLANK(Tbl_ResidentData[[#This Row],[Enrollment '[mmm-yyyy']]]),"-",AND((Tbl_ResidentData[[#This Row],[Enrollment '[mmm-yyyy']]]&lt;=AB$4),IF(ISBLANK(Tbl_ResidentData[[#This Row],[Discharge '[mmm-yyyy']]]),TRUE,(Tbl_ResidentData[[#This Row],[Discharge '[mmm-yyyy']]]&gt;=AB$4)))))</f>
        <v>-</v>
      </c>
      <c r="AC80" s="121" t="str">
        <f ca="1">IF(AC$4&gt;NOW(),"-",IF(ISBLANK(Tbl_ResidentData[[#This Row],[Enrollment '[mmm-yyyy']]]),"-",AND((Tbl_ResidentData[[#This Row],[Enrollment '[mmm-yyyy']]]&lt;=AC$4),IF(ISBLANK(Tbl_ResidentData[[#This Row],[Discharge '[mmm-yyyy']]]),TRUE,(Tbl_ResidentData[[#This Row],[Discharge '[mmm-yyyy']]]&gt;=AC$4)))))</f>
        <v>-</v>
      </c>
      <c r="AD80" s="121" t="str">
        <f ca="1">IF(AD$4&gt;NOW(),"-",IF(ISBLANK(Tbl_ResidentData[[#This Row],[Enrollment '[mmm-yyyy']]]),"-",AND((Tbl_ResidentData[[#This Row],[Enrollment '[mmm-yyyy']]]&lt;=AD$4),IF(ISBLANK(Tbl_ResidentData[[#This Row],[Discharge '[mmm-yyyy']]]),TRUE,(Tbl_ResidentData[[#This Row],[Discharge '[mmm-yyyy']]]&gt;=AD$4)))))</f>
        <v>-</v>
      </c>
      <c r="AE80" s="121" t="str">
        <f ca="1">IF(AE$4&gt;NOW(),"-",IF(ISBLANK(Tbl_ResidentData[[#This Row],[Enrollment '[mmm-yyyy']]]),"-",AND((Tbl_ResidentData[[#This Row],[Enrollment '[mmm-yyyy']]]&lt;=AE$4),IF(ISBLANK(Tbl_ResidentData[[#This Row],[Discharge '[mmm-yyyy']]]),TRUE,(Tbl_ResidentData[[#This Row],[Discharge '[mmm-yyyy']]]&gt;=AE$4)))))</f>
        <v>-</v>
      </c>
      <c r="AF80" s="121" t="str">
        <f ca="1">IF(AF$4&gt;NOW(),"-",IF(ISBLANK(Tbl_ResidentData[[#This Row],[Enrollment '[mmm-yyyy']]]),"-",AND((Tbl_ResidentData[[#This Row],[Enrollment '[mmm-yyyy']]]&lt;=AF$4),IF(ISBLANK(Tbl_ResidentData[[#This Row],[Discharge '[mmm-yyyy']]]),TRUE,(Tbl_ResidentData[[#This Row],[Discharge '[mmm-yyyy']]]&gt;=AF$4)))))</f>
        <v>-</v>
      </c>
      <c r="AG80" s="121" t="str">
        <f ca="1">IF(AG$4&gt;NOW(),"-",IF(ISBLANK(Tbl_ResidentData[[#This Row],[Enrollment '[mmm-yyyy']]]),"-",AND((Tbl_ResidentData[[#This Row],[Enrollment '[mmm-yyyy']]]&lt;=AG$4),IF(ISBLANK(Tbl_ResidentData[[#This Row],[Discharge '[mmm-yyyy']]]),TRUE,(Tbl_ResidentData[[#This Row],[Discharge '[mmm-yyyy']]]&gt;=AG$4)))))</f>
        <v>-</v>
      </c>
      <c r="AH80" s="121" t="str">
        <f ca="1">IF(AH$4&gt;NOW(),"-",IF(ISBLANK(Tbl_ResidentData[[#This Row],[Enrollment '[mmm-yyyy']]]),"-",AND((Tbl_ResidentData[[#This Row],[Enrollment '[mmm-yyyy']]]&lt;=AH$4),IF(ISBLANK(Tbl_ResidentData[[#This Row],[Discharge '[mmm-yyyy']]]),TRUE,(Tbl_ResidentData[[#This Row],[Discharge '[mmm-yyyy']]]&gt;=AH$4)))))</f>
        <v>-</v>
      </c>
      <c r="AI80" s="121" t="str">
        <f ca="1">IF(AI$4&gt;NOW(),"-",IF(ISBLANK(Tbl_ResidentData[[#This Row],[Enrollment '[mmm-yyyy']]]),"-",AND((Tbl_ResidentData[[#This Row],[Enrollment '[mmm-yyyy']]]&lt;=AI$4),IF(ISBLANK(Tbl_ResidentData[[#This Row],[Discharge '[mmm-yyyy']]]),TRUE,(Tbl_ResidentData[[#This Row],[Discharge '[mmm-yyyy']]]&gt;=AI$4)))))</f>
        <v>-</v>
      </c>
      <c r="AJ80" s="121" t="str">
        <f ca="1">IF(AJ$4&gt;NOW(),"-",IF(ISBLANK(Tbl_ResidentData[[#This Row],[Enrollment '[mmm-yyyy']]]),"-",AND((Tbl_ResidentData[[#This Row],[Enrollment '[mmm-yyyy']]]&lt;=AJ$4),IF(ISBLANK(Tbl_ResidentData[[#This Row],[Discharge '[mmm-yyyy']]]),TRUE,(Tbl_ResidentData[[#This Row],[Discharge '[mmm-yyyy']]]&gt;=AJ$4)))))</f>
        <v>-</v>
      </c>
      <c r="AK80" s="121" t="str">
        <f ca="1">IF(AK$4&gt;NOW(),"-",IF(ISBLANK(Tbl_ResidentData[[#This Row],[Enrollment '[mmm-yyyy']]]),"-",AND((Tbl_ResidentData[[#This Row],[Enrollment '[mmm-yyyy']]]&lt;=AK$4),IF(ISBLANK(Tbl_ResidentData[[#This Row],[Discharge '[mmm-yyyy']]]),TRUE,(Tbl_ResidentData[[#This Row],[Discharge '[mmm-yyyy']]]&gt;=AK$4)))))</f>
        <v>-</v>
      </c>
      <c r="AL80" s="121" t="str">
        <f ca="1">IF(AL$4&gt;NOW(),"-",IF(ISBLANK(Tbl_ResidentData[[#This Row],[Enrollment '[mmm-yyyy']]]),"-",AND((Tbl_ResidentData[[#This Row],[Enrollment '[mmm-yyyy']]]&lt;=AL$4),IF(ISBLANK(Tbl_ResidentData[[#This Row],[Discharge '[mmm-yyyy']]]),TRUE,(Tbl_ResidentData[[#This Row],[Discharge '[mmm-yyyy']]]&gt;=AL$4)))))</f>
        <v>-</v>
      </c>
      <c r="AM80" s="121" t="str">
        <f ca="1">IF(AM$4&gt;NOW(),"-",IF(ISBLANK(Tbl_ResidentData[[#This Row],[Enrollment '[mmm-yyyy']]]),"-",AND((Tbl_ResidentData[[#This Row],[Enrollment '[mmm-yyyy']]]&lt;=AM$4),IF(ISBLANK(Tbl_ResidentData[[#This Row],[Discharge '[mmm-yyyy']]]),TRUE,(Tbl_ResidentData[[#This Row],[Discharge '[mmm-yyyy']]]&gt;=AM$4)))))</f>
        <v>-</v>
      </c>
      <c r="AN80" s="121" t="str">
        <f ca="1">IF(AN$4&gt;NOW(),"-",IF(ISBLANK(Tbl_ResidentData[[#This Row],[Enrollment '[mmm-yyyy']]]),"-",AND((Tbl_ResidentData[[#This Row],[Enrollment '[mmm-yyyy']]]&lt;=AN$4),IF(ISBLANK(Tbl_ResidentData[[#This Row],[Discharge '[mmm-yyyy']]]),TRUE,(Tbl_ResidentData[[#This Row],[Discharge '[mmm-yyyy']]]&gt;=AN$4)))))</f>
        <v>-</v>
      </c>
      <c r="AO80" s="121" t="str">
        <f ca="1">IF(AO$4&gt;NOW(),"-",IF(ISBLANK(Tbl_ResidentData[[#This Row],[Enrollment '[mmm-yyyy']]]),"-",AND((Tbl_ResidentData[[#This Row],[Enrollment '[mmm-yyyy']]]&lt;=AO$4),IF(ISBLANK(Tbl_ResidentData[[#This Row],[Discharge '[mmm-yyyy']]]),TRUE,(Tbl_ResidentData[[#This Row],[Discharge '[mmm-yyyy']]]&gt;=AO$4)))))</f>
        <v>-</v>
      </c>
      <c r="AP80" s="121" t="str">
        <f ca="1">IF(AP$4&gt;NOW(),"-",IF(ISBLANK(Tbl_ResidentData[[#This Row],[Enrollment '[mmm-yyyy']]]),"-",AND((Tbl_ResidentData[[#This Row],[Enrollment '[mmm-yyyy']]]&lt;=AP$4),IF(ISBLANK(Tbl_ResidentData[[#This Row],[Discharge '[mmm-yyyy']]]),TRUE,(Tbl_ResidentData[[#This Row],[Discharge '[mmm-yyyy']]]&gt;=AP$4)))))</f>
        <v>-</v>
      </c>
      <c r="AQ80" s="121" t="str">
        <f ca="1">IF(AQ$4&gt;NOW(),"-",IF(ISBLANK(Tbl_ResidentData[[#This Row],[Enrollment '[mmm-yyyy']]]),"-",AND((Tbl_ResidentData[[#This Row],[Enrollment '[mmm-yyyy']]]&lt;=AQ$4),IF(ISBLANK(Tbl_ResidentData[[#This Row],[Discharge '[mmm-yyyy']]]),TRUE,(Tbl_ResidentData[[#This Row],[Discharge '[mmm-yyyy']]]&gt;=AQ$4)))))</f>
        <v>-</v>
      </c>
      <c r="AR80" s="122" t="str">
        <f ca="1">IF(AR$4&gt;NOW(),"-",IF(ISBLANK(Tbl_ResidentData[[#This Row],[Enrollment '[mmm-yyyy']]]),"-",AND((Tbl_ResidentData[[#This Row],[Enrollment '[mmm-yyyy']]]&lt;=AR$4),IF(ISBLANK(Tbl_ResidentData[[#This Row],[Discharge '[mmm-yyyy']]]),TRUE,(Tbl_ResidentData[[#This Row],[Discharge '[mmm-yyyy']]]&gt;=AR$4)))))</f>
        <v>-</v>
      </c>
      <c r="AS8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0" s="120" t="b">
        <f ca="1">AND(Tbl_ResidentData[[#This Row],[PRN Med Started]]&lt;&gt;"",Tbl_ResidentData[[#This Row],[PRN Med Started]]&lt;=NOW(),Tbl_ResidentData[[#This Row],[PRN Med Started]]&lt;=AS$4,OR(Tbl_ResidentData[[#This Row],[PRN Med Discontinued]]&gt;AS$4,ISBLANK(Tbl_ResidentData[[#This Row],[PRN Med Discontinued]])))</f>
        <v>0</v>
      </c>
      <c r="BR80" s="121" t="b">
        <f ca="1">AND(Tbl_ResidentData[[#This Row],[PRN Med Started]]&lt;&gt;"",Tbl_ResidentData[[#This Row],[PRN Med Started]]&lt;=NOW(),Tbl_ResidentData[[#This Row],[PRN Med Started]]&lt;=AT$4,OR(Tbl_ResidentData[[#This Row],[PRN Med Discontinued]]&gt;AT$4,ISBLANK(Tbl_ResidentData[[#This Row],[PRN Med Discontinued]])))</f>
        <v>0</v>
      </c>
      <c r="BS80" s="121" t="b">
        <f ca="1">AND(Tbl_ResidentData[[#This Row],[PRN Med Started]]&lt;&gt;"",Tbl_ResidentData[[#This Row],[PRN Med Started]]&lt;=NOW(),Tbl_ResidentData[[#This Row],[PRN Med Started]]&lt;=AU$4,OR(Tbl_ResidentData[[#This Row],[PRN Med Discontinued]]&gt;AU$4,ISBLANK(Tbl_ResidentData[[#This Row],[PRN Med Discontinued]])))</f>
        <v>0</v>
      </c>
      <c r="BT80" s="121" t="b">
        <f ca="1">AND(Tbl_ResidentData[[#This Row],[PRN Med Started]]&lt;&gt;"",Tbl_ResidentData[[#This Row],[PRN Med Started]]&lt;=NOW(),Tbl_ResidentData[[#This Row],[PRN Med Started]]&lt;=AV$4,OR(Tbl_ResidentData[[#This Row],[PRN Med Discontinued]]&gt;AV$4,ISBLANK(Tbl_ResidentData[[#This Row],[PRN Med Discontinued]])))</f>
        <v>0</v>
      </c>
      <c r="BU80" s="121" t="b">
        <f ca="1">AND(Tbl_ResidentData[[#This Row],[PRN Med Started]]&lt;&gt;"",Tbl_ResidentData[[#This Row],[PRN Med Started]]&lt;=NOW(),Tbl_ResidentData[[#This Row],[PRN Med Started]]&lt;=AW$4,OR(Tbl_ResidentData[[#This Row],[PRN Med Discontinued]]&gt;AW$4,ISBLANK(Tbl_ResidentData[[#This Row],[PRN Med Discontinued]])))</f>
        <v>0</v>
      </c>
      <c r="BV80" s="121" t="b">
        <f ca="1">AND(Tbl_ResidentData[[#This Row],[PRN Med Started]]&lt;&gt;"",Tbl_ResidentData[[#This Row],[PRN Med Started]]&lt;=NOW(),Tbl_ResidentData[[#This Row],[PRN Med Started]]&lt;=AX$4,OR(Tbl_ResidentData[[#This Row],[PRN Med Discontinued]]&gt;AX$4,ISBLANK(Tbl_ResidentData[[#This Row],[PRN Med Discontinued]])))</f>
        <v>0</v>
      </c>
      <c r="BW80" s="121" t="b">
        <f ca="1">AND(Tbl_ResidentData[[#This Row],[PRN Med Started]]&lt;&gt;"",Tbl_ResidentData[[#This Row],[PRN Med Started]]&lt;=NOW(),Tbl_ResidentData[[#This Row],[PRN Med Started]]&lt;=AY$4,OR(Tbl_ResidentData[[#This Row],[PRN Med Discontinued]]&gt;AY$4,ISBLANK(Tbl_ResidentData[[#This Row],[PRN Med Discontinued]])))</f>
        <v>0</v>
      </c>
      <c r="BX80" s="121" t="b">
        <f ca="1">AND(Tbl_ResidentData[[#This Row],[PRN Med Started]]&lt;&gt;"",Tbl_ResidentData[[#This Row],[PRN Med Started]]&lt;=NOW(),Tbl_ResidentData[[#This Row],[PRN Med Started]]&lt;=AZ$4,OR(Tbl_ResidentData[[#This Row],[PRN Med Discontinued]]&gt;AZ$4,ISBLANK(Tbl_ResidentData[[#This Row],[PRN Med Discontinued]])))</f>
        <v>0</v>
      </c>
      <c r="BY80" s="121" t="b">
        <f ca="1">AND(Tbl_ResidentData[[#This Row],[PRN Med Started]]&lt;&gt;"",Tbl_ResidentData[[#This Row],[PRN Med Started]]&lt;=NOW(),Tbl_ResidentData[[#This Row],[PRN Med Started]]&lt;=BA$4,OR(Tbl_ResidentData[[#This Row],[PRN Med Discontinued]]&gt;BA$4,ISBLANK(Tbl_ResidentData[[#This Row],[PRN Med Discontinued]])))</f>
        <v>0</v>
      </c>
      <c r="BZ80" s="121" t="b">
        <f ca="1">AND(Tbl_ResidentData[[#This Row],[PRN Med Started]]&lt;&gt;"",Tbl_ResidentData[[#This Row],[PRN Med Started]]&lt;=NOW(),Tbl_ResidentData[[#This Row],[PRN Med Started]]&lt;=BB$4,OR(Tbl_ResidentData[[#This Row],[PRN Med Discontinued]]&gt;BB$4,ISBLANK(Tbl_ResidentData[[#This Row],[PRN Med Discontinued]])))</f>
        <v>0</v>
      </c>
      <c r="CA80" s="121" t="b">
        <f ca="1">AND(Tbl_ResidentData[[#This Row],[PRN Med Started]]&lt;&gt;"",Tbl_ResidentData[[#This Row],[PRN Med Started]]&lt;=NOW(),Tbl_ResidentData[[#This Row],[PRN Med Started]]&lt;=BC$4,OR(Tbl_ResidentData[[#This Row],[PRN Med Discontinued]]&gt;BC$4,ISBLANK(Tbl_ResidentData[[#This Row],[PRN Med Discontinued]])))</f>
        <v>0</v>
      </c>
      <c r="CB80" s="121" t="b">
        <f ca="1">AND(Tbl_ResidentData[[#This Row],[PRN Med Started]]&lt;&gt;"",Tbl_ResidentData[[#This Row],[PRN Med Started]]&lt;=NOW(),Tbl_ResidentData[[#This Row],[PRN Med Started]]&lt;=BD$4,OR(Tbl_ResidentData[[#This Row],[PRN Med Discontinued]]&gt;BD$4,ISBLANK(Tbl_ResidentData[[#This Row],[PRN Med Discontinued]])))</f>
        <v>0</v>
      </c>
      <c r="CC80" s="121" t="b">
        <f ca="1">AND(Tbl_ResidentData[[#This Row],[PRN Med Started]]&lt;&gt;"",Tbl_ResidentData[[#This Row],[PRN Med Started]]&lt;=NOW(),Tbl_ResidentData[[#This Row],[PRN Med Started]]&lt;=BE$4,OR(Tbl_ResidentData[[#This Row],[PRN Med Discontinued]]&gt;BE$4,ISBLANK(Tbl_ResidentData[[#This Row],[PRN Med Discontinued]])))</f>
        <v>0</v>
      </c>
      <c r="CD80" s="121" t="b">
        <f ca="1">AND(Tbl_ResidentData[[#This Row],[PRN Med Started]]&lt;&gt;"",Tbl_ResidentData[[#This Row],[PRN Med Started]]&lt;=NOW(),Tbl_ResidentData[[#This Row],[PRN Med Started]]&lt;=BF$4,OR(Tbl_ResidentData[[#This Row],[PRN Med Discontinued]]&gt;BF$4,ISBLANK(Tbl_ResidentData[[#This Row],[PRN Med Discontinued]])))</f>
        <v>0</v>
      </c>
      <c r="CE80" s="121" t="b">
        <f ca="1">AND(Tbl_ResidentData[[#This Row],[PRN Med Started]]&lt;&gt;"",Tbl_ResidentData[[#This Row],[PRN Med Started]]&lt;=NOW(),Tbl_ResidentData[[#This Row],[PRN Med Started]]&lt;=BG$4,OR(Tbl_ResidentData[[#This Row],[PRN Med Discontinued]]&gt;BG$4,ISBLANK(Tbl_ResidentData[[#This Row],[PRN Med Discontinued]])))</f>
        <v>0</v>
      </c>
      <c r="CF80" s="121" t="b">
        <f ca="1">AND(Tbl_ResidentData[[#This Row],[PRN Med Started]]&lt;&gt;"",Tbl_ResidentData[[#This Row],[PRN Med Started]]&lt;=NOW(),Tbl_ResidentData[[#This Row],[PRN Med Started]]&lt;=BH$4,OR(Tbl_ResidentData[[#This Row],[PRN Med Discontinued]]&gt;BH$4,ISBLANK(Tbl_ResidentData[[#This Row],[PRN Med Discontinued]])))</f>
        <v>0</v>
      </c>
      <c r="CG80" s="121" t="b">
        <f ca="1">AND(Tbl_ResidentData[[#This Row],[PRN Med Started]]&lt;&gt;"",Tbl_ResidentData[[#This Row],[PRN Med Started]]&lt;=NOW(),Tbl_ResidentData[[#This Row],[PRN Med Started]]&lt;=BI$4,OR(Tbl_ResidentData[[#This Row],[PRN Med Discontinued]]&gt;BI$4,ISBLANK(Tbl_ResidentData[[#This Row],[PRN Med Discontinued]])))</f>
        <v>0</v>
      </c>
      <c r="CH80" s="121" t="b">
        <f ca="1">AND(Tbl_ResidentData[[#This Row],[PRN Med Started]]&lt;&gt;"",Tbl_ResidentData[[#This Row],[PRN Med Started]]&lt;=NOW(),Tbl_ResidentData[[#This Row],[PRN Med Started]]&lt;=BJ$4,OR(Tbl_ResidentData[[#This Row],[PRN Med Discontinued]]&gt;BJ$4,ISBLANK(Tbl_ResidentData[[#This Row],[PRN Med Discontinued]])))</f>
        <v>0</v>
      </c>
      <c r="CI80" s="121" t="b">
        <f ca="1">AND(Tbl_ResidentData[[#This Row],[PRN Med Started]]&lt;&gt;"",Tbl_ResidentData[[#This Row],[PRN Med Started]]&lt;=NOW(),Tbl_ResidentData[[#This Row],[PRN Med Started]]&lt;=BK$4,OR(Tbl_ResidentData[[#This Row],[PRN Med Discontinued]]&gt;BK$4,ISBLANK(Tbl_ResidentData[[#This Row],[PRN Med Discontinued]])))</f>
        <v>0</v>
      </c>
      <c r="CJ80" s="121" t="b">
        <f ca="1">AND(Tbl_ResidentData[[#This Row],[PRN Med Started]]&lt;&gt;"",Tbl_ResidentData[[#This Row],[PRN Med Started]]&lt;=NOW(),Tbl_ResidentData[[#This Row],[PRN Med Started]]&lt;=BL$4,OR(Tbl_ResidentData[[#This Row],[PRN Med Discontinued]]&gt;BL$4,ISBLANK(Tbl_ResidentData[[#This Row],[PRN Med Discontinued]])))</f>
        <v>0</v>
      </c>
      <c r="CK80" s="121" t="b">
        <f ca="1">AND(Tbl_ResidentData[[#This Row],[PRN Med Started]]&lt;&gt;"",Tbl_ResidentData[[#This Row],[PRN Med Started]]&lt;=NOW(),Tbl_ResidentData[[#This Row],[PRN Med Started]]&lt;=BM$4,OR(Tbl_ResidentData[[#This Row],[PRN Med Discontinued]]&gt;BM$4,ISBLANK(Tbl_ResidentData[[#This Row],[PRN Med Discontinued]])))</f>
        <v>0</v>
      </c>
      <c r="CL80" s="121" t="b">
        <f ca="1">AND(Tbl_ResidentData[[#This Row],[PRN Med Started]]&lt;&gt;"",Tbl_ResidentData[[#This Row],[PRN Med Started]]&lt;=NOW(),Tbl_ResidentData[[#This Row],[PRN Med Started]]&lt;=BN$4,OR(Tbl_ResidentData[[#This Row],[PRN Med Discontinued]]&gt;BN$4,ISBLANK(Tbl_ResidentData[[#This Row],[PRN Med Discontinued]])))</f>
        <v>0</v>
      </c>
      <c r="CM80" s="121" t="b">
        <f ca="1">AND(Tbl_ResidentData[[#This Row],[PRN Med Started]]&lt;&gt;"",Tbl_ResidentData[[#This Row],[PRN Med Started]]&lt;=NOW(),Tbl_ResidentData[[#This Row],[PRN Med Started]]&lt;=BO$4,OR(Tbl_ResidentData[[#This Row],[PRN Med Discontinued]]&gt;BO$4,ISBLANK(Tbl_ResidentData[[#This Row],[PRN Med Discontinued]])))</f>
        <v>0</v>
      </c>
      <c r="CN80" s="122" t="b">
        <f ca="1">AND(Tbl_ResidentData[[#This Row],[PRN Med Started]]&lt;&gt;"",Tbl_ResidentData[[#This Row],[PRN Med Started]]&lt;=NOW(),Tbl_ResidentData[[#This Row],[PRN Med Started]]&lt;=BP$4,OR(Tbl_ResidentData[[#This Row],[PRN Med Discontinued]]&gt;BP$4,ISBLANK(Tbl_ResidentData[[#This Row],[PRN Med Discontinued]])))</f>
        <v>0</v>
      </c>
      <c r="CO80" s="120">
        <f ca="1">IF(OR(Tbl_ResidentData[[#This Row],[S1]]=TRUE,Tbl_ResidentData[[#This Row],[P1]]=TRUE),1,0)</f>
        <v>0</v>
      </c>
      <c r="CP80" s="121">
        <f ca="1">IF(OR(Tbl_ResidentData[[#This Row],[S2]]=TRUE,Tbl_ResidentData[[#This Row],[P2]]=TRUE),1,0)</f>
        <v>0</v>
      </c>
      <c r="CQ80" s="121">
        <f ca="1">IF(OR(Tbl_ResidentData[[#This Row],[S3]]=TRUE,Tbl_ResidentData[[#This Row],[P3]]=TRUE),1,0)</f>
        <v>0</v>
      </c>
      <c r="CR80" s="120">
        <f ca="1">IF(OR(Tbl_ResidentData[[#This Row],[S4]]=TRUE,Tbl_ResidentData[[#This Row],[P4]]=TRUE),1,0)</f>
        <v>0</v>
      </c>
      <c r="CS80" s="120">
        <f ca="1">IF(OR(Tbl_ResidentData[[#This Row],[S5]]=TRUE,Tbl_ResidentData[[#This Row],[P5]]=TRUE),1,0)</f>
        <v>0</v>
      </c>
      <c r="CT80" s="120">
        <f ca="1">IF(OR(Tbl_ResidentData[[#This Row],[S6]]=TRUE,Tbl_ResidentData[[#This Row],[P6]]=TRUE),1,0)</f>
        <v>0</v>
      </c>
      <c r="CU80" s="120">
        <f ca="1">IF(OR(Tbl_ResidentData[[#This Row],[S7]]=TRUE,Tbl_ResidentData[[#This Row],[P7]]=TRUE),1,0)</f>
        <v>0</v>
      </c>
      <c r="CV80" s="120">
        <f ca="1">IF(OR(Tbl_ResidentData[[#This Row],[S8]]=TRUE,Tbl_ResidentData[[#This Row],[P8]]=TRUE),1,0)</f>
        <v>0</v>
      </c>
      <c r="CW80" s="120">
        <f ca="1">IF(OR(Tbl_ResidentData[[#This Row],[S9]]=TRUE,Tbl_ResidentData[[#This Row],[P9]]=TRUE),1,0)</f>
        <v>0</v>
      </c>
      <c r="CX80" s="120">
        <f ca="1">IF(OR(Tbl_ResidentData[[#This Row],[S10]]=TRUE,Tbl_ResidentData[[#This Row],[P10]]=TRUE),1,0)</f>
        <v>0</v>
      </c>
      <c r="CY80" s="120">
        <f ca="1">IF(OR(Tbl_ResidentData[[#This Row],[S11]]=TRUE,Tbl_ResidentData[[#This Row],[P11]]=TRUE),1,0)</f>
        <v>0</v>
      </c>
      <c r="CZ80" s="120">
        <f ca="1">IF(OR(Tbl_ResidentData[[#This Row],[S12]]=TRUE,Tbl_ResidentData[[#This Row],[P12]]=TRUE),1,0)</f>
        <v>0</v>
      </c>
      <c r="DA80" s="120">
        <f ca="1">IF(OR(Tbl_ResidentData[[#This Row],[S13]]=TRUE,Tbl_ResidentData[[#This Row],[P13]]=TRUE),1,0)</f>
        <v>0</v>
      </c>
      <c r="DB80" s="120">
        <f ca="1">IF(OR(Tbl_ResidentData[[#This Row],[S14]]=TRUE,Tbl_ResidentData[[#This Row],[P14]]=TRUE),1,0)</f>
        <v>0</v>
      </c>
      <c r="DC80" s="120">
        <f ca="1">IF(OR(Tbl_ResidentData[[#This Row],[S15]]=TRUE,Tbl_ResidentData[[#This Row],[P15]]=TRUE),1,0)</f>
        <v>0</v>
      </c>
      <c r="DD80" s="120">
        <f ca="1">IF(OR(Tbl_ResidentData[[#This Row],[S16]]=TRUE,Tbl_ResidentData[[#This Row],[P16]]=TRUE),1,0)</f>
        <v>0</v>
      </c>
      <c r="DE80" s="120">
        <f ca="1">IF(OR(Tbl_ResidentData[[#This Row],[S17]]=TRUE,Tbl_ResidentData[[#This Row],[P17]]=TRUE),1,0)</f>
        <v>0</v>
      </c>
      <c r="DF80" s="120">
        <f ca="1">IF(OR(Tbl_ResidentData[[#This Row],[S18]]=TRUE,Tbl_ResidentData[[#This Row],[P18]]=TRUE),1,0)</f>
        <v>0</v>
      </c>
      <c r="DG80" s="120">
        <f ca="1">IF(OR(Tbl_ResidentData[[#This Row],[S19]]=TRUE,Tbl_ResidentData[[#This Row],[P19]]=TRUE),1,0)</f>
        <v>0</v>
      </c>
      <c r="DH80" s="120">
        <f ca="1">IF(OR(Tbl_ResidentData[[#This Row],[S20]]=TRUE,Tbl_ResidentData[[#This Row],[P20]]=TRUE),1,0)</f>
        <v>0</v>
      </c>
      <c r="DI80" s="120">
        <f ca="1">IF(OR(Tbl_ResidentData[[#This Row],[S21]]=TRUE,Tbl_ResidentData[[#This Row],[P21]]=TRUE),1,0)</f>
        <v>0</v>
      </c>
      <c r="DJ80" s="120">
        <f ca="1">IF(OR(Tbl_ResidentData[[#This Row],[S22]]=TRUE,Tbl_ResidentData[[#This Row],[P22]]=TRUE),1,0)</f>
        <v>0</v>
      </c>
      <c r="DK80" s="120">
        <f ca="1">IF(OR(Tbl_ResidentData[[#This Row],[S23]]=TRUE,Tbl_ResidentData[[#This Row],[P23]]=TRUE),1,0)</f>
        <v>0</v>
      </c>
      <c r="DL80" s="120">
        <f ca="1">IF(OR(Tbl_ResidentData[[#This Row],[S24]]=TRUE,Tbl_ResidentData[[#This Row],[P24]]=TRUE),1,0)</f>
        <v>0</v>
      </c>
      <c r="DM80" s="123" t="str">
        <f ca="1">IFERROR(INDEX($CO$4:$DL$4,MATCH(TRUE,INDEX((Tbl_ResidentData[[#This Row],[Over1]:[Over24]]&lt;&gt;0),0),0)),"")</f>
        <v/>
      </c>
      <c r="DN80" s="133" t="str">
        <f>IFERROR(INDEX(Tbl_PDSAData[Last DRT],MATCH(Tbl_ResidentData[Resident Name '[last, first']],Tbl_PDSAData[Resident Name (last, first)],0)),"")</f>
        <v/>
      </c>
      <c r="DO80" s="222" t="str">
        <f>IFERROR(INDEX(Tbl_PDSAData[Last MR],MATCH(Tbl_ResidentData[Resident Name '[last, first']],Tbl_PDSAData[Resident Name (last, first)],0)),"")</f>
        <v/>
      </c>
    </row>
    <row r="81" spans="1:119" x14ac:dyDescent="0.25">
      <c r="A81" s="179"/>
      <c r="B81" s="180"/>
      <c r="C81" s="180"/>
      <c r="D81" s="218"/>
      <c r="E81" s="179"/>
      <c r="F81" s="181"/>
      <c r="G81" s="181"/>
      <c r="H81" s="182"/>
      <c r="I81" s="185"/>
      <c r="J81" s="387"/>
      <c r="K81" s="178"/>
      <c r="L81" s="388"/>
      <c r="M81" s="185"/>
      <c r="N81" s="386"/>
      <c r="O81" s="178"/>
      <c r="P81" s="388"/>
      <c r="Q81" s="395"/>
      <c r="R81" s="396"/>
      <c r="S81" s="131" t="str">
        <f>IF(ISBLANK(Tbl_ResidentData[[#This Row],[Discharge '[mmm-yyyy']]]),IF(ISBLANK(Tbl_ResidentData[[#This Row],[Enrollment '[mmm-yyyy']]]),"","In Care Home"),"Discharged")</f>
        <v/>
      </c>
      <c r="T81" s="119" t="str">
        <f>IF(ISBLANK(Tbl_ResidentData[[#This Row],[Diagnosis (RAI)]]),IF(ISBLANK(Tbl_ResidentData[[#This Row],[Resident Name '[last, first']]]),"",0),IF(Tbl_ResidentData[[#This Row],[Diagnosis (RAI)]]="Other (see clinical notes)",0,1))</f>
        <v/>
      </c>
      <c r="U81" s="120" t="str">
        <f ca="1">IF(U$4&gt;NOW(),"-",IF(ISBLANK(Tbl_ResidentData[[#This Row],[Enrollment '[mmm-yyyy']]]),"-",AND((Tbl_ResidentData[[#This Row],[Enrollment '[mmm-yyyy']]]&lt;=U$4),IF(ISBLANK(Tbl_ResidentData[[#This Row],[Discharge '[mmm-yyyy']]]),TRUE,(Tbl_ResidentData[[#This Row],[Discharge '[mmm-yyyy']]]&gt;=U$4)))))</f>
        <v>-</v>
      </c>
      <c r="V81" s="121" t="str">
        <f ca="1">IF(V$4&gt;NOW(),"-",IF(ISBLANK(Tbl_ResidentData[[#This Row],[Enrollment '[mmm-yyyy']]]),"-",AND((Tbl_ResidentData[[#This Row],[Enrollment '[mmm-yyyy']]]&lt;=V$4),IF(ISBLANK(Tbl_ResidentData[[#This Row],[Discharge '[mmm-yyyy']]]),TRUE,(Tbl_ResidentData[[#This Row],[Discharge '[mmm-yyyy']]]&gt;=V$4)))))</f>
        <v>-</v>
      </c>
      <c r="W81" s="121" t="str">
        <f ca="1">IF(W$4&gt;NOW(),"-",IF(ISBLANK(Tbl_ResidentData[[#This Row],[Enrollment '[mmm-yyyy']]]),"-",AND((Tbl_ResidentData[[#This Row],[Enrollment '[mmm-yyyy']]]&lt;=W$4),IF(ISBLANK(Tbl_ResidentData[[#This Row],[Discharge '[mmm-yyyy']]]),TRUE,(Tbl_ResidentData[[#This Row],[Discharge '[mmm-yyyy']]]&gt;=W$4)))))</f>
        <v>-</v>
      </c>
      <c r="X81" s="121" t="str">
        <f ca="1">IF(X$4&gt;NOW(),"-",IF(ISBLANK(Tbl_ResidentData[[#This Row],[Enrollment '[mmm-yyyy']]]),"-",AND((Tbl_ResidentData[[#This Row],[Enrollment '[mmm-yyyy']]]&lt;=X$4),IF(ISBLANK(Tbl_ResidentData[[#This Row],[Discharge '[mmm-yyyy']]]),TRUE,(Tbl_ResidentData[[#This Row],[Discharge '[mmm-yyyy']]]&gt;=X$4)))))</f>
        <v>-</v>
      </c>
      <c r="Y81" s="121" t="str">
        <f ca="1">IF(Y$4&gt;NOW(),"-",IF(ISBLANK(Tbl_ResidentData[[#This Row],[Enrollment '[mmm-yyyy']]]),"-",AND((Tbl_ResidentData[[#This Row],[Enrollment '[mmm-yyyy']]]&lt;=Y$4),IF(ISBLANK(Tbl_ResidentData[[#This Row],[Discharge '[mmm-yyyy']]]),TRUE,(Tbl_ResidentData[[#This Row],[Discharge '[mmm-yyyy']]]&gt;=Y$4)))))</f>
        <v>-</v>
      </c>
      <c r="Z81" s="121" t="str">
        <f ca="1">IF(Z$4&gt;NOW(),"-",IF(ISBLANK(Tbl_ResidentData[[#This Row],[Enrollment '[mmm-yyyy']]]),"-",AND((Tbl_ResidentData[[#This Row],[Enrollment '[mmm-yyyy']]]&lt;=Z$4),IF(ISBLANK(Tbl_ResidentData[[#This Row],[Discharge '[mmm-yyyy']]]),TRUE,(Tbl_ResidentData[[#This Row],[Discharge '[mmm-yyyy']]]&gt;=Z$4)))))</f>
        <v>-</v>
      </c>
      <c r="AA81" s="121" t="str">
        <f ca="1">IF(AA$4&gt;NOW(),"-",IF(ISBLANK(Tbl_ResidentData[[#This Row],[Enrollment '[mmm-yyyy']]]),"-",AND((Tbl_ResidentData[[#This Row],[Enrollment '[mmm-yyyy']]]&lt;=AA$4),IF(ISBLANK(Tbl_ResidentData[[#This Row],[Discharge '[mmm-yyyy']]]),TRUE,(Tbl_ResidentData[[#This Row],[Discharge '[mmm-yyyy']]]&gt;=AA$4)))))</f>
        <v>-</v>
      </c>
      <c r="AB81" s="121" t="str">
        <f ca="1">IF(AB$4&gt;NOW(),"-",IF(ISBLANK(Tbl_ResidentData[[#This Row],[Enrollment '[mmm-yyyy']]]),"-",AND((Tbl_ResidentData[[#This Row],[Enrollment '[mmm-yyyy']]]&lt;=AB$4),IF(ISBLANK(Tbl_ResidentData[[#This Row],[Discharge '[mmm-yyyy']]]),TRUE,(Tbl_ResidentData[[#This Row],[Discharge '[mmm-yyyy']]]&gt;=AB$4)))))</f>
        <v>-</v>
      </c>
      <c r="AC81" s="121" t="str">
        <f ca="1">IF(AC$4&gt;NOW(),"-",IF(ISBLANK(Tbl_ResidentData[[#This Row],[Enrollment '[mmm-yyyy']]]),"-",AND((Tbl_ResidentData[[#This Row],[Enrollment '[mmm-yyyy']]]&lt;=AC$4),IF(ISBLANK(Tbl_ResidentData[[#This Row],[Discharge '[mmm-yyyy']]]),TRUE,(Tbl_ResidentData[[#This Row],[Discharge '[mmm-yyyy']]]&gt;=AC$4)))))</f>
        <v>-</v>
      </c>
      <c r="AD81" s="121" t="str">
        <f ca="1">IF(AD$4&gt;NOW(),"-",IF(ISBLANK(Tbl_ResidentData[[#This Row],[Enrollment '[mmm-yyyy']]]),"-",AND((Tbl_ResidentData[[#This Row],[Enrollment '[mmm-yyyy']]]&lt;=AD$4),IF(ISBLANK(Tbl_ResidentData[[#This Row],[Discharge '[mmm-yyyy']]]),TRUE,(Tbl_ResidentData[[#This Row],[Discharge '[mmm-yyyy']]]&gt;=AD$4)))))</f>
        <v>-</v>
      </c>
      <c r="AE81" s="121" t="str">
        <f ca="1">IF(AE$4&gt;NOW(),"-",IF(ISBLANK(Tbl_ResidentData[[#This Row],[Enrollment '[mmm-yyyy']]]),"-",AND((Tbl_ResidentData[[#This Row],[Enrollment '[mmm-yyyy']]]&lt;=AE$4),IF(ISBLANK(Tbl_ResidentData[[#This Row],[Discharge '[mmm-yyyy']]]),TRUE,(Tbl_ResidentData[[#This Row],[Discharge '[mmm-yyyy']]]&gt;=AE$4)))))</f>
        <v>-</v>
      </c>
      <c r="AF81" s="121" t="str">
        <f ca="1">IF(AF$4&gt;NOW(),"-",IF(ISBLANK(Tbl_ResidentData[[#This Row],[Enrollment '[mmm-yyyy']]]),"-",AND((Tbl_ResidentData[[#This Row],[Enrollment '[mmm-yyyy']]]&lt;=AF$4),IF(ISBLANK(Tbl_ResidentData[[#This Row],[Discharge '[mmm-yyyy']]]),TRUE,(Tbl_ResidentData[[#This Row],[Discharge '[mmm-yyyy']]]&gt;=AF$4)))))</f>
        <v>-</v>
      </c>
      <c r="AG81" s="121" t="str">
        <f ca="1">IF(AG$4&gt;NOW(),"-",IF(ISBLANK(Tbl_ResidentData[[#This Row],[Enrollment '[mmm-yyyy']]]),"-",AND((Tbl_ResidentData[[#This Row],[Enrollment '[mmm-yyyy']]]&lt;=AG$4),IF(ISBLANK(Tbl_ResidentData[[#This Row],[Discharge '[mmm-yyyy']]]),TRUE,(Tbl_ResidentData[[#This Row],[Discharge '[mmm-yyyy']]]&gt;=AG$4)))))</f>
        <v>-</v>
      </c>
      <c r="AH81" s="121" t="str">
        <f ca="1">IF(AH$4&gt;NOW(),"-",IF(ISBLANK(Tbl_ResidentData[[#This Row],[Enrollment '[mmm-yyyy']]]),"-",AND((Tbl_ResidentData[[#This Row],[Enrollment '[mmm-yyyy']]]&lt;=AH$4),IF(ISBLANK(Tbl_ResidentData[[#This Row],[Discharge '[mmm-yyyy']]]),TRUE,(Tbl_ResidentData[[#This Row],[Discharge '[mmm-yyyy']]]&gt;=AH$4)))))</f>
        <v>-</v>
      </c>
      <c r="AI81" s="121" t="str">
        <f ca="1">IF(AI$4&gt;NOW(),"-",IF(ISBLANK(Tbl_ResidentData[[#This Row],[Enrollment '[mmm-yyyy']]]),"-",AND((Tbl_ResidentData[[#This Row],[Enrollment '[mmm-yyyy']]]&lt;=AI$4),IF(ISBLANK(Tbl_ResidentData[[#This Row],[Discharge '[mmm-yyyy']]]),TRUE,(Tbl_ResidentData[[#This Row],[Discharge '[mmm-yyyy']]]&gt;=AI$4)))))</f>
        <v>-</v>
      </c>
      <c r="AJ81" s="121" t="str">
        <f ca="1">IF(AJ$4&gt;NOW(),"-",IF(ISBLANK(Tbl_ResidentData[[#This Row],[Enrollment '[mmm-yyyy']]]),"-",AND((Tbl_ResidentData[[#This Row],[Enrollment '[mmm-yyyy']]]&lt;=AJ$4),IF(ISBLANK(Tbl_ResidentData[[#This Row],[Discharge '[mmm-yyyy']]]),TRUE,(Tbl_ResidentData[[#This Row],[Discharge '[mmm-yyyy']]]&gt;=AJ$4)))))</f>
        <v>-</v>
      </c>
      <c r="AK81" s="121" t="str">
        <f ca="1">IF(AK$4&gt;NOW(),"-",IF(ISBLANK(Tbl_ResidentData[[#This Row],[Enrollment '[mmm-yyyy']]]),"-",AND((Tbl_ResidentData[[#This Row],[Enrollment '[mmm-yyyy']]]&lt;=AK$4),IF(ISBLANK(Tbl_ResidentData[[#This Row],[Discharge '[mmm-yyyy']]]),TRUE,(Tbl_ResidentData[[#This Row],[Discharge '[mmm-yyyy']]]&gt;=AK$4)))))</f>
        <v>-</v>
      </c>
      <c r="AL81" s="121" t="str">
        <f ca="1">IF(AL$4&gt;NOW(),"-",IF(ISBLANK(Tbl_ResidentData[[#This Row],[Enrollment '[mmm-yyyy']]]),"-",AND((Tbl_ResidentData[[#This Row],[Enrollment '[mmm-yyyy']]]&lt;=AL$4),IF(ISBLANK(Tbl_ResidentData[[#This Row],[Discharge '[mmm-yyyy']]]),TRUE,(Tbl_ResidentData[[#This Row],[Discharge '[mmm-yyyy']]]&gt;=AL$4)))))</f>
        <v>-</v>
      </c>
      <c r="AM81" s="121" t="str">
        <f ca="1">IF(AM$4&gt;NOW(),"-",IF(ISBLANK(Tbl_ResidentData[[#This Row],[Enrollment '[mmm-yyyy']]]),"-",AND((Tbl_ResidentData[[#This Row],[Enrollment '[mmm-yyyy']]]&lt;=AM$4),IF(ISBLANK(Tbl_ResidentData[[#This Row],[Discharge '[mmm-yyyy']]]),TRUE,(Tbl_ResidentData[[#This Row],[Discharge '[mmm-yyyy']]]&gt;=AM$4)))))</f>
        <v>-</v>
      </c>
      <c r="AN81" s="121" t="str">
        <f ca="1">IF(AN$4&gt;NOW(),"-",IF(ISBLANK(Tbl_ResidentData[[#This Row],[Enrollment '[mmm-yyyy']]]),"-",AND((Tbl_ResidentData[[#This Row],[Enrollment '[mmm-yyyy']]]&lt;=AN$4),IF(ISBLANK(Tbl_ResidentData[[#This Row],[Discharge '[mmm-yyyy']]]),TRUE,(Tbl_ResidentData[[#This Row],[Discharge '[mmm-yyyy']]]&gt;=AN$4)))))</f>
        <v>-</v>
      </c>
      <c r="AO81" s="121" t="str">
        <f ca="1">IF(AO$4&gt;NOW(),"-",IF(ISBLANK(Tbl_ResidentData[[#This Row],[Enrollment '[mmm-yyyy']]]),"-",AND((Tbl_ResidentData[[#This Row],[Enrollment '[mmm-yyyy']]]&lt;=AO$4),IF(ISBLANK(Tbl_ResidentData[[#This Row],[Discharge '[mmm-yyyy']]]),TRUE,(Tbl_ResidentData[[#This Row],[Discharge '[mmm-yyyy']]]&gt;=AO$4)))))</f>
        <v>-</v>
      </c>
      <c r="AP81" s="121" t="str">
        <f ca="1">IF(AP$4&gt;NOW(),"-",IF(ISBLANK(Tbl_ResidentData[[#This Row],[Enrollment '[mmm-yyyy']]]),"-",AND((Tbl_ResidentData[[#This Row],[Enrollment '[mmm-yyyy']]]&lt;=AP$4),IF(ISBLANK(Tbl_ResidentData[[#This Row],[Discharge '[mmm-yyyy']]]),TRUE,(Tbl_ResidentData[[#This Row],[Discharge '[mmm-yyyy']]]&gt;=AP$4)))))</f>
        <v>-</v>
      </c>
      <c r="AQ81" s="121" t="str">
        <f ca="1">IF(AQ$4&gt;NOW(),"-",IF(ISBLANK(Tbl_ResidentData[[#This Row],[Enrollment '[mmm-yyyy']]]),"-",AND((Tbl_ResidentData[[#This Row],[Enrollment '[mmm-yyyy']]]&lt;=AQ$4),IF(ISBLANK(Tbl_ResidentData[[#This Row],[Discharge '[mmm-yyyy']]]),TRUE,(Tbl_ResidentData[[#This Row],[Discharge '[mmm-yyyy']]]&gt;=AQ$4)))))</f>
        <v>-</v>
      </c>
      <c r="AR81" s="122" t="str">
        <f ca="1">IF(AR$4&gt;NOW(),"-",IF(ISBLANK(Tbl_ResidentData[[#This Row],[Enrollment '[mmm-yyyy']]]),"-",AND((Tbl_ResidentData[[#This Row],[Enrollment '[mmm-yyyy']]]&lt;=AR$4),IF(ISBLANK(Tbl_ResidentData[[#This Row],[Discharge '[mmm-yyyy']]]),TRUE,(Tbl_ResidentData[[#This Row],[Discharge '[mmm-yyyy']]]&gt;=AR$4)))))</f>
        <v>-</v>
      </c>
      <c r="AS8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1" s="120" t="b">
        <f ca="1">AND(Tbl_ResidentData[[#This Row],[PRN Med Started]]&lt;&gt;"",Tbl_ResidentData[[#This Row],[PRN Med Started]]&lt;=NOW(),Tbl_ResidentData[[#This Row],[PRN Med Started]]&lt;=AS$4,OR(Tbl_ResidentData[[#This Row],[PRN Med Discontinued]]&gt;AS$4,ISBLANK(Tbl_ResidentData[[#This Row],[PRN Med Discontinued]])))</f>
        <v>0</v>
      </c>
      <c r="BR81" s="121" t="b">
        <f ca="1">AND(Tbl_ResidentData[[#This Row],[PRN Med Started]]&lt;&gt;"",Tbl_ResidentData[[#This Row],[PRN Med Started]]&lt;=NOW(),Tbl_ResidentData[[#This Row],[PRN Med Started]]&lt;=AT$4,OR(Tbl_ResidentData[[#This Row],[PRN Med Discontinued]]&gt;AT$4,ISBLANK(Tbl_ResidentData[[#This Row],[PRN Med Discontinued]])))</f>
        <v>0</v>
      </c>
      <c r="BS81" s="121" t="b">
        <f ca="1">AND(Tbl_ResidentData[[#This Row],[PRN Med Started]]&lt;&gt;"",Tbl_ResidentData[[#This Row],[PRN Med Started]]&lt;=NOW(),Tbl_ResidentData[[#This Row],[PRN Med Started]]&lt;=AU$4,OR(Tbl_ResidentData[[#This Row],[PRN Med Discontinued]]&gt;AU$4,ISBLANK(Tbl_ResidentData[[#This Row],[PRN Med Discontinued]])))</f>
        <v>0</v>
      </c>
      <c r="BT81" s="121" t="b">
        <f ca="1">AND(Tbl_ResidentData[[#This Row],[PRN Med Started]]&lt;&gt;"",Tbl_ResidentData[[#This Row],[PRN Med Started]]&lt;=NOW(),Tbl_ResidentData[[#This Row],[PRN Med Started]]&lt;=AV$4,OR(Tbl_ResidentData[[#This Row],[PRN Med Discontinued]]&gt;AV$4,ISBLANK(Tbl_ResidentData[[#This Row],[PRN Med Discontinued]])))</f>
        <v>0</v>
      </c>
      <c r="BU81" s="121" t="b">
        <f ca="1">AND(Tbl_ResidentData[[#This Row],[PRN Med Started]]&lt;&gt;"",Tbl_ResidentData[[#This Row],[PRN Med Started]]&lt;=NOW(),Tbl_ResidentData[[#This Row],[PRN Med Started]]&lt;=AW$4,OR(Tbl_ResidentData[[#This Row],[PRN Med Discontinued]]&gt;AW$4,ISBLANK(Tbl_ResidentData[[#This Row],[PRN Med Discontinued]])))</f>
        <v>0</v>
      </c>
      <c r="BV81" s="121" t="b">
        <f ca="1">AND(Tbl_ResidentData[[#This Row],[PRN Med Started]]&lt;&gt;"",Tbl_ResidentData[[#This Row],[PRN Med Started]]&lt;=NOW(),Tbl_ResidentData[[#This Row],[PRN Med Started]]&lt;=AX$4,OR(Tbl_ResidentData[[#This Row],[PRN Med Discontinued]]&gt;AX$4,ISBLANK(Tbl_ResidentData[[#This Row],[PRN Med Discontinued]])))</f>
        <v>0</v>
      </c>
      <c r="BW81" s="121" t="b">
        <f ca="1">AND(Tbl_ResidentData[[#This Row],[PRN Med Started]]&lt;&gt;"",Tbl_ResidentData[[#This Row],[PRN Med Started]]&lt;=NOW(),Tbl_ResidentData[[#This Row],[PRN Med Started]]&lt;=AY$4,OR(Tbl_ResidentData[[#This Row],[PRN Med Discontinued]]&gt;AY$4,ISBLANK(Tbl_ResidentData[[#This Row],[PRN Med Discontinued]])))</f>
        <v>0</v>
      </c>
      <c r="BX81" s="121" t="b">
        <f ca="1">AND(Tbl_ResidentData[[#This Row],[PRN Med Started]]&lt;&gt;"",Tbl_ResidentData[[#This Row],[PRN Med Started]]&lt;=NOW(),Tbl_ResidentData[[#This Row],[PRN Med Started]]&lt;=AZ$4,OR(Tbl_ResidentData[[#This Row],[PRN Med Discontinued]]&gt;AZ$4,ISBLANK(Tbl_ResidentData[[#This Row],[PRN Med Discontinued]])))</f>
        <v>0</v>
      </c>
      <c r="BY81" s="121" t="b">
        <f ca="1">AND(Tbl_ResidentData[[#This Row],[PRN Med Started]]&lt;&gt;"",Tbl_ResidentData[[#This Row],[PRN Med Started]]&lt;=NOW(),Tbl_ResidentData[[#This Row],[PRN Med Started]]&lt;=BA$4,OR(Tbl_ResidentData[[#This Row],[PRN Med Discontinued]]&gt;BA$4,ISBLANK(Tbl_ResidentData[[#This Row],[PRN Med Discontinued]])))</f>
        <v>0</v>
      </c>
      <c r="BZ81" s="121" t="b">
        <f ca="1">AND(Tbl_ResidentData[[#This Row],[PRN Med Started]]&lt;&gt;"",Tbl_ResidentData[[#This Row],[PRN Med Started]]&lt;=NOW(),Tbl_ResidentData[[#This Row],[PRN Med Started]]&lt;=BB$4,OR(Tbl_ResidentData[[#This Row],[PRN Med Discontinued]]&gt;BB$4,ISBLANK(Tbl_ResidentData[[#This Row],[PRN Med Discontinued]])))</f>
        <v>0</v>
      </c>
      <c r="CA81" s="121" t="b">
        <f ca="1">AND(Tbl_ResidentData[[#This Row],[PRN Med Started]]&lt;&gt;"",Tbl_ResidentData[[#This Row],[PRN Med Started]]&lt;=NOW(),Tbl_ResidentData[[#This Row],[PRN Med Started]]&lt;=BC$4,OR(Tbl_ResidentData[[#This Row],[PRN Med Discontinued]]&gt;BC$4,ISBLANK(Tbl_ResidentData[[#This Row],[PRN Med Discontinued]])))</f>
        <v>0</v>
      </c>
      <c r="CB81" s="121" t="b">
        <f ca="1">AND(Tbl_ResidentData[[#This Row],[PRN Med Started]]&lt;&gt;"",Tbl_ResidentData[[#This Row],[PRN Med Started]]&lt;=NOW(),Tbl_ResidentData[[#This Row],[PRN Med Started]]&lt;=BD$4,OR(Tbl_ResidentData[[#This Row],[PRN Med Discontinued]]&gt;BD$4,ISBLANK(Tbl_ResidentData[[#This Row],[PRN Med Discontinued]])))</f>
        <v>0</v>
      </c>
      <c r="CC81" s="121" t="b">
        <f ca="1">AND(Tbl_ResidentData[[#This Row],[PRN Med Started]]&lt;&gt;"",Tbl_ResidentData[[#This Row],[PRN Med Started]]&lt;=NOW(),Tbl_ResidentData[[#This Row],[PRN Med Started]]&lt;=BE$4,OR(Tbl_ResidentData[[#This Row],[PRN Med Discontinued]]&gt;BE$4,ISBLANK(Tbl_ResidentData[[#This Row],[PRN Med Discontinued]])))</f>
        <v>0</v>
      </c>
      <c r="CD81" s="121" t="b">
        <f ca="1">AND(Tbl_ResidentData[[#This Row],[PRN Med Started]]&lt;&gt;"",Tbl_ResidentData[[#This Row],[PRN Med Started]]&lt;=NOW(),Tbl_ResidentData[[#This Row],[PRN Med Started]]&lt;=BF$4,OR(Tbl_ResidentData[[#This Row],[PRN Med Discontinued]]&gt;BF$4,ISBLANK(Tbl_ResidentData[[#This Row],[PRN Med Discontinued]])))</f>
        <v>0</v>
      </c>
      <c r="CE81" s="121" t="b">
        <f ca="1">AND(Tbl_ResidentData[[#This Row],[PRN Med Started]]&lt;&gt;"",Tbl_ResidentData[[#This Row],[PRN Med Started]]&lt;=NOW(),Tbl_ResidentData[[#This Row],[PRN Med Started]]&lt;=BG$4,OR(Tbl_ResidentData[[#This Row],[PRN Med Discontinued]]&gt;BG$4,ISBLANK(Tbl_ResidentData[[#This Row],[PRN Med Discontinued]])))</f>
        <v>0</v>
      </c>
      <c r="CF81" s="121" t="b">
        <f ca="1">AND(Tbl_ResidentData[[#This Row],[PRN Med Started]]&lt;&gt;"",Tbl_ResidentData[[#This Row],[PRN Med Started]]&lt;=NOW(),Tbl_ResidentData[[#This Row],[PRN Med Started]]&lt;=BH$4,OR(Tbl_ResidentData[[#This Row],[PRN Med Discontinued]]&gt;BH$4,ISBLANK(Tbl_ResidentData[[#This Row],[PRN Med Discontinued]])))</f>
        <v>0</v>
      </c>
      <c r="CG81" s="121" t="b">
        <f ca="1">AND(Tbl_ResidentData[[#This Row],[PRN Med Started]]&lt;&gt;"",Tbl_ResidentData[[#This Row],[PRN Med Started]]&lt;=NOW(),Tbl_ResidentData[[#This Row],[PRN Med Started]]&lt;=BI$4,OR(Tbl_ResidentData[[#This Row],[PRN Med Discontinued]]&gt;BI$4,ISBLANK(Tbl_ResidentData[[#This Row],[PRN Med Discontinued]])))</f>
        <v>0</v>
      </c>
      <c r="CH81" s="121" t="b">
        <f ca="1">AND(Tbl_ResidentData[[#This Row],[PRN Med Started]]&lt;&gt;"",Tbl_ResidentData[[#This Row],[PRN Med Started]]&lt;=NOW(),Tbl_ResidentData[[#This Row],[PRN Med Started]]&lt;=BJ$4,OR(Tbl_ResidentData[[#This Row],[PRN Med Discontinued]]&gt;BJ$4,ISBLANK(Tbl_ResidentData[[#This Row],[PRN Med Discontinued]])))</f>
        <v>0</v>
      </c>
      <c r="CI81" s="121" t="b">
        <f ca="1">AND(Tbl_ResidentData[[#This Row],[PRN Med Started]]&lt;&gt;"",Tbl_ResidentData[[#This Row],[PRN Med Started]]&lt;=NOW(),Tbl_ResidentData[[#This Row],[PRN Med Started]]&lt;=BK$4,OR(Tbl_ResidentData[[#This Row],[PRN Med Discontinued]]&gt;BK$4,ISBLANK(Tbl_ResidentData[[#This Row],[PRN Med Discontinued]])))</f>
        <v>0</v>
      </c>
      <c r="CJ81" s="121" t="b">
        <f ca="1">AND(Tbl_ResidentData[[#This Row],[PRN Med Started]]&lt;&gt;"",Tbl_ResidentData[[#This Row],[PRN Med Started]]&lt;=NOW(),Tbl_ResidentData[[#This Row],[PRN Med Started]]&lt;=BL$4,OR(Tbl_ResidentData[[#This Row],[PRN Med Discontinued]]&gt;BL$4,ISBLANK(Tbl_ResidentData[[#This Row],[PRN Med Discontinued]])))</f>
        <v>0</v>
      </c>
      <c r="CK81" s="121" t="b">
        <f ca="1">AND(Tbl_ResidentData[[#This Row],[PRN Med Started]]&lt;&gt;"",Tbl_ResidentData[[#This Row],[PRN Med Started]]&lt;=NOW(),Tbl_ResidentData[[#This Row],[PRN Med Started]]&lt;=BM$4,OR(Tbl_ResidentData[[#This Row],[PRN Med Discontinued]]&gt;BM$4,ISBLANK(Tbl_ResidentData[[#This Row],[PRN Med Discontinued]])))</f>
        <v>0</v>
      </c>
      <c r="CL81" s="121" t="b">
        <f ca="1">AND(Tbl_ResidentData[[#This Row],[PRN Med Started]]&lt;&gt;"",Tbl_ResidentData[[#This Row],[PRN Med Started]]&lt;=NOW(),Tbl_ResidentData[[#This Row],[PRN Med Started]]&lt;=BN$4,OR(Tbl_ResidentData[[#This Row],[PRN Med Discontinued]]&gt;BN$4,ISBLANK(Tbl_ResidentData[[#This Row],[PRN Med Discontinued]])))</f>
        <v>0</v>
      </c>
      <c r="CM81" s="121" t="b">
        <f ca="1">AND(Tbl_ResidentData[[#This Row],[PRN Med Started]]&lt;&gt;"",Tbl_ResidentData[[#This Row],[PRN Med Started]]&lt;=NOW(),Tbl_ResidentData[[#This Row],[PRN Med Started]]&lt;=BO$4,OR(Tbl_ResidentData[[#This Row],[PRN Med Discontinued]]&gt;BO$4,ISBLANK(Tbl_ResidentData[[#This Row],[PRN Med Discontinued]])))</f>
        <v>0</v>
      </c>
      <c r="CN81" s="122" t="b">
        <f ca="1">AND(Tbl_ResidentData[[#This Row],[PRN Med Started]]&lt;&gt;"",Tbl_ResidentData[[#This Row],[PRN Med Started]]&lt;=NOW(),Tbl_ResidentData[[#This Row],[PRN Med Started]]&lt;=BP$4,OR(Tbl_ResidentData[[#This Row],[PRN Med Discontinued]]&gt;BP$4,ISBLANK(Tbl_ResidentData[[#This Row],[PRN Med Discontinued]])))</f>
        <v>0</v>
      </c>
      <c r="CO81" s="120">
        <f ca="1">IF(OR(Tbl_ResidentData[[#This Row],[S1]]=TRUE,Tbl_ResidentData[[#This Row],[P1]]=TRUE),1,0)</f>
        <v>0</v>
      </c>
      <c r="CP81" s="121">
        <f ca="1">IF(OR(Tbl_ResidentData[[#This Row],[S2]]=TRUE,Tbl_ResidentData[[#This Row],[P2]]=TRUE),1,0)</f>
        <v>0</v>
      </c>
      <c r="CQ81" s="121">
        <f ca="1">IF(OR(Tbl_ResidentData[[#This Row],[S3]]=TRUE,Tbl_ResidentData[[#This Row],[P3]]=TRUE),1,0)</f>
        <v>0</v>
      </c>
      <c r="CR81" s="120">
        <f ca="1">IF(OR(Tbl_ResidentData[[#This Row],[S4]]=TRUE,Tbl_ResidentData[[#This Row],[P4]]=TRUE),1,0)</f>
        <v>0</v>
      </c>
      <c r="CS81" s="120">
        <f ca="1">IF(OR(Tbl_ResidentData[[#This Row],[S5]]=TRUE,Tbl_ResidentData[[#This Row],[P5]]=TRUE),1,0)</f>
        <v>0</v>
      </c>
      <c r="CT81" s="120">
        <f ca="1">IF(OR(Tbl_ResidentData[[#This Row],[S6]]=TRUE,Tbl_ResidentData[[#This Row],[P6]]=TRUE),1,0)</f>
        <v>0</v>
      </c>
      <c r="CU81" s="120">
        <f ca="1">IF(OR(Tbl_ResidentData[[#This Row],[S7]]=TRUE,Tbl_ResidentData[[#This Row],[P7]]=TRUE),1,0)</f>
        <v>0</v>
      </c>
      <c r="CV81" s="120">
        <f ca="1">IF(OR(Tbl_ResidentData[[#This Row],[S8]]=TRUE,Tbl_ResidentData[[#This Row],[P8]]=TRUE),1,0)</f>
        <v>0</v>
      </c>
      <c r="CW81" s="120">
        <f ca="1">IF(OR(Tbl_ResidentData[[#This Row],[S9]]=TRUE,Tbl_ResidentData[[#This Row],[P9]]=TRUE),1,0)</f>
        <v>0</v>
      </c>
      <c r="CX81" s="120">
        <f ca="1">IF(OR(Tbl_ResidentData[[#This Row],[S10]]=TRUE,Tbl_ResidentData[[#This Row],[P10]]=TRUE),1,0)</f>
        <v>0</v>
      </c>
      <c r="CY81" s="120">
        <f ca="1">IF(OR(Tbl_ResidentData[[#This Row],[S11]]=TRUE,Tbl_ResidentData[[#This Row],[P11]]=TRUE),1,0)</f>
        <v>0</v>
      </c>
      <c r="CZ81" s="120">
        <f ca="1">IF(OR(Tbl_ResidentData[[#This Row],[S12]]=TRUE,Tbl_ResidentData[[#This Row],[P12]]=TRUE),1,0)</f>
        <v>0</v>
      </c>
      <c r="DA81" s="120">
        <f ca="1">IF(OR(Tbl_ResidentData[[#This Row],[S13]]=TRUE,Tbl_ResidentData[[#This Row],[P13]]=TRUE),1,0)</f>
        <v>0</v>
      </c>
      <c r="DB81" s="120">
        <f ca="1">IF(OR(Tbl_ResidentData[[#This Row],[S14]]=TRUE,Tbl_ResidentData[[#This Row],[P14]]=TRUE),1,0)</f>
        <v>0</v>
      </c>
      <c r="DC81" s="120">
        <f ca="1">IF(OR(Tbl_ResidentData[[#This Row],[S15]]=TRUE,Tbl_ResidentData[[#This Row],[P15]]=TRUE),1,0)</f>
        <v>0</v>
      </c>
      <c r="DD81" s="120">
        <f ca="1">IF(OR(Tbl_ResidentData[[#This Row],[S16]]=TRUE,Tbl_ResidentData[[#This Row],[P16]]=TRUE),1,0)</f>
        <v>0</v>
      </c>
      <c r="DE81" s="120">
        <f ca="1">IF(OR(Tbl_ResidentData[[#This Row],[S17]]=TRUE,Tbl_ResidentData[[#This Row],[P17]]=TRUE),1,0)</f>
        <v>0</v>
      </c>
      <c r="DF81" s="120">
        <f ca="1">IF(OR(Tbl_ResidentData[[#This Row],[S18]]=TRUE,Tbl_ResidentData[[#This Row],[P18]]=TRUE),1,0)</f>
        <v>0</v>
      </c>
      <c r="DG81" s="120">
        <f ca="1">IF(OR(Tbl_ResidentData[[#This Row],[S19]]=TRUE,Tbl_ResidentData[[#This Row],[P19]]=TRUE),1,0)</f>
        <v>0</v>
      </c>
      <c r="DH81" s="120">
        <f ca="1">IF(OR(Tbl_ResidentData[[#This Row],[S20]]=TRUE,Tbl_ResidentData[[#This Row],[P20]]=TRUE),1,0)</f>
        <v>0</v>
      </c>
      <c r="DI81" s="120">
        <f ca="1">IF(OR(Tbl_ResidentData[[#This Row],[S21]]=TRUE,Tbl_ResidentData[[#This Row],[P21]]=TRUE),1,0)</f>
        <v>0</v>
      </c>
      <c r="DJ81" s="120">
        <f ca="1">IF(OR(Tbl_ResidentData[[#This Row],[S22]]=TRUE,Tbl_ResidentData[[#This Row],[P22]]=TRUE),1,0)</f>
        <v>0</v>
      </c>
      <c r="DK81" s="120">
        <f ca="1">IF(OR(Tbl_ResidentData[[#This Row],[S23]]=TRUE,Tbl_ResidentData[[#This Row],[P23]]=TRUE),1,0)</f>
        <v>0</v>
      </c>
      <c r="DL81" s="120">
        <f ca="1">IF(OR(Tbl_ResidentData[[#This Row],[S24]]=TRUE,Tbl_ResidentData[[#This Row],[P24]]=TRUE),1,0)</f>
        <v>0</v>
      </c>
      <c r="DM81" s="123" t="str">
        <f ca="1">IFERROR(INDEX($CO$4:$DL$4,MATCH(TRUE,INDEX((Tbl_ResidentData[[#This Row],[Over1]:[Over24]]&lt;&gt;0),0),0)),"")</f>
        <v/>
      </c>
      <c r="DN81" s="133" t="str">
        <f>IFERROR(INDEX(Tbl_PDSAData[Last DRT],MATCH(Tbl_ResidentData[Resident Name '[last, first']],Tbl_PDSAData[Resident Name (last, first)],0)),"")</f>
        <v/>
      </c>
      <c r="DO81" s="222" t="str">
        <f>IFERROR(INDEX(Tbl_PDSAData[Last MR],MATCH(Tbl_ResidentData[Resident Name '[last, first']],Tbl_PDSAData[Resident Name (last, first)],0)),"")</f>
        <v/>
      </c>
    </row>
    <row r="82" spans="1:119" x14ac:dyDescent="0.25">
      <c r="A82" s="179"/>
      <c r="B82" s="180"/>
      <c r="C82" s="180"/>
      <c r="D82" s="218"/>
      <c r="E82" s="179"/>
      <c r="F82" s="181"/>
      <c r="G82" s="181"/>
      <c r="H82" s="375"/>
      <c r="I82" s="185"/>
      <c r="J82" s="387"/>
      <c r="K82" s="178"/>
      <c r="L82" s="388"/>
      <c r="M82" s="185"/>
      <c r="N82" s="386"/>
      <c r="O82" s="178"/>
      <c r="P82" s="388"/>
      <c r="Q82" s="394"/>
      <c r="R82" s="388"/>
      <c r="S82" s="131" t="str">
        <f>IF(ISBLANK(Tbl_ResidentData[[#This Row],[Discharge '[mmm-yyyy']]]),IF(ISBLANK(Tbl_ResidentData[[#This Row],[Enrollment '[mmm-yyyy']]]),"","In Care Home"),"Discharged")</f>
        <v/>
      </c>
      <c r="T82" s="119" t="str">
        <f>IF(ISBLANK(Tbl_ResidentData[[#This Row],[Diagnosis (RAI)]]),IF(ISBLANK(Tbl_ResidentData[[#This Row],[Resident Name '[last, first']]]),"",0),IF(Tbl_ResidentData[[#This Row],[Diagnosis (RAI)]]="Other (see clinical notes)",0,1))</f>
        <v/>
      </c>
      <c r="U82" s="120" t="str">
        <f ca="1">IF(U$4&gt;NOW(),"-",IF(ISBLANK(Tbl_ResidentData[[#This Row],[Enrollment '[mmm-yyyy']]]),"-",AND((Tbl_ResidentData[[#This Row],[Enrollment '[mmm-yyyy']]]&lt;=U$4),IF(ISBLANK(Tbl_ResidentData[[#This Row],[Discharge '[mmm-yyyy']]]),TRUE,(Tbl_ResidentData[[#This Row],[Discharge '[mmm-yyyy']]]&gt;=U$4)))))</f>
        <v>-</v>
      </c>
      <c r="V82" s="121" t="str">
        <f ca="1">IF(V$4&gt;NOW(),"-",IF(ISBLANK(Tbl_ResidentData[[#This Row],[Enrollment '[mmm-yyyy']]]),"-",AND((Tbl_ResidentData[[#This Row],[Enrollment '[mmm-yyyy']]]&lt;=V$4),IF(ISBLANK(Tbl_ResidentData[[#This Row],[Discharge '[mmm-yyyy']]]),TRUE,(Tbl_ResidentData[[#This Row],[Discharge '[mmm-yyyy']]]&gt;=V$4)))))</f>
        <v>-</v>
      </c>
      <c r="W82" s="121" t="str">
        <f ca="1">IF(W$4&gt;NOW(),"-",IF(ISBLANK(Tbl_ResidentData[[#This Row],[Enrollment '[mmm-yyyy']]]),"-",AND((Tbl_ResidentData[[#This Row],[Enrollment '[mmm-yyyy']]]&lt;=W$4),IF(ISBLANK(Tbl_ResidentData[[#This Row],[Discharge '[mmm-yyyy']]]),TRUE,(Tbl_ResidentData[[#This Row],[Discharge '[mmm-yyyy']]]&gt;=W$4)))))</f>
        <v>-</v>
      </c>
      <c r="X82" s="121" t="str">
        <f ca="1">IF(X$4&gt;NOW(),"-",IF(ISBLANK(Tbl_ResidentData[[#This Row],[Enrollment '[mmm-yyyy']]]),"-",AND((Tbl_ResidentData[[#This Row],[Enrollment '[mmm-yyyy']]]&lt;=X$4),IF(ISBLANK(Tbl_ResidentData[[#This Row],[Discharge '[mmm-yyyy']]]),TRUE,(Tbl_ResidentData[[#This Row],[Discharge '[mmm-yyyy']]]&gt;=X$4)))))</f>
        <v>-</v>
      </c>
      <c r="Y82" s="121" t="str">
        <f ca="1">IF(Y$4&gt;NOW(),"-",IF(ISBLANK(Tbl_ResidentData[[#This Row],[Enrollment '[mmm-yyyy']]]),"-",AND((Tbl_ResidentData[[#This Row],[Enrollment '[mmm-yyyy']]]&lt;=Y$4),IF(ISBLANK(Tbl_ResidentData[[#This Row],[Discharge '[mmm-yyyy']]]),TRUE,(Tbl_ResidentData[[#This Row],[Discharge '[mmm-yyyy']]]&gt;=Y$4)))))</f>
        <v>-</v>
      </c>
      <c r="Z82" s="121" t="str">
        <f ca="1">IF(Z$4&gt;NOW(),"-",IF(ISBLANK(Tbl_ResidentData[[#This Row],[Enrollment '[mmm-yyyy']]]),"-",AND((Tbl_ResidentData[[#This Row],[Enrollment '[mmm-yyyy']]]&lt;=Z$4),IF(ISBLANK(Tbl_ResidentData[[#This Row],[Discharge '[mmm-yyyy']]]),TRUE,(Tbl_ResidentData[[#This Row],[Discharge '[mmm-yyyy']]]&gt;=Z$4)))))</f>
        <v>-</v>
      </c>
      <c r="AA82" s="121" t="str">
        <f ca="1">IF(AA$4&gt;NOW(),"-",IF(ISBLANK(Tbl_ResidentData[[#This Row],[Enrollment '[mmm-yyyy']]]),"-",AND((Tbl_ResidentData[[#This Row],[Enrollment '[mmm-yyyy']]]&lt;=AA$4),IF(ISBLANK(Tbl_ResidentData[[#This Row],[Discharge '[mmm-yyyy']]]),TRUE,(Tbl_ResidentData[[#This Row],[Discharge '[mmm-yyyy']]]&gt;=AA$4)))))</f>
        <v>-</v>
      </c>
      <c r="AB82" s="121" t="str">
        <f ca="1">IF(AB$4&gt;NOW(),"-",IF(ISBLANK(Tbl_ResidentData[[#This Row],[Enrollment '[mmm-yyyy']]]),"-",AND((Tbl_ResidentData[[#This Row],[Enrollment '[mmm-yyyy']]]&lt;=AB$4),IF(ISBLANK(Tbl_ResidentData[[#This Row],[Discharge '[mmm-yyyy']]]),TRUE,(Tbl_ResidentData[[#This Row],[Discharge '[mmm-yyyy']]]&gt;=AB$4)))))</f>
        <v>-</v>
      </c>
      <c r="AC82" s="121" t="str">
        <f ca="1">IF(AC$4&gt;NOW(),"-",IF(ISBLANK(Tbl_ResidentData[[#This Row],[Enrollment '[mmm-yyyy']]]),"-",AND((Tbl_ResidentData[[#This Row],[Enrollment '[mmm-yyyy']]]&lt;=AC$4),IF(ISBLANK(Tbl_ResidentData[[#This Row],[Discharge '[mmm-yyyy']]]),TRUE,(Tbl_ResidentData[[#This Row],[Discharge '[mmm-yyyy']]]&gt;=AC$4)))))</f>
        <v>-</v>
      </c>
      <c r="AD82" s="121" t="str">
        <f ca="1">IF(AD$4&gt;NOW(),"-",IF(ISBLANK(Tbl_ResidentData[[#This Row],[Enrollment '[mmm-yyyy']]]),"-",AND((Tbl_ResidentData[[#This Row],[Enrollment '[mmm-yyyy']]]&lt;=AD$4),IF(ISBLANK(Tbl_ResidentData[[#This Row],[Discharge '[mmm-yyyy']]]),TRUE,(Tbl_ResidentData[[#This Row],[Discharge '[mmm-yyyy']]]&gt;=AD$4)))))</f>
        <v>-</v>
      </c>
      <c r="AE82" s="121" t="str">
        <f ca="1">IF(AE$4&gt;NOW(),"-",IF(ISBLANK(Tbl_ResidentData[[#This Row],[Enrollment '[mmm-yyyy']]]),"-",AND((Tbl_ResidentData[[#This Row],[Enrollment '[mmm-yyyy']]]&lt;=AE$4),IF(ISBLANK(Tbl_ResidentData[[#This Row],[Discharge '[mmm-yyyy']]]),TRUE,(Tbl_ResidentData[[#This Row],[Discharge '[mmm-yyyy']]]&gt;=AE$4)))))</f>
        <v>-</v>
      </c>
      <c r="AF82" s="121" t="str">
        <f ca="1">IF(AF$4&gt;NOW(),"-",IF(ISBLANK(Tbl_ResidentData[[#This Row],[Enrollment '[mmm-yyyy']]]),"-",AND((Tbl_ResidentData[[#This Row],[Enrollment '[mmm-yyyy']]]&lt;=AF$4),IF(ISBLANK(Tbl_ResidentData[[#This Row],[Discharge '[mmm-yyyy']]]),TRUE,(Tbl_ResidentData[[#This Row],[Discharge '[mmm-yyyy']]]&gt;=AF$4)))))</f>
        <v>-</v>
      </c>
      <c r="AG82" s="121" t="str">
        <f ca="1">IF(AG$4&gt;NOW(),"-",IF(ISBLANK(Tbl_ResidentData[[#This Row],[Enrollment '[mmm-yyyy']]]),"-",AND((Tbl_ResidentData[[#This Row],[Enrollment '[mmm-yyyy']]]&lt;=AG$4),IF(ISBLANK(Tbl_ResidentData[[#This Row],[Discharge '[mmm-yyyy']]]),TRUE,(Tbl_ResidentData[[#This Row],[Discharge '[mmm-yyyy']]]&gt;=AG$4)))))</f>
        <v>-</v>
      </c>
      <c r="AH82" s="121" t="str">
        <f ca="1">IF(AH$4&gt;NOW(),"-",IF(ISBLANK(Tbl_ResidentData[[#This Row],[Enrollment '[mmm-yyyy']]]),"-",AND((Tbl_ResidentData[[#This Row],[Enrollment '[mmm-yyyy']]]&lt;=AH$4),IF(ISBLANK(Tbl_ResidentData[[#This Row],[Discharge '[mmm-yyyy']]]),TRUE,(Tbl_ResidentData[[#This Row],[Discharge '[mmm-yyyy']]]&gt;=AH$4)))))</f>
        <v>-</v>
      </c>
      <c r="AI82" s="121" t="str">
        <f ca="1">IF(AI$4&gt;NOW(),"-",IF(ISBLANK(Tbl_ResidentData[[#This Row],[Enrollment '[mmm-yyyy']]]),"-",AND((Tbl_ResidentData[[#This Row],[Enrollment '[mmm-yyyy']]]&lt;=AI$4),IF(ISBLANK(Tbl_ResidentData[[#This Row],[Discharge '[mmm-yyyy']]]),TRUE,(Tbl_ResidentData[[#This Row],[Discharge '[mmm-yyyy']]]&gt;=AI$4)))))</f>
        <v>-</v>
      </c>
      <c r="AJ82" s="121" t="str">
        <f ca="1">IF(AJ$4&gt;NOW(),"-",IF(ISBLANK(Tbl_ResidentData[[#This Row],[Enrollment '[mmm-yyyy']]]),"-",AND((Tbl_ResidentData[[#This Row],[Enrollment '[mmm-yyyy']]]&lt;=AJ$4),IF(ISBLANK(Tbl_ResidentData[[#This Row],[Discharge '[mmm-yyyy']]]),TRUE,(Tbl_ResidentData[[#This Row],[Discharge '[mmm-yyyy']]]&gt;=AJ$4)))))</f>
        <v>-</v>
      </c>
      <c r="AK82" s="121" t="str">
        <f ca="1">IF(AK$4&gt;NOW(),"-",IF(ISBLANK(Tbl_ResidentData[[#This Row],[Enrollment '[mmm-yyyy']]]),"-",AND((Tbl_ResidentData[[#This Row],[Enrollment '[mmm-yyyy']]]&lt;=AK$4),IF(ISBLANK(Tbl_ResidentData[[#This Row],[Discharge '[mmm-yyyy']]]),TRUE,(Tbl_ResidentData[[#This Row],[Discharge '[mmm-yyyy']]]&gt;=AK$4)))))</f>
        <v>-</v>
      </c>
      <c r="AL82" s="121" t="str">
        <f ca="1">IF(AL$4&gt;NOW(),"-",IF(ISBLANK(Tbl_ResidentData[[#This Row],[Enrollment '[mmm-yyyy']]]),"-",AND((Tbl_ResidentData[[#This Row],[Enrollment '[mmm-yyyy']]]&lt;=AL$4),IF(ISBLANK(Tbl_ResidentData[[#This Row],[Discharge '[mmm-yyyy']]]),TRUE,(Tbl_ResidentData[[#This Row],[Discharge '[mmm-yyyy']]]&gt;=AL$4)))))</f>
        <v>-</v>
      </c>
      <c r="AM82" s="121" t="str">
        <f ca="1">IF(AM$4&gt;NOW(),"-",IF(ISBLANK(Tbl_ResidentData[[#This Row],[Enrollment '[mmm-yyyy']]]),"-",AND((Tbl_ResidentData[[#This Row],[Enrollment '[mmm-yyyy']]]&lt;=AM$4),IF(ISBLANK(Tbl_ResidentData[[#This Row],[Discharge '[mmm-yyyy']]]),TRUE,(Tbl_ResidentData[[#This Row],[Discharge '[mmm-yyyy']]]&gt;=AM$4)))))</f>
        <v>-</v>
      </c>
      <c r="AN82" s="121" t="str">
        <f ca="1">IF(AN$4&gt;NOW(),"-",IF(ISBLANK(Tbl_ResidentData[[#This Row],[Enrollment '[mmm-yyyy']]]),"-",AND((Tbl_ResidentData[[#This Row],[Enrollment '[mmm-yyyy']]]&lt;=AN$4),IF(ISBLANK(Tbl_ResidentData[[#This Row],[Discharge '[mmm-yyyy']]]),TRUE,(Tbl_ResidentData[[#This Row],[Discharge '[mmm-yyyy']]]&gt;=AN$4)))))</f>
        <v>-</v>
      </c>
      <c r="AO82" s="121" t="str">
        <f ca="1">IF(AO$4&gt;NOW(),"-",IF(ISBLANK(Tbl_ResidentData[[#This Row],[Enrollment '[mmm-yyyy']]]),"-",AND((Tbl_ResidentData[[#This Row],[Enrollment '[mmm-yyyy']]]&lt;=AO$4),IF(ISBLANK(Tbl_ResidentData[[#This Row],[Discharge '[mmm-yyyy']]]),TRUE,(Tbl_ResidentData[[#This Row],[Discharge '[mmm-yyyy']]]&gt;=AO$4)))))</f>
        <v>-</v>
      </c>
      <c r="AP82" s="121" t="str">
        <f ca="1">IF(AP$4&gt;NOW(),"-",IF(ISBLANK(Tbl_ResidentData[[#This Row],[Enrollment '[mmm-yyyy']]]),"-",AND((Tbl_ResidentData[[#This Row],[Enrollment '[mmm-yyyy']]]&lt;=AP$4),IF(ISBLANK(Tbl_ResidentData[[#This Row],[Discharge '[mmm-yyyy']]]),TRUE,(Tbl_ResidentData[[#This Row],[Discharge '[mmm-yyyy']]]&gt;=AP$4)))))</f>
        <v>-</v>
      </c>
      <c r="AQ82" s="121" t="str">
        <f ca="1">IF(AQ$4&gt;NOW(),"-",IF(ISBLANK(Tbl_ResidentData[[#This Row],[Enrollment '[mmm-yyyy']]]),"-",AND((Tbl_ResidentData[[#This Row],[Enrollment '[mmm-yyyy']]]&lt;=AQ$4),IF(ISBLANK(Tbl_ResidentData[[#This Row],[Discharge '[mmm-yyyy']]]),TRUE,(Tbl_ResidentData[[#This Row],[Discharge '[mmm-yyyy']]]&gt;=AQ$4)))))</f>
        <v>-</v>
      </c>
      <c r="AR82" s="122" t="str">
        <f ca="1">IF(AR$4&gt;NOW(),"-",IF(ISBLANK(Tbl_ResidentData[[#This Row],[Enrollment '[mmm-yyyy']]]),"-",AND((Tbl_ResidentData[[#This Row],[Enrollment '[mmm-yyyy']]]&lt;=AR$4),IF(ISBLANK(Tbl_ResidentData[[#This Row],[Discharge '[mmm-yyyy']]]),TRUE,(Tbl_ResidentData[[#This Row],[Discharge '[mmm-yyyy']]]&gt;=AR$4)))))</f>
        <v>-</v>
      </c>
      <c r="AS8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2" s="120" t="b">
        <f ca="1">AND(Tbl_ResidentData[[#This Row],[PRN Med Started]]&lt;&gt;"",Tbl_ResidentData[[#This Row],[PRN Med Started]]&lt;=NOW(),Tbl_ResidentData[[#This Row],[PRN Med Started]]&lt;=AS$4,OR(Tbl_ResidentData[[#This Row],[PRN Med Discontinued]]&gt;AS$4,ISBLANK(Tbl_ResidentData[[#This Row],[PRN Med Discontinued]])))</f>
        <v>0</v>
      </c>
      <c r="BR82" s="121" t="b">
        <f ca="1">AND(Tbl_ResidentData[[#This Row],[PRN Med Started]]&lt;&gt;"",Tbl_ResidentData[[#This Row],[PRN Med Started]]&lt;=NOW(),Tbl_ResidentData[[#This Row],[PRN Med Started]]&lt;=AT$4,OR(Tbl_ResidentData[[#This Row],[PRN Med Discontinued]]&gt;AT$4,ISBLANK(Tbl_ResidentData[[#This Row],[PRN Med Discontinued]])))</f>
        <v>0</v>
      </c>
      <c r="BS82" s="121" t="b">
        <f ca="1">AND(Tbl_ResidentData[[#This Row],[PRN Med Started]]&lt;&gt;"",Tbl_ResidentData[[#This Row],[PRN Med Started]]&lt;=NOW(),Tbl_ResidentData[[#This Row],[PRN Med Started]]&lt;=AU$4,OR(Tbl_ResidentData[[#This Row],[PRN Med Discontinued]]&gt;AU$4,ISBLANK(Tbl_ResidentData[[#This Row],[PRN Med Discontinued]])))</f>
        <v>0</v>
      </c>
      <c r="BT82" s="121" t="b">
        <f ca="1">AND(Tbl_ResidentData[[#This Row],[PRN Med Started]]&lt;&gt;"",Tbl_ResidentData[[#This Row],[PRN Med Started]]&lt;=NOW(),Tbl_ResidentData[[#This Row],[PRN Med Started]]&lt;=AV$4,OR(Tbl_ResidentData[[#This Row],[PRN Med Discontinued]]&gt;AV$4,ISBLANK(Tbl_ResidentData[[#This Row],[PRN Med Discontinued]])))</f>
        <v>0</v>
      </c>
      <c r="BU82" s="121" t="b">
        <f ca="1">AND(Tbl_ResidentData[[#This Row],[PRN Med Started]]&lt;&gt;"",Tbl_ResidentData[[#This Row],[PRN Med Started]]&lt;=NOW(),Tbl_ResidentData[[#This Row],[PRN Med Started]]&lt;=AW$4,OR(Tbl_ResidentData[[#This Row],[PRN Med Discontinued]]&gt;AW$4,ISBLANK(Tbl_ResidentData[[#This Row],[PRN Med Discontinued]])))</f>
        <v>0</v>
      </c>
      <c r="BV82" s="121" t="b">
        <f ca="1">AND(Tbl_ResidentData[[#This Row],[PRN Med Started]]&lt;&gt;"",Tbl_ResidentData[[#This Row],[PRN Med Started]]&lt;=NOW(),Tbl_ResidentData[[#This Row],[PRN Med Started]]&lt;=AX$4,OR(Tbl_ResidentData[[#This Row],[PRN Med Discontinued]]&gt;AX$4,ISBLANK(Tbl_ResidentData[[#This Row],[PRN Med Discontinued]])))</f>
        <v>0</v>
      </c>
      <c r="BW82" s="121" t="b">
        <f ca="1">AND(Tbl_ResidentData[[#This Row],[PRN Med Started]]&lt;&gt;"",Tbl_ResidentData[[#This Row],[PRN Med Started]]&lt;=NOW(),Tbl_ResidentData[[#This Row],[PRN Med Started]]&lt;=AY$4,OR(Tbl_ResidentData[[#This Row],[PRN Med Discontinued]]&gt;AY$4,ISBLANK(Tbl_ResidentData[[#This Row],[PRN Med Discontinued]])))</f>
        <v>0</v>
      </c>
      <c r="BX82" s="121" t="b">
        <f ca="1">AND(Tbl_ResidentData[[#This Row],[PRN Med Started]]&lt;&gt;"",Tbl_ResidentData[[#This Row],[PRN Med Started]]&lt;=NOW(),Tbl_ResidentData[[#This Row],[PRN Med Started]]&lt;=AZ$4,OR(Tbl_ResidentData[[#This Row],[PRN Med Discontinued]]&gt;AZ$4,ISBLANK(Tbl_ResidentData[[#This Row],[PRN Med Discontinued]])))</f>
        <v>0</v>
      </c>
      <c r="BY82" s="121" t="b">
        <f ca="1">AND(Tbl_ResidentData[[#This Row],[PRN Med Started]]&lt;&gt;"",Tbl_ResidentData[[#This Row],[PRN Med Started]]&lt;=NOW(),Tbl_ResidentData[[#This Row],[PRN Med Started]]&lt;=BA$4,OR(Tbl_ResidentData[[#This Row],[PRN Med Discontinued]]&gt;BA$4,ISBLANK(Tbl_ResidentData[[#This Row],[PRN Med Discontinued]])))</f>
        <v>0</v>
      </c>
      <c r="BZ82" s="121" t="b">
        <f ca="1">AND(Tbl_ResidentData[[#This Row],[PRN Med Started]]&lt;&gt;"",Tbl_ResidentData[[#This Row],[PRN Med Started]]&lt;=NOW(),Tbl_ResidentData[[#This Row],[PRN Med Started]]&lt;=BB$4,OR(Tbl_ResidentData[[#This Row],[PRN Med Discontinued]]&gt;BB$4,ISBLANK(Tbl_ResidentData[[#This Row],[PRN Med Discontinued]])))</f>
        <v>0</v>
      </c>
      <c r="CA82" s="121" t="b">
        <f ca="1">AND(Tbl_ResidentData[[#This Row],[PRN Med Started]]&lt;&gt;"",Tbl_ResidentData[[#This Row],[PRN Med Started]]&lt;=NOW(),Tbl_ResidentData[[#This Row],[PRN Med Started]]&lt;=BC$4,OR(Tbl_ResidentData[[#This Row],[PRN Med Discontinued]]&gt;BC$4,ISBLANK(Tbl_ResidentData[[#This Row],[PRN Med Discontinued]])))</f>
        <v>0</v>
      </c>
      <c r="CB82" s="121" t="b">
        <f ca="1">AND(Tbl_ResidentData[[#This Row],[PRN Med Started]]&lt;&gt;"",Tbl_ResidentData[[#This Row],[PRN Med Started]]&lt;=NOW(),Tbl_ResidentData[[#This Row],[PRN Med Started]]&lt;=BD$4,OR(Tbl_ResidentData[[#This Row],[PRN Med Discontinued]]&gt;BD$4,ISBLANK(Tbl_ResidentData[[#This Row],[PRN Med Discontinued]])))</f>
        <v>0</v>
      </c>
      <c r="CC82" s="121" t="b">
        <f ca="1">AND(Tbl_ResidentData[[#This Row],[PRN Med Started]]&lt;&gt;"",Tbl_ResidentData[[#This Row],[PRN Med Started]]&lt;=NOW(),Tbl_ResidentData[[#This Row],[PRN Med Started]]&lt;=BE$4,OR(Tbl_ResidentData[[#This Row],[PRN Med Discontinued]]&gt;BE$4,ISBLANK(Tbl_ResidentData[[#This Row],[PRN Med Discontinued]])))</f>
        <v>0</v>
      </c>
      <c r="CD82" s="121" t="b">
        <f ca="1">AND(Tbl_ResidentData[[#This Row],[PRN Med Started]]&lt;&gt;"",Tbl_ResidentData[[#This Row],[PRN Med Started]]&lt;=NOW(),Tbl_ResidentData[[#This Row],[PRN Med Started]]&lt;=BF$4,OR(Tbl_ResidentData[[#This Row],[PRN Med Discontinued]]&gt;BF$4,ISBLANK(Tbl_ResidentData[[#This Row],[PRN Med Discontinued]])))</f>
        <v>0</v>
      </c>
      <c r="CE82" s="121" t="b">
        <f ca="1">AND(Tbl_ResidentData[[#This Row],[PRN Med Started]]&lt;&gt;"",Tbl_ResidentData[[#This Row],[PRN Med Started]]&lt;=NOW(),Tbl_ResidentData[[#This Row],[PRN Med Started]]&lt;=BG$4,OR(Tbl_ResidentData[[#This Row],[PRN Med Discontinued]]&gt;BG$4,ISBLANK(Tbl_ResidentData[[#This Row],[PRN Med Discontinued]])))</f>
        <v>0</v>
      </c>
      <c r="CF82" s="121" t="b">
        <f ca="1">AND(Tbl_ResidentData[[#This Row],[PRN Med Started]]&lt;&gt;"",Tbl_ResidentData[[#This Row],[PRN Med Started]]&lt;=NOW(),Tbl_ResidentData[[#This Row],[PRN Med Started]]&lt;=BH$4,OR(Tbl_ResidentData[[#This Row],[PRN Med Discontinued]]&gt;BH$4,ISBLANK(Tbl_ResidentData[[#This Row],[PRN Med Discontinued]])))</f>
        <v>0</v>
      </c>
      <c r="CG82" s="121" t="b">
        <f ca="1">AND(Tbl_ResidentData[[#This Row],[PRN Med Started]]&lt;&gt;"",Tbl_ResidentData[[#This Row],[PRN Med Started]]&lt;=NOW(),Tbl_ResidentData[[#This Row],[PRN Med Started]]&lt;=BI$4,OR(Tbl_ResidentData[[#This Row],[PRN Med Discontinued]]&gt;BI$4,ISBLANK(Tbl_ResidentData[[#This Row],[PRN Med Discontinued]])))</f>
        <v>0</v>
      </c>
      <c r="CH82" s="121" t="b">
        <f ca="1">AND(Tbl_ResidentData[[#This Row],[PRN Med Started]]&lt;&gt;"",Tbl_ResidentData[[#This Row],[PRN Med Started]]&lt;=NOW(),Tbl_ResidentData[[#This Row],[PRN Med Started]]&lt;=BJ$4,OR(Tbl_ResidentData[[#This Row],[PRN Med Discontinued]]&gt;BJ$4,ISBLANK(Tbl_ResidentData[[#This Row],[PRN Med Discontinued]])))</f>
        <v>0</v>
      </c>
      <c r="CI82" s="121" t="b">
        <f ca="1">AND(Tbl_ResidentData[[#This Row],[PRN Med Started]]&lt;&gt;"",Tbl_ResidentData[[#This Row],[PRN Med Started]]&lt;=NOW(),Tbl_ResidentData[[#This Row],[PRN Med Started]]&lt;=BK$4,OR(Tbl_ResidentData[[#This Row],[PRN Med Discontinued]]&gt;BK$4,ISBLANK(Tbl_ResidentData[[#This Row],[PRN Med Discontinued]])))</f>
        <v>0</v>
      </c>
      <c r="CJ82" s="121" t="b">
        <f ca="1">AND(Tbl_ResidentData[[#This Row],[PRN Med Started]]&lt;&gt;"",Tbl_ResidentData[[#This Row],[PRN Med Started]]&lt;=NOW(),Tbl_ResidentData[[#This Row],[PRN Med Started]]&lt;=BL$4,OR(Tbl_ResidentData[[#This Row],[PRN Med Discontinued]]&gt;BL$4,ISBLANK(Tbl_ResidentData[[#This Row],[PRN Med Discontinued]])))</f>
        <v>0</v>
      </c>
      <c r="CK82" s="121" t="b">
        <f ca="1">AND(Tbl_ResidentData[[#This Row],[PRN Med Started]]&lt;&gt;"",Tbl_ResidentData[[#This Row],[PRN Med Started]]&lt;=NOW(),Tbl_ResidentData[[#This Row],[PRN Med Started]]&lt;=BM$4,OR(Tbl_ResidentData[[#This Row],[PRN Med Discontinued]]&gt;BM$4,ISBLANK(Tbl_ResidentData[[#This Row],[PRN Med Discontinued]])))</f>
        <v>0</v>
      </c>
      <c r="CL82" s="121" t="b">
        <f ca="1">AND(Tbl_ResidentData[[#This Row],[PRN Med Started]]&lt;&gt;"",Tbl_ResidentData[[#This Row],[PRN Med Started]]&lt;=NOW(),Tbl_ResidentData[[#This Row],[PRN Med Started]]&lt;=BN$4,OR(Tbl_ResidentData[[#This Row],[PRN Med Discontinued]]&gt;BN$4,ISBLANK(Tbl_ResidentData[[#This Row],[PRN Med Discontinued]])))</f>
        <v>0</v>
      </c>
      <c r="CM82" s="121" t="b">
        <f ca="1">AND(Tbl_ResidentData[[#This Row],[PRN Med Started]]&lt;&gt;"",Tbl_ResidentData[[#This Row],[PRN Med Started]]&lt;=NOW(),Tbl_ResidentData[[#This Row],[PRN Med Started]]&lt;=BO$4,OR(Tbl_ResidentData[[#This Row],[PRN Med Discontinued]]&gt;BO$4,ISBLANK(Tbl_ResidentData[[#This Row],[PRN Med Discontinued]])))</f>
        <v>0</v>
      </c>
      <c r="CN82" s="122" t="b">
        <f ca="1">AND(Tbl_ResidentData[[#This Row],[PRN Med Started]]&lt;&gt;"",Tbl_ResidentData[[#This Row],[PRN Med Started]]&lt;=NOW(),Tbl_ResidentData[[#This Row],[PRN Med Started]]&lt;=BP$4,OR(Tbl_ResidentData[[#This Row],[PRN Med Discontinued]]&gt;BP$4,ISBLANK(Tbl_ResidentData[[#This Row],[PRN Med Discontinued]])))</f>
        <v>0</v>
      </c>
      <c r="CO82" s="120">
        <f ca="1">IF(OR(Tbl_ResidentData[[#This Row],[S1]]=TRUE,Tbl_ResidentData[[#This Row],[P1]]=TRUE),1,0)</f>
        <v>0</v>
      </c>
      <c r="CP82" s="121">
        <f ca="1">IF(OR(Tbl_ResidentData[[#This Row],[S2]]=TRUE,Tbl_ResidentData[[#This Row],[P2]]=TRUE),1,0)</f>
        <v>0</v>
      </c>
      <c r="CQ82" s="121">
        <f ca="1">IF(OR(Tbl_ResidentData[[#This Row],[S3]]=TRUE,Tbl_ResidentData[[#This Row],[P3]]=TRUE),1,0)</f>
        <v>0</v>
      </c>
      <c r="CR82" s="120">
        <f ca="1">IF(OR(Tbl_ResidentData[[#This Row],[S4]]=TRUE,Tbl_ResidentData[[#This Row],[P4]]=TRUE),1,0)</f>
        <v>0</v>
      </c>
      <c r="CS82" s="120">
        <f ca="1">IF(OR(Tbl_ResidentData[[#This Row],[S5]]=TRUE,Tbl_ResidentData[[#This Row],[P5]]=TRUE),1,0)</f>
        <v>0</v>
      </c>
      <c r="CT82" s="120">
        <f ca="1">IF(OR(Tbl_ResidentData[[#This Row],[S6]]=TRUE,Tbl_ResidentData[[#This Row],[P6]]=TRUE),1,0)</f>
        <v>0</v>
      </c>
      <c r="CU82" s="120">
        <f ca="1">IF(OR(Tbl_ResidentData[[#This Row],[S7]]=TRUE,Tbl_ResidentData[[#This Row],[P7]]=TRUE),1,0)</f>
        <v>0</v>
      </c>
      <c r="CV82" s="120">
        <f ca="1">IF(OR(Tbl_ResidentData[[#This Row],[S8]]=TRUE,Tbl_ResidentData[[#This Row],[P8]]=TRUE),1,0)</f>
        <v>0</v>
      </c>
      <c r="CW82" s="120">
        <f ca="1">IF(OR(Tbl_ResidentData[[#This Row],[S9]]=TRUE,Tbl_ResidentData[[#This Row],[P9]]=TRUE),1,0)</f>
        <v>0</v>
      </c>
      <c r="CX82" s="120">
        <f ca="1">IF(OR(Tbl_ResidentData[[#This Row],[S10]]=TRUE,Tbl_ResidentData[[#This Row],[P10]]=TRUE),1,0)</f>
        <v>0</v>
      </c>
      <c r="CY82" s="120">
        <f ca="1">IF(OR(Tbl_ResidentData[[#This Row],[S11]]=TRUE,Tbl_ResidentData[[#This Row],[P11]]=TRUE),1,0)</f>
        <v>0</v>
      </c>
      <c r="CZ82" s="120">
        <f ca="1">IF(OR(Tbl_ResidentData[[#This Row],[S12]]=TRUE,Tbl_ResidentData[[#This Row],[P12]]=TRUE),1,0)</f>
        <v>0</v>
      </c>
      <c r="DA82" s="120">
        <f ca="1">IF(OR(Tbl_ResidentData[[#This Row],[S13]]=TRUE,Tbl_ResidentData[[#This Row],[P13]]=TRUE),1,0)</f>
        <v>0</v>
      </c>
      <c r="DB82" s="120">
        <f ca="1">IF(OR(Tbl_ResidentData[[#This Row],[S14]]=TRUE,Tbl_ResidentData[[#This Row],[P14]]=TRUE),1,0)</f>
        <v>0</v>
      </c>
      <c r="DC82" s="120">
        <f ca="1">IF(OR(Tbl_ResidentData[[#This Row],[S15]]=TRUE,Tbl_ResidentData[[#This Row],[P15]]=TRUE),1,0)</f>
        <v>0</v>
      </c>
      <c r="DD82" s="120">
        <f ca="1">IF(OR(Tbl_ResidentData[[#This Row],[S16]]=TRUE,Tbl_ResidentData[[#This Row],[P16]]=TRUE),1,0)</f>
        <v>0</v>
      </c>
      <c r="DE82" s="120">
        <f ca="1">IF(OR(Tbl_ResidentData[[#This Row],[S17]]=TRUE,Tbl_ResidentData[[#This Row],[P17]]=TRUE),1,0)</f>
        <v>0</v>
      </c>
      <c r="DF82" s="120">
        <f ca="1">IF(OR(Tbl_ResidentData[[#This Row],[S18]]=TRUE,Tbl_ResidentData[[#This Row],[P18]]=TRUE),1,0)</f>
        <v>0</v>
      </c>
      <c r="DG82" s="120">
        <f ca="1">IF(OR(Tbl_ResidentData[[#This Row],[S19]]=TRUE,Tbl_ResidentData[[#This Row],[P19]]=TRUE),1,0)</f>
        <v>0</v>
      </c>
      <c r="DH82" s="120">
        <f ca="1">IF(OR(Tbl_ResidentData[[#This Row],[S20]]=TRUE,Tbl_ResidentData[[#This Row],[P20]]=TRUE),1,0)</f>
        <v>0</v>
      </c>
      <c r="DI82" s="120">
        <f ca="1">IF(OR(Tbl_ResidentData[[#This Row],[S21]]=TRUE,Tbl_ResidentData[[#This Row],[P21]]=TRUE),1,0)</f>
        <v>0</v>
      </c>
      <c r="DJ82" s="120">
        <f ca="1">IF(OR(Tbl_ResidentData[[#This Row],[S22]]=TRUE,Tbl_ResidentData[[#This Row],[P22]]=TRUE),1,0)</f>
        <v>0</v>
      </c>
      <c r="DK82" s="120">
        <f ca="1">IF(OR(Tbl_ResidentData[[#This Row],[S23]]=TRUE,Tbl_ResidentData[[#This Row],[P23]]=TRUE),1,0)</f>
        <v>0</v>
      </c>
      <c r="DL82" s="120">
        <f ca="1">IF(OR(Tbl_ResidentData[[#This Row],[S24]]=TRUE,Tbl_ResidentData[[#This Row],[P24]]=TRUE),1,0)</f>
        <v>0</v>
      </c>
      <c r="DM82" s="123" t="str">
        <f ca="1">IFERROR(INDEX($CO$4:$DL$4,MATCH(TRUE,INDEX((Tbl_ResidentData[[#This Row],[Over1]:[Over24]]&lt;&gt;0),0),0)),"")</f>
        <v/>
      </c>
      <c r="DN82" s="133" t="str">
        <f>IFERROR(INDEX(Tbl_PDSAData[Last DRT],MATCH(Tbl_ResidentData[Resident Name '[last, first']],Tbl_PDSAData[Resident Name (last, first)],0)),"")</f>
        <v/>
      </c>
      <c r="DO82" s="222" t="str">
        <f>IFERROR(INDEX(Tbl_PDSAData[Last MR],MATCH(Tbl_ResidentData[Resident Name '[last, first']],Tbl_PDSAData[Resident Name (last, first)],0)),"")</f>
        <v/>
      </c>
    </row>
    <row r="83" spans="1:119" x14ac:dyDescent="0.25">
      <c r="A83" s="179"/>
      <c r="B83" s="180"/>
      <c r="C83" s="180"/>
      <c r="D83" s="217"/>
      <c r="E83" s="179"/>
      <c r="F83" s="181"/>
      <c r="G83" s="181"/>
      <c r="H83" s="375"/>
      <c r="I83" s="185"/>
      <c r="J83" s="387"/>
      <c r="K83" s="178"/>
      <c r="L83" s="388"/>
      <c r="M83" s="185"/>
      <c r="N83" s="386"/>
      <c r="O83" s="178"/>
      <c r="P83" s="388"/>
      <c r="Q83" s="395"/>
      <c r="R83" s="396"/>
      <c r="S83" s="131" t="str">
        <f>IF(ISBLANK(Tbl_ResidentData[[#This Row],[Discharge '[mmm-yyyy']]]),IF(ISBLANK(Tbl_ResidentData[[#This Row],[Enrollment '[mmm-yyyy']]]),"","In Care Home"),"Discharged")</f>
        <v/>
      </c>
      <c r="T83" s="119" t="str">
        <f>IF(ISBLANK(Tbl_ResidentData[[#This Row],[Diagnosis (RAI)]]),IF(ISBLANK(Tbl_ResidentData[[#This Row],[Resident Name '[last, first']]]),"",0),IF(Tbl_ResidentData[[#This Row],[Diagnosis (RAI)]]="Other (see clinical notes)",0,1))</f>
        <v/>
      </c>
      <c r="U83" s="120" t="str">
        <f ca="1">IF(U$4&gt;NOW(),"-",IF(ISBLANK(Tbl_ResidentData[[#This Row],[Enrollment '[mmm-yyyy']]]),"-",AND((Tbl_ResidentData[[#This Row],[Enrollment '[mmm-yyyy']]]&lt;=U$4),IF(ISBLANK(Tbl_ResidentData[[#This Row],[Discharge '[mmm-yyyy']]]),TRUE,(Tbl_ResidentData[[#This Row],[Discharge '[mmm-yyyy']]]&gt;=U$4)))))</f>
        <v>-</v>
      </c>
      <c r="V83" s="121" t="str">
        <f ca="1">IF(V$4&gt;NOW(),"-",IF(ISBLANK(Tbl_ResidentData[[#This Row],[Enrollment '[mmm-yyyy']]]),"-",AND((Tbl_ResidentData[[#This Row],[Enrollment '[mmm-yyyy']]]&lt;=V$4),IF(ISBLANK(Tbl_ResidentData[[#This Row],[Discharge '[mmm-yyyy']]]),TRUE,(Tbl_ResidentData[[#This Row],[Discharge '[mmm-yyyy']]]&gt;=V$4)))))</f>
        <v>-</v>
      </c>
      <c r="W83" s="121" t="str">
        <f ca="1">IF(W$4&gt;NOW(),"-",IF(ISBLANK(Tbl_ResidentData[[#This Row],[Enrollment '[mmm-yyyy']]]),"-",AND((Tbl_ResidentData[[#This Row],[Enrollment '[mmm-yyyy']]]&lt;=W$4),IF(ISBLANK(Tbl_ResidentData[[#This Row],[Discharge '[mmm-yyyy']]]),TRUE,(Tbl_ResidentData[[#This Row],[Discharge '[mmm-yyyy']]]&gt;=W$4)))))</f>
        <v>-</v>
      </c>
      <c r="X83" s="121" t="str">
        <f ca="1">IF(X$4&gt;NOW(),"-",IF(ISBLANK(Tbl_ResidentData[[#This Row],[Enrollment '[mmm-yyyy']]]),"-",AND((Tbl_ResidentData[[#This Row],[Enrollment '[mmm-yyyy']]]&lt;=X$4),IF(ISBLANK(Tbl_ResidentData[[#This Row],[Discharge '[mmm-yyyy']]]),TRUE,(Tbl_ResidentData[[#This Row],[Discharge '[mmm-yyyy']]]&gt;=X$4)))))</f>
        <v>-</v>
      </c>
      <c r="Y83" s="121" t="str">
        <f ca="1">IF(Y$4&gt;NOW(),"-",IF(ISBLANK(Tbl_ResidentData[[#This Row],[Enrollment '[mmm-yyyy']]]),"-",AND((Tbl_ResidentData[[#This Row],[Enrollment '[mmm-yyyy']]]&lt;=Y$4),IF(ISBLANK(Tbl_ResidentData[[#This Row],[Discharge '[mmm-yyyy']]]),TRUE,(Tbl_ResidentData[[#This Row],[Discharge '[mmm-yyyy']]]&gt;=Y$4)))))</f>
        <v>-</v>
      </c>
      <c r="Z83" s="121" t="str">
        <f ca="1">IF(Z$4&gt;NOW(),"-",IF(ISBLANK(Tbl_ResidentData[[#This Row],[Enrollment '[mmm-yyyy']]]),"-",AND((Tbl_ResidentData[[#This Row],[Enrollment '[mmm-yyyy']]]&lt;=Z$4),IF(ISBLANK(Tbl_ResidentData[[#This Row],[Discharge '[mmm-yyyy']]]),TRUE,(Tbl_ResidentData[[#This Row],[Discharge '[mmm-yyyy']]]&gt;=Z$4)))))</f>
        <v>-</v>
      </c>
      <c r="AA83" s="121" t="str">
        <f ca="1">IF(AA$4&gt;NOW(),"-",IF(ISBLANK(Tbl_ResidentData[[#This Row],[Enrollment '[mmm-yyyy']]]),"-",AND((Tbl_ResidentData[[#This Row],[Enrollment '[mmm-yyyy']]]&lt;=AA$4),IF(ISBLANK(Tbl_ResidentData[[#This Row],[Discharge '[mmm-yyyy']]]),TRUE,(Tbl_ResidentData[[#This Row],[Discharge '[mmm-yyyy']]]&gt;=AA$4)))))</f>
        <v>-</v>
      </c>
      <c r="AB83" s="121" t="str">
        <f ca="1">IF(AB$4&gt;NOW(),"-",IF(ISBLANK(Tbl_ResidentData[[#This Row],[Enrollment '[mmm-yyyy']]]),"-",AND((Tbl_ResidentData[[#This Row],[Enrollment '[mmm-yyyy']]]&lt;=AB$4),IF(ISBLANK(Tbl_ResidentData[[#This Row],[Discharge '[mmm-yyyy']]]),TRUE,(Tbl_ResidentData[[#This Row],[Discharge '[mmm-yyyy']]]&gt;=AB$4)))))</f>
        <v>-</v>
      </c>
      <c r="AC83" s="121" t="str">
        <f ca="1">IF(AC$4&gt;NOW(),"-",IF(ISBLANK(Tbl_ResidentData[[#This Row],[Enrollment '[mmm-yyyy']]]),"-",AND((Tbl_ResidentData[[#This Row],[Enrollment '[mmm-yyyy']]]&lt;=AC$4),IF(ISBLANK(Tbl_ResidentData[[#This Row],[Discharge '[mmm-yyyy']]]),TRUE,(Tbl_ResidentData[[#This Row],[Discharge '[mmm-yyyy']]]&gt;=AC$4)))))</f>
        <v>-</v>
      </c>
      <c r="AD83" s="121" t="str">
        <f ca="1">IF(AD$4&gt;NOW(),"-",IF(ISBLANK(Tbl_ResidentData[[#This Row],[Enrollment '[mmm-yyyy']]]),"-",AND((Tbl_ResidentData[[#This Row],[Enrollment '[mmm-yyyy']]]&lt;=AD$4),IF(ISBLANK(Tbl_ResidentData[[#This Row],[Discharge '[mmm-yyyy']]]),TRUE,(Tbl_ResidentData[[#This Row],[Discharge '[mmm-yyyy']]]&gt;=AD$4)))))</f>
        <v>-</v>
      </c>
      <c r="AE83" s="121" t="str">
        <f ca="1">IF(AE$4&gt;NOW(),"-",IF(ISBLANK(Tbl_ResidentData[[#This Row],[Enrollment '[mmm-yyyy']]]),"-",AND((Tbl_ResidentData[[#This Row],[Enrollment '[mmm-yyyy']]]&lt;=AE$4),IF(ISBLANK(Tbl_ResidentData[[#This Row],[Discharge '[mmm-yyyy']]]),TRUE,(Tbl_ResidentData[[#This Row],[Discharge '[mmm-yyyy']]]&gt;=AE$4)))))</f>
        <v>-</v>
      </c>
      <c r="AF83" s="121" t="str">
        <f ca="1">IF(AF$4&gt;NOW(),"-",IF(ISBLANK(Tbl_ResidentData[[#This Row],[Enrollment '[mmm-yyyy']]]),"-",AND((Tbl_ResidentData[[#This Row],[Enrollment '[mmm-yyyy']]]&lt;=AF$4),IF(ISBLANK(Tbl_ResidentData[[#This Row],[Discharge '[mmm-yyyy']]]),TRUE,(Tbl_ResidentData[[#This Row],[Discharge '[mmm-yyyy']]]&gt;=AF$4)))))</f>
        <v>-</v>
      </c>
      <c r="AG83" s="121" t="str">
        <f ca="1">IF(AG$4&gt;NOW(),"-",IF(ISBLANK(Tbl_ResidentData[[#This Row],[Enrollment '[mmm-yyyy']]]),"-",AND((Tbl_ResidentData[[#This Row],[Enrollment '[mmm-yyyy']]]&lt;=AG$4),IF(ISBLANK(Tbl_ResidentData[[#This Row],[Discharge '[mmm-yyyy']]]),TRUE,(Tbl_ResidentData[[#This Row],[Discharge '[mmm-yyyy']]]&gt;=AG$4)))))</f>
        <v>-</v>
      </c>
      <c r="AH83" s="121" t="str">
        <f ca="1">IF(AH$4&gt;NOW(),"-",IF(ISBLANK(Tbl_ResidentData[[#This Row],[Enrollment '[mmm-yyyy']]]),"-",AND((Tbl_ResidentData[[#This Row],[Enrollment '[mmm-yyyy']]]&lt;=AH$4),IF(ISBLANK(Tbl_ResidentData[[#This Row],[Discharge '[mmm-yyyy']]]),TRUE,(Tbl_ResidentData[[#This Row],[Discharge '[mmm-yyyy']]]&gt;=AH$4)))))</f>
        <v>-</v>
      </c>
      <c r="AI83" s="121" t="str">
        <f ca="1">IF(AI$4&gt;NOW(),"-",IF(ISBLANK(Tbl_ResidentData[[#This Row],[Enrollment '[mmm-yyyy']]]),"-",AND((Tbl_ResidentData[[#This Row],[Enrollment '[mmm-yyyy']]]&lt;=AI$4),IF(ISBLANK(Tbl_ResidentData[[#This Row],[Discharge '[mmm-yyyy']]]),TRUE,(Tbl_ResidentData[[#This Row],[Discharge '[mmm-yyyy']]]&gt;=AI$4)))))</f>
        <v>-</v>
      </c>
      <c r="AJ83" s="121" t="str">
        <f ca="1">IF(AJ$4&gt;NOW(),"-",IF(ISBLANK(Tbl_ResidentData[[#This Row],[Enrollment '[mmm-yyyy']]]),"-",AND((Tbl_ResidentData[[#This Row],[Enrollment '[mmm-yyyy']]]&lt;=AJ$4),IF(ISBLANK(Tbl_ResidentData[[#This Row],[Discharge '[mmm-yyyy']]]),TRUE,(Tbl_ResidentData[[#This Row],[Discharge '[mmm-yyyy']]]&gt;=AJ$4)))))</f>
        <v>-</v>
      </c>
      <c r="AK83" s="121" t="str">
        <f ca="1">IF(AK$4&gt;NOW(),"-",IF(ISBLANK(Tbl_ResidentData[[#This Row],[Enrollment '[mmm-yyyy']]]),"-",AND((Tbl_ResidentData[[#This Row],[Enrollment '[mmm-yyyy']]]&lt;=AK$4),IF(ISBLANK(Tbl_ResidentData[[#This Row],[Discharge '[mmm-yyyy']]]),TRUE,(Tbl_ResidentData[[#This Row],[Discharge '[mmm-yyyy']]]&gt;=AK$4)))))</f>
        <v>-</v>
      </c>
      <c r="AL83" s="121" t="str">
        <f ca="1">IF(AL$4&gt;NOW(),"-",IF(ISBLANK(Tbl_ResidentData[[#This Row],[Enrollment '[mmm-yyyy']]]),"-",AND((Tbl_ResidentData[[#This Row],[Enrollment '[mmm-yyyy']]]&lt;=AL$4),IF(ISBLANK(Tbl_ResidentData[[#This Row],[Discharge '[mmm-yyyy']]]),TRUE,(Tbl_ResidentData[[#This Row],[Discharge '[mmm-yyyy']]]&gt;=AL$4)))))</f>
        <v>-</v>
      </c>
      <c r="AM83" s="121" t="str">
        <f ca="1">IF(AM$4&gt;NOW(),"-",IF(ISBLANK(Tbl_ResidentData[[#This Row],[Enrollment '[mmm-yyyy']]]),"-",AND((Tbl_ResidentData[[#This Row],[Enrollment '[mmm-yyyy']]]&lt;=AM$4),IF(ISBLANK(Tbl_ResidentData[[#This Row],[Discharge '[mmm-yyyy']]]),TRUE,(Tbl_ResidentData[[#This Row],[Discharge '[mmm-yyyy']]]&gt;=AM$4)))))</f>
        <v>-</v>
      </c>
      <c r="AN83" s="121" t="str">
        <f ca="1">IF(AN$4&gt;NOW(),"-",IF(ISBLANK(Tbl_ResidentData[[#This Row],[Enrollment '[mmm-yyyy']]]),"-",AND((Tbl_ResidentData[[#This Row],[Enrollment '[mmm-yyyy']]]&lt;=AN$4),IF(ISBLANK(Tbl_ResidentData[[#This Row],[Discharge '[mmm-yyyy']]]),TRUE,(Tbl_ResidentData[[#This Row],[Discharge '[mmm-yyyy']]]&gt;=AN$4)))))</f>
        <v>-</v>
      </c>
      <c r="AO83" s="121" t="str">
        <f ca="1">IF(AO$4&gt;NOW(),"-",IF(ISBLANK(Tbl_ResidentData[[#This Row],[Enrollment '[mmm-yyyy']]]),"-",AND((Tbl_ResidentData[[#This Row],[Enrollment '[mmm-yyyy']]]&lt;=AO$4),IF(ISBLANK(Tbl_ResidentData[[#This Row],[Discharge '[mmm-yyyy']]]),TRUE,(Tbl_ResidentData[[#This Row],[Discharge '[mmm-yyyy']]]&gt;=AO$4)))))</f>
        <v>-</v>
      </c>
      <c r="AP83" s="121" t="str">
        <f ca="1">IF(AP$4&gt;NOW(),"-",IF(ISBLANK(Tbl_ResidentData[[#This Row],[Enrollment '[mmm-yyyy']]]),"-",AND((Tbl_ResidentData[[#This Row],[Enrollment '[mmm-yyyy']]]&lt;=AP$4),IF(ISBLANK(Tbl_ResidentData[[#This Row],[Discharge '[mmm-yyyy']]]),TRUE,(Tbl_ResidentData[[#This Row],[Discharge '[mmm-yyyy']]]&gt;=AP$4)))))</f>
        <v>-</v>
      </c>
      <c r="AQ83" s="121" t="str">
        <f ca="1">IF(AQ$4&gt;NOW(),"-",IF(ISBLANK(Tbl_ResidentData[[#This Row],[Enrollment '[mmm-yyyy']]]),"-",AND((Tbl_ResidentData[[#This Row],[Enrollment '[mmm-yyyy']]]&lt;=AQ$4),IF(ISBLANK(Tbl_ResidentData[[#This Row],[Discharge '[mmm-yyyy']]]),TRUE,(Tbl_ResidentData[[#This Row],[Discharge '[mmm-yyyy']]]&gt;=AQ$4)))))</f>
        <v>-</v>
      </c>
      <c r="AR83" s="122" t="str">
        <f ca="1">IF(AR$4&gt;NOW(),"-",IF(ISBLANK(Tbl_ResidentData[[#This Row],[Enrollment '[mmm-yyyy']]]),"-",AND((Tbl_ResidentData[[#This Row],[Enrollment '[mmm-yyyy']]]&lt;=AR$4),IF(ISBLANK(Tbl_ResidentData[[#This Row],[Discharge '[mmm-yyyy']]]),TRUE,(Tbl_ResidentData[[#This Row],[Discharge '[mmm-yyyy']]]&gt;=AR$4)))))</f>
        <v>-</v>
      </c>
      <c r="AS8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3" s="120" t="b">
        <f ca="1">AND(Tbl_ResidentData[[#This Row],[PRN Med Started]]&lt;&gt;"",Tbl_ResidentData[[#This Row],[PRN Med Started]]&lt;=NOW(),Tbl_ResidentData[[#This Row],[PRN Med Started]]&lt;=AS$4,OR(Tbl_ResidentData[[#This Row],[PRN Med Discontinued]]&gt;AS$4,ISBLANK(Tbl_ResidentData[[#This Row],[PRN Med Discontinued]])))</f>
        <v>0</v>
      </c>
      <c r="BR83" s="121" t="b">
        <f ca="1">AND(Tbl_ResidentData[[#This Row],[PRN Med Started]]&lt;&gt;"",Tbl_ResidentData[[#This Row],[PRN Med Started]]&lt;=NOW(),Tbl_ResidentData[[#This Row],[PRN Med Started]]&lt;=AT$4,OR(Tbl_ResidentData[[#This Row],[PRN Med Discontinued]]&gt;AT$4,ISBLANK(Tbl_ResidentData[[#This Row],[PRN Med Discontinued]])))</f>
        <v>0</v>
      </c>
      <c r="BS83" s="121" t="b">
        <f ca="1">AND(Tbl_ResidentData[[#This Row],[PRN Med Started]]&lt;&gt;"",Tbl_ResidentData[[#This Row],[PRN Med Started]]&lt;=NOW(),Tbl_ResidentData[[#This Row],[PRN Med Started]]&lt;=AU$4,OR(Tbl_ResidentData[[#This Row],[PRN Med Discontinued]]&gt;AU$4,ISBLANK(Tbl_ResidentData[[#This Row],[PRN Med Discontinued]])))</f>
        <v>0</v>
      </c>
      <c r="BT83" s="121" t="b">
        <f ca="1">AND(Tbl_ResidentData[[#This Row],[PRN Med Started]]&lt;&gt;"",Tbl_ResidentData[[#This Row],[PRN Med Started]]&lt;=NOW(),Tbl_ResidentData[[#This Row],[PRN Med Started]]&lt;=AV$4,OR(Tbl_ResidentData[[#This Row],[PRN Med Discontinued]]&gt;AV$4,ISBLANK(Tbl_ResidentData[[#This Row],[PRN Med Discontinued]])))</f>
        <v>0</v>
      </c>
      <c r="BU83" s="121" t="b">
        <f ca="1">AND(Tbl_ResidentData[[#This Row],[PRN Med Started]]&lt;&gt;"",Tbl_ResidentData[[#This Row],[PRN Med Started]]&lt;=NOW(),Tbl_ResidentData[[#This Row],[PRN Med Started]]&lt;=AW$4,OR(Tbl_ResidentData[[#This Row],[PRN Med Discontinued]]&gt;AW$4,ISBLANK(Tbl_ResidentData[[#This Row],[PRN Med Discontinued]])))</f>
        <v>0</v>
      </c>
      <c r="BV83" s="121" t="b">
        <f ca="1">AND(Tbl_ResidentData[[#This Row],[PRN Med Started]]&lt;&gt;"",Tbl_ResidentData[[#This Row],[PRN Med Started]]&lt;=NOW(),Tbl_ResidentData[[#This Row],[PRN Med Started]]&lt;=AX$4,OR(Tbl_ResidentData[[#This Row],[PRN Med Discontinued]]&gt;AX$4,ISBLANK(Tbl_ResidentData[[#This Row],[PRN Med Discontinued]])))</f>
        <v>0</v>
      </c>
      <c r="BW83" s="121" t="b">
        <f ca="1">AND(Tbl_ResidentData[[#This Row],[PRN Med Started]]&lt;&gt;"",Tbl_ResidentData[[#This Row],[PRN Med Started]]&lt;=NOW(),Tbl_ResidentData[[#This Row],[PRN Med Started]]&lt;=AY$4,OR(Tbl_ResidentData[[#This Row],[PRN Med Discontinued]]&gt;AY$4,ISBLANK(Tbl_ResidentData[[#This Row],[PRN Med Discontinued]])))</f>
        <v>0</v>
      </c>
      <c r="BX83" s="121" t="b">
        <f ca="1">AND(Tbl_ResidentData[[#This Row],[PRN Med Started]]&lt;&gt;"",Tbl_ResidentData[[#This Row],[PRN Med Started]]&lt;=NOW(),Tbl_ResidentData[[#This Row],[PRN Med Started]]&lt;=AZ$4,OR(Tbl_ResidentData[[#This Row],[PRN Med Discontinued]]&gt;AZ$4,ISBLANK(Tbl_ResidentData[[#This Row],[PRN Med Discontinued]])))</f>
        <v>0</v>
      </c>
      <c r="BY83" s="121" t="b">
        <f ca="1">AND(Tbl_ResidentData[[#This Row],[PRN Med Started]]&lt;&gt;"",Tbl_ResidentData[[#This Row],[PRN Med Started]]&lt;=NOW(),Tbl_ResidentData[[#This Row],[PRN Med Started]]&lt;=BA$4,OR(Tbl_ResidentData[[#This Row],[PRN Med Discontinued]]&gt;BA$4,ISBLANK(Tbl_ResidentData[[#This Row],[PRN Med Discontinued]])))</f>
        <v>0</v>
      </c>
      <c r="BZ83" s="121" t="b">
        <f ca="1">AND(Tbl_ResidentData[[#This Row],[PRN Med Started]]&lt;&gt;"",Tbl_ResidentData[[#This Row],[PRN Med Started]]&lt;=NOW(),Tbl_ResidentData[[#This Row],[PRN Med Started]]&lt;=BB$4,OR(Tbl_ResidentData[[#This Row],[PRN Med Discontinued]]&gt;BB$4,ISBLANK(Tbl_ResidentData[[#This Row],[PRN Med Discontinued]])))</f>
        <v>0</v>
      </c>
      <c r="CA83" s="121" t="b">
        <f ca="1">AND(Tbl_ResidentData[[#This Row],[PRN Med Started]]&lt;&gt;"",Tbl_ResidentData[[#This Row],[PRN Med Started]]&lt;=NOW(),Tbl_ResidentData[[#This Row],[PRN Med Started]]&lt;=BC$4,OR(Tbl_ResidentData[[#This Row],[PRN Med Discontinued]]&gt;BC$4,ISBLANK(Tbl_ResidentData[[#This Row],[PRN Med Discontinued]])))</f>
        <v>0</v>
      </c>
      <c r="CB83" s="121" t="b">
        <f ca="1">AND(Tbl_ResidentData[[#This Row],[PRN Med Started]]&lt;&gt;"",Tbl_ResidentData[[#This Row],[PRN Med Started]]&lt;=NOW(),Tbl_ResidentData[[#This Row],[PRN Med Started]]&lt;=BD$4,OR(Tbl_ResidentData[[#This Row],[PRN Med Discontinued]]&gt;BD$4,ISBLANK(Tbl_ResidentData[[#This Row],[PRN Med Discontinued]])))</f>
        <v>0</v>
      </c>
      <c r="CC83" s="121" t="b">
        <f ca="1">AND(Tbl_ResidentData[[#This Row],[PRN Med Started]]&lt;&gt;"",Tbl_ResidentData[[#This Row],[PRN Med Started]]&lt;=NOW(),Tbl_ResidentData[[#This Row],[PRN Med Started]]&lt;=BE$4,OR(Tbl_ResidentData[[#This Row],[PRN Med Discontinued]]&gt;BE$4,ISBLANK(Tbl_ResidentData[[#This Row],[PRN Med Discontinued]])))</f>
        <v>0</v>
      </c>
      <c r="CD83" s="121" t="b">
        <f ca="1">AND(Tbl_ResidentData[[#This Row],[PRN Med Started]]&lt;&gt;"",Tbl_ResidentData[[#This Row],[PRN Med Started]]&lt;=NOW(),Tbl_ResidentData[[#This Row],[PRN Med Started]]&lt;=BF$4,OR(Tbl_ResidentData[[#This Row],[PRN Med Discontinued]]&gt;BF$4,ISBLANK(Tbl_ResidentData[[#This Row],[PRN Med Discontinued]])))</f>
        <v>0</v>
      </c>
      <c r="CE83" s="121" t="b">
        <f ca="1">AND(Tbl_ResidentData[[#This Row],[PRN Med Started]]&lt;&gt;"",Tbl_ResidentData[[#This Row],[PRN Med Started]]&lt;=NOW(),Tbl_ResidentData[[#This Row],[PRN Med Started]]&lt;=BG$4,OR(Tbl_ResidentData[[#This Row],[PRN Med Discontinued]]&gt;BG$4,ISBLANK(Tbl_ResidentData[[#This Row],[PRN Med Discontinued]])))</f>
        <v>0</v>
      </c>
      <c r="CF83" s="121" t="b">
        <f ca="1">AND(Tbl_ResidentData[[#This Row],[PRN Med Started]]&lt;&gt;"",Tbl_ResidentData[[#This Row],[PRN Med Started]]&lt;=NOW(),Tbl_ResidentData[[#This Row],[PRN Med Started]]&lt;=BH$4,OR(Tbl_ResidentData[[#This Row],[PRN Med Discontinued]]&gt;BH$4,ISBLANK(Tbl_ResidentData[[#This Row],[PRN Med Discontinued]])))</f>
        <v>0</v>
      </c>
      <c r="CG83" s="121" t="b">
        <f ca="1">AND(Tbl_ResidentData[[#This Row],[PRN Med Started]]&lt;&gt;"",Tbl_ResidentData[[#This Row],[PRN Med Started]]&lt;=NOW(),Tbl_ResidentData[[#This Row],[PRN Med Started]]&lt;=BI$4,OR(Tbl_ResidentData[[#This Row],[PRN Med Discontinued]]&gt;BI$4,ISBLANK(Tbl_ResidentData[[#This Row],[PRN Med Discontinued]])))</f>
        <v>0</v>
      </c>
      <c r="CH83" s="121" t="b">
        <f ca="1">AND(Tbl_ResidentData[[#This Row],[PRN Med Started]]&lt;&gt;"",Tbl_ResidentData[[#This Row],[PRN Med Started]]&lt;=NOW(),Tbl_ResidentData[[#This Row],[PRN Med Started]]&lt;=BJ$4,OR(Tbl_ResidentData[[#This Row],[PRN Med Discontinued]]&gt;BJ$4,ISBLANK(Tbl_ResidentData[[#This Row],[PRN Med Discontinued]])))</f>
        <v>0</v>
      </c>
      <c r="CI83" s="121" t="b">
        <f ca="1">AND(Tbl_ResidentData[[#This Row],[PRN Med Started]]&lt;&gt;"",Tbl_ResidentData[[#This Row],[PRN Med Started]]&lt;=NOW(),Tbl_ResidentData[[#This Row],[PRN Med Started]]&lt;=BK$4,OR(Tbl_ResidentData[[#This Row],[PRN Med Discontinued]]&gt;BK$4,ISBLANK(Tbl_ResidentData[[#This Row],[PRN Med Discontinued]])))</f>
        <v>0</v>
      </c>
      <c r="CJ83" s="121" t="b">
        <f ca="1">AND(Tbl_ResidentData[[#This Row],[PRN Med Started]]&lt;&gt;"",Tbl_ResidentData[[#This Row],[PRN Med Started]]&lt;=NOW(),Tbl_ResidentData[[#This Row],[PRN Med Started]]&lt;=BL$4,OR(Tbl_ResidentData[[#This Row],[PRN Med Discontinued]]&gt;BL$4,ISBLANK(Tbl_ResidentData[[#This Row],[PRN Med Discontinued]])))</f>
        <v>0</v>
      </c>
      <c r="CK83" s="121" t="b">
        <f ca="1">AND(Tbl_ResidentData[[#This Row],[PRN Med Started]]&lt;&gt;"",Tbl_ResidentData[[#This Row],[PRN Med Started]]&lt;=NOW(),Tbl_ResidentData[[#This Row],[PRN Med Started]]&lt;=BM$4,OR(Tbl_ResidentData[[#This Row],[PRN Med Discontinued]]&gt;BM$4,ISBLANK(Tbl_ResidentData[[#This Row],[PRN Med Discontinued]])))</f>
        <v>0</v>
      </c>
      <c r="CL83" s="121" t="b">
        <f ca="1">AND(Tbl_ResidentData[[#This Row],[PRN Med Started]]&lt;&gt;"",Tbl_ResidentData[[#This Row],[PRN Med Started]]&lt;=NOW(),Tbl_ResidentData[[#This Row],[PRN Med Started]]&lt;=BN$4,OR(Tbl_ResidentData[[#This Row],[PRN Med Discontinued]]&gt;BN$4,ISBLANK(Tbl_ResidentData[[#This Row],[PRN Med Discontinued]])))</f>
        <v>0</v>
      </c>
      <c r="CM83" s="121" t="b">
        <f ca="1">AND(Tbl_ResidentData[[#This Row],[PRN Med Started]]&lt;&gt;"",Tbl_ResidentData[[#This Row],[PRN Med Started]]&lt;=NOW(),Tbl_ResidentData[[#This Row],[PRN Med Started]]&lt;=BO$4,OR(Tbl_ResidentData[[#This Row],[PRN Med Discontinued]]&gt;BO$4,ISBLANK(Tbl_ResidentData[[#This Row],[PRN Med Discontinued]])))</f>
        <v>0</v>
      </c>
      <c r="CN83" s="122" t="b">
        <f ca="1">AND(Tbl_ResidentData[[#This Row],[PRN Med Started]]&lt;&gt;"",Tbl_ResidentData[[#This Row],[PRN Med Started]]&lt;=NOW(),Tbl_ResidentData[[#This Row],[PRN Med Started]]&lt;=BP$4,OR(Tbl_ResidentData[[#This Row],[PRN Med Discontinued]]&gt;BP$4,ISBLANK(Tbl_ResidentData[[#This Row],[PRN Med Discontinued]])))</f>
        <v>0</v>
      </c>
      <c r="CO83" s="120">
        <f ca="1">IF(OR(Tbl_ResidentData[[#This Row],[S1]]=TRUE,Tbl_ResidentData[[#This Row],[P1]]=TRUE),1,0)</f>
        <v>0</v>
      </c>
      <c r="CP83" s="121">
        <f ca="1">IF(OR(Tbl_ResidentData[[#This Row],[S2]]=TRUE,Tbl_ResidentData[[#This Row],[P2]]=TRUE),1,0)</f>
        <v>0</v>
      </c>
      <c r="CQ83" s="121">
        <f ca="1">IF(OR(Tbl_ResidentData[[#This Row],[S3]]=TRUE,Tbl_ResidentData[[#This Row],[P3]]=TRUE),1,0)</f>
        <v>0</v>
      </c>
      <c r="CR83" s="120">
        <f ca="1">IF(OR(Tbl_ResidentData[[#This Row],[S4]]=TRUE,Tbl_ResidentData[[#This Row],[P4]]=TRUE),1,0)</f>
        <v>0</v>
      </c>
      <c r="CS83" s="120">
        <f ca="1">IF(OR(Tbl_ResidentData[[#This Row],[S5]]=TRUE,Tbl_ResidentData[[#This Row],[P5]]=TRUE),1,0)</f>
        <v>0</v>
      </c>
      <c r="CT83" s="120">
        <f ca="1">IF(OR(Tbl_ResidentData[[#This Row],[S6]]=TRUE,Tbl_ResidentData[[#This Row],[P6]]=TRUE),1,0)</f>
        <v>0</v>
      </c>
      <c r="CU83" s="120">
        <f ca="1">IF(OR(Tbl_ResidentData[[#This Row],[S7]]=TRUE,Tbl_ResidentData[[#This Row],[P7]]=TRUE),1,0)</f>
        <v>0</v>
      </c>
      <c r="CV83" s="120">
        <f ca="1">IF(OR(Tbl_ResidentData[[#This Row],[S8]]=TRUE,Tbl_ResidentData[[#This Row],[P8]]=TRUE),1,0)</f>
        <v>0</v>
      </c>
      <c r="CW83" s="120">
        <f ca="1">IF(OR(Tbl_ResidentData[[#This Row],[S9]]=TRUE,Tbl_ResidentData[[#This Row],[P9]]=TRUE),1,0)</f>
        <v>0</v>
      </c>
      <c r="CX83" s="120">
        <f ca="1">IF(OR(Tbl_ResidentData[[#This Row],[S10]]=TRUE,Tbl_ResidentData[[#This Row],[P10]]=TRUE),1,0)</f>
        <v>0</v>
      </c>
      <c r="CY83" s="120">
        <f ca="1">IF(OR(Tbl_ResidentData[[#This Row],[S11]]=TRUE,Tbl_ResidentData[[#This Row],[P11]]=TRUE),1,0)</f>
        <v>0</v>
      </c>
      <c r="CZ83" s="120">
        <f ca="1">IF(OR(Tbl_ResidentData[[#This Row],[S12]]=TRUE,Tbl_ResidentData[[#This Row],[P12]]=TRUE),1,0)</f>
        <v>0</v>
      </c>
      <c r="DA83" s="120">
        <f ca="1">IF(OR(Tbl_ResidentData[[#This Row],[S13]]=TRUE,Tbl_ResidentData[[#This Row],[P13]]=TRUE),1,0)</f>
        <v>0</v>
      </c>
      <c r="DB83" s="120">
        <f ca="1">IF(OR(Tbl_ResidentData[[#This Row],[S14]]=TRUE,Tbl_ResidentData[[#This Row],[P14]]=TRUE),1,0)</f>
        <v>0</v>
      </c>
      <c r="DC83" s="120">
        <f ca="1">IF(OR(Tbl_ResidentData[[#This Row],[S15]]=TRUE,Tbl_ResidentData[[#This Row],[P15]]=TRUE),1,0)</f>
        <v>0</v>
      </c>
      <c r="DD83" s="120">
        <f ca="1">IF(OR(Tbl_ResidentData[[#This Row],[S16]]=TRUE,Tbl_ResidentData[[#This Row],[P16]]=TRUE),1,0)</f>
        <v>0</v>
      </c>
      <c r="DE83" s="120">
        <f ca="1">IF(OR(Tbl_ResidentData[[#This Row],[S17]]=TRUE,Tbl_ResidentData[[#This Row],[P17]]=TRUE),1,0)</f>
        <v>0</v>
      </c>
      <c r="DF83" s="120">
        <f ca="1">IF(OR(Tbl_ResidentData[[#This Row],[S18]]=TRUE,Tbl_ResidentData[[#This Row],[P18]]=TRUE),1,0)</f>
        <v>0</v>
      </c>
      <c r="DG83" s="120">
        <f ca="1">IF(OR(Tbl_ResidentData[[#This Row],[S19]]=TRUE,Tbl_ResidentData[[#This Row],[P19]]=TRUE),1,0)</f>
        <v>0</v>
      </c>
      <c r="DH83" s="120">
        <f ca="1">IF(OR(Tbl_ResidentData[[#This Row],[S20]]=TRUE,Tbl_ResidentData[[#This Row],[P20]]=TRUE),1,0)</f>
        <v>0</v>
      </c>
      <c r="DI83" s="120">
        <f ca="1">IF(OR(Tbl_ResidentData[[#This Row],[S21]]=TRUE,Tbl_ResidentData[[#This Row],[P21]]=TRUE),1,0)</f>
        <v>0</v>
      </c>
      <c r="DJ83" s="120">
        <f ca="1">IF(OR(Tbl_ResidentData[[#This Row],[S22]]=TRUE,Tbl_ResidentData[[#This Row],[P22]]=TRUE),1,0)</f>
        <v>0</v>
      </c>
      <c r="DK83" s="120">
        <f ca="1">IF(OR(Tbl_ResidentData[[#This Row],[S23]]=TRUE,Tbl_ResidentData[[#This Row],[P23]]=TRUE),1,0)</f>
        <v>0</v>
      </c>
      <c r="DL83" s="120">
        <f ca="1">IF(OR(Tbl_ResidentData[[#This Row],[S24]]=TRUE,Tbl_ResidentData[[#This Row],[P24]]=TRUE),1,0)</f>
        <v>0</v>
      </c>
      <c r="DM83" s="123" t="str">
        <f ca="1">IFERROR(INDEX($CO$4:$DL$4,MATCH(TRUE,INDEX((Tbl_ResidentData[[#This Row],[Over1]:[Over24]]&lt;&gt;0),0),0)),"")</f>
        <v/>
      </c>
      <c r="DN83" s="133" t="str">
        <f>IFERROR(INDEX(Tbl_PDSAData[Last DRT],MATCH(Tbl_ResidentData[Resident Name '[last, first']],Tbl_PDSAData[Resident Name (last, first)],0)),"")</f>
        <v/>
      </c>
      <c r="DO83" s="222" t="str">
        <f>IFERROR(INDEX(Tbl_PDSAData[Last MR],MATCH(Tbl_ResidentData[Resident Name '[last, first']],Tbl_PDSAData[Resident Name (last, first)],0)),"")</f>
        <v/>
      </c>
    </row>
    <row r="84" spans="1:119" x14ac:dyDescent="0.25">
      <c r="A84" s="179"/>
      <c r="B84" s="180"/>
      <c r="C84" s="180"/>
      <c r="D84" s="218"/>
      <c r="E84" s="179"/>
      <c r="F84" s="181"/>
      <c r="G84" s="181"/>
      <c r="H84" s="182"/>
      <c r="I84" s="185"/>
      <c r="J84" s="387"/>
      <c r="K84" s="178"/>
      <c r="L84" s="388"/>
      <c r="M84" s="185"/>
      <c r="N84" s="386"/>
      <c r="O84" s="178"/>
      <c r="P84" s="388"/>
      <c r="Q84" s="394"/>
      <c r="R84" s="388"/>
      <c r="S84" s="131" t="str">
        <f>IF(ISBLANK(Tbl_ResidentData[[#This Row],[Discharge '[mmm-yyyy']]]),IF(ISBLANK(Tbl_ResidentData[[#This Row],[Enrollment '[mmm-yyyy']]]),"","In Care Home"),"Discharged")</f>
        <v/>
      </c>
      <c r="T84" s="119" t="str">
        <f>IF(ISBLANK(Tbl_ResidentData[[#This Row],[Diagnosis (RAI)]]),IF(ISBLANK(Tbl_ResidentData[[#This Row],[Resident Name '[last, first']]]),"",0),IF(Tbl_ResidentData[[#This Row],[Diagnosis (RAI)]]="Other (see clinical notes)",0,1))</f>
        <v/>
      </c>
      <c r="U84" s="120" t="str">
        <f ca="1">IF(U$4&gt;NOW(),"-",IF(ISBLANK(Tbl_ResidentData[[#This Row],[Enrollment '[mmm-yyyy']]]),"-",AND((Tbl_ResidentData[[#This Row],[Enrollment '[mmm-yyyy']]]&lt;=U$4),IF(ISBLANK(Tbl_ResidentData[[#This Row],[Discharge '[mmm-yyyy']]]),TRUE,(Tbl_ResidentData[[#This Row],[Discharge '[mmm-yyyy']]]&gt;=U$4)))))</f>
        <v>-</v>
      </c>
      <c r="V84" s="121" t="str">
        <f ca="1">IF(V$4&gt;NOW(),"-",IF(ISBLANK(Tbl_ResidentData[[#This Row],[Enrollment '[mmm-yyyy']]]),"-",AND((Tbl_ResidentData[[#This Row],[Enrollment '[mmm-yyyy']]]&lt;=V$4),IF(ISBLANK(Tbl_ResidentData[[#This Row],[Discharge '[mmm-yyyy']]]),TRUE,(Tbl_ResidentData[[#This Row],[Discharge '[mmm-yyyy']]]&gt;=V$4)))))</f>
        <v>-</v>
      </c>
      <c r="W84" s="121" t="str">
        <f ca="1">IF(W$4&gt;NOW(),"-",IF(ISBLANK(Tbl_ResidentData[[#This Row],[Enrollment '[mmm-yyyy']]]),"-",AND((Tbl_ResidentData[[#This Row],[Enrollment '[mmm-yyyy']]]&lt;=W$4),IF(ISBLANK(Tbl_ResidentData[[#This Row],[Discharge '[mmm-yyyy']]]),TRUE,(Tbl_ResidentData[[#This Row],[Discharge '[mmm-yyyy']]]&gt;=W$4)))))</f>
        <v>-</v>
      </c>
      <c r="X84" s="121" t="str">
        <f ca="1">IF(X$4&gt;NOW(),"-",IF(ISBLANK(Tbl_ResidentData[[#This Row],[Enrollment '[mmm-yyyy']]]),"-",AND((Tbl_ResidentData[[#This Row],[Enrollment '[mmm-yyyy']]]&lt;=X$4),IF(ISBLANK(Tbl_ResidentData[[#This Row],[Discharge '[mmm-yyyy']]]),TRUE,(Tbl_ResidentData[[#This Row],[Discharge '[mmm-yyyy']]]&gt;=X$4)))))</f>
        <v>-</v>
      </c>
      <c r="Y84" s="121" t="str">
        <f ca="1">IF(Y$4&gt;NOW(),"-",IF(ISBLANK(Tbl_ResidentData[[#This Row],[Enrollment '[mmm-yyyy']]]),"-",AND((Tbl_ResidentData[[#This Row],[Enrollment '[mmm-yyyy']]]&lt;=Y$4),IF(ISBLANK(Tbl_ResidentData[[#This Row],[Discharge '[mmm-yyyy']]]),TRUE,(Tbl_ResidentData[[#This Row],[Discharge '[mmm-yyyy']]]&gt;=Y$4)))))</f>
        <v>-</v>
      </c>
      <c r="Z84" s="121" t="str">
        <f ca="1">IF(Z$4&gt;NOW(),"-",IF(ISBLANK(Tbl_ResidentData[[#This Row],[Enrollment '[mmm-yyyy']]]),"-",AND((Tbl_ResidentData[[#This Row],[Enrollment '[mmm-yyyy']]]&lt;=Z$4),IF(ISBLANK(Tbl_ResidentData[[#This Row],[Discharge '[mmm-yyyy']]]),TRUE,(Tbl_ResidentData[[#This Row],[Discharge '[mmm-yyyy']]]&gt;=Z$4)))))</f>
        <v>-</v>
      </c>
      <c r="AA84" s="121" t="str">
        <f ca="1">IF(AA$4&gt;NOW(),"-",IF(ISBLANK(Tbl_ResidentData[[#This Row],[Enrollment '[mmm-yyyy']]]),"-",AND((Tbl_ResidentData[[#This Row],[Enrollment '[mmm-yyyy']]]&lt;=AA$4),IF(ISBLANK(Tbl_ResidentData[[#This Row],[Discharge '[mmm-yyyy']]]),TRUE,(Tbl_ResidentData[[#This Row],[Discharge '[mmm-yyyy']]]&gt;=AA$4)))))</f>
        <v>-</v>
      </c>
      <c r="AB84" s="121" t="str">
        <f ca="1">IF(AB$4&gt;NOW(),"-",IF(ISBLANK(Tbl_ResidentData[[#This Row],[Enrollment '[mmm-yyyy']]]),"-",AND((Tbl_ResidentData[[#This Row],[Enrollment '[mmm-yyyy']]]&lt;=AB$4),IF(ISBLANK(Tbl_ResidentData[[#This Row],[Discharge '[mmm-yyyy']]]),TRUE,(Tbl_ResidentData[[#This Row],[Discharge '[mmm-yyyy']]]&gt;=AB$4)))))</f>
        <v>-</v>
      </c>
      <c r="AC84" s="121" t="str">
        <f ca="1">IF(AC$4&gt;NOW(),"-",IF(ISBLANK(Tbl_ResidentData[[#This Row],[Enrollment '[mmm-yyyy']]]),"-",AND((Tbl_ResidentData[[#This Row],[Enrollment '[mmm-yyyy']]]&lt;=AC$4),IF(ISBLANK(Tbl_ResidentData[[#This Row],[Discharge '[mmm-yyyy']]]),TRUE,(Tbl_ResidentData[[#This Row],[Discharge '[mmm-yyyy']]]&gt;=AC$4)))))</f>
        <v>-</v>
      </c>
      <c r="AD84" s="121" t="str">
        <f ca="1">IF(AD$4&gt;NOW(),"-",IF(ISBLANK(Tbl_ResidentData[[#This Row],[Enrollment '[mmm-yyyy']]]),"-",AND((Tbl_ResidentData[[#This Row],[Enrollment '[mmm-yyyy']]]&lt;=AD$4),IF(ISBLANK(Tbl_ResidentData[[#This Row],[Discharge '[mmm-yyyy']]]),TRUE,(Tbl_ResidentData[[#This Row],[Discharge '[mmm-yyyy']]]&gt;=AD$4)))))</f>
        <v>-</v>
      </c>
      <c r="AE84" s="121" t="str">
        <f ca="1">IF(AE$4&gt;NOW(),"-",IF(ISBLANK(Tbl_ResidentData[[#This Row],[Enrollment '[mmm-yyyy']]]),"-",AND((Tbl_ResidentData[[#This Row],[Enrollment '[mmm-yyyy']]]&lt;=AE$4),IF(ISBLANK(Tbl_ResidentData[[#This Row],[Discharge '[mmm-yyyy']]]),TRUE,(Tbl_ResidentData[[#This Row],[Discharge '[mmm-yyyy']]]&gt;=AE$4)))))</f>
        <v>-</v>
      </c>
      <c r="AF84" s="121" t="str">
        <f ca="1">IF(AF$4&gt;NOW(),"-",IF(ISBLANK(Tbl_ResidentData[[#This Row],[Enrollment '[mmm-yyyy']]]),"-",AND((Tbl_ResidentData[[#This Row],[Enrollment '[mmm-yyyy']]]&lt;=AF$4),IF(ISBLANK(Tbl_ResidentData[[#This Row],[Discharge '[mmm-yyyy']]]),TRUE,(Tbl_ResidentData[[#This Row],[Discharge '[mmm-yyyy']]]&gt;=AF$4)))))</f>
        <v>-</v>
      </c>
      <c r="AG84" s="121" t="str">
        <f ca="1">IF(AG$4&gt;NOW(),"-",IF(ISBLANK(Tbl_ResidentData[[#This Row],[Enrollment '[mmm-yyyy']]]),"-",AND((Tbl_ResidentData[[#This Row],[Enrollment '[mmm-yyyy']]]&lt;=AG$4),IF(ISBLANK(Tbl_ResidentData[[#This Row],[Discharge '[mmm-yyyy']]]),TRUE,(Tbl_ResidentData[[#This Row],[Discharge '[mmm-yyyy']]]&gt;=AG$4)))))</f>
        <v>-</v>
      </c>
      <c r="AH84" s="121" t="str">
        <f ca="1">IF(AH$4&gt;NOW(),"-",IF(ISBLANK(Tbl_ResidentData[[#This Row],[Enrollment '[mmm-yyyy']]]),"-",AND((Tbl_ResidentData[[#This Row],[Enrollment '[mmm-yyyy']]]&lt;=AH$4),IF(ISBLANK(Tbl_ResidentData[[#This Row],[Discharge '[mmm-yyyy']]]),TRUE,(Tbl_ResidentData[[#This Row],[Discharge '[mmm-yyyy']]]&gt;=AH$4)))))</f>
        <v>-</v>
      </c>
      <c r="AI84" s="121" t="str">
        <f ca="1">IF(AI$4&gt;NOW(),"-",IF(ISBLANK(Tbl_ResidentData[[#This Row],[Enrollment '[mmm-yyyy']]]),"-",AND((Tbl_ResidentData[[#This Row],[Enrollment '[mmm-yyyy']]]&lt;=AI$4),IF(ISBLANK(Tbl_ResidentData[[#This Row],[Discharge '[mmm-yyyy']]]),TRUE,(Tbl_ResidentData[[#This Row],[Discharge '[mmm-yyyy']]]&gt;=AI$4)))))</f>
        <v>-</v>
      </c>
      <c r="AJ84" s="121" t="str">
        <f ca="1">IF(AJ$4&gt;NOW(),"-",IF(ISBLANK(Tbl_ResidentData[[#This Row],[Enrollment '[mmm-yyyy']]]),"-",AND((Tbl_ResidentData[[#This Row],[Enrollment '[mmm-yyyy']]]&lt;=AJ$4),IF(ISBLANK(Tbl_ResidentData[[#This Row],[Discharge '[mmm-yyyy']]]),TRUE,(Tbl_ResidentData[[#This Row],[Discharge '[mmm-yyyy']]]&gt;=AJ$4)))))</f>
        <v>-</v>
      </c>
      <c r="AK84" s="121" t="str">
        <f ca="1">IF(AK$4&gt;NOW(),"-",IF(ISBLANK(Tbl_ResidentData[[#This Row],[Enrollment '[mmm-yyyy']]]),"-",AND((Tbl_ResidentData[[#This Row],[Enrollment '[mmm-yyyy']]]&lt;=AK$4),IF(ISBLANK(Tbl_ResidentData[[#This Row],[Discharge '[mmm-yyyy']]]),TRUE,(Tbl_ResidentData[[#This Row],[Discharge '[mmm-yyyy']]]&gt;=AK$4)))))</f>
        <v>-</v>
      </c>
      <c r="AL84" s="121" t="str">
        <f ca="1">IF(AL$4&gt;NOW(),"-",IF(ISBLANK(Tbl_ResidentData[[#This Row],[Enrollment '[mmm-yyyy']]]),"-",AND((Tbl_ResidentData[[#This Row],[Enrollment '[mmm-yyyy']]]&lt;=AL$4),IF(ISBLANK(Tbl_ResidentData[[#This Row],[Discharge '[mmm-yyyy']]]),TRUE,(Tbl_ResidentData[[#This Row],[Discharge '[mmm-yyyy']]]&gt;=AL$4)))))</f>
        <v>-</v>
      </c>
      <c r="AM84" s="121" t="str">
        <f ca="1">IF(AM$4&gt;NOW(),"-",IF(ISBLANK(Tbl_ResidentData[[#This Row],[Enrollment '[mmm-yyyy']]]),"-",AND((Tbl_ResidentData[[#This Row],[Enrollment '[mmm-yyyy']]]&lt;=AM$4),IF(ISBLANK(Tbl_ResidentData[[#This Row],[Discharge '[mmm-yyyy']]]),TRUE,(Tbl_ResidentData[[#This Row],[Discharge '[mmm-yyyy']]]&gt;=AM$4)))))</f>
        <v>-</v>
      </c>
      <c r="AN84" s="121" t="str">
        <f ca="1">IF(AN$4&gt;NOW(),"-",IF(ISBLANK(Tbl_ResidentData[[#This Row],[Enrollment '[mmm-yyyy']]]),"-",AND((Tbl_ResidentData[[#This Row],[Enrollment '[mmm-yyyy']]]&lt;=AN$4),IF(ISBLANK(Tbl_ResidentData[[#This Row],[Discharge '[mmm-yyyy']]]),TRUE,(Tbl_ResidentData[[#This Row],[Discharge '[mmm-yyyy']]]&gt;=AN$4)))))</f>
        <v>-</v>
      </c>
      <c r="AO84" s="121" t="str">
        <f ca="1">IF(AO$4&gt;NOW(),"-",IF(ISBLANK(Tbl_ResidentData[[#This Row],[Enrollment '[mmm-yyyy']]]),"-",AND((Tbl_ResidentData[[#This Row],[Enrollment '[mmm-yyyy']]]&lt;=AO$4),IF(ISBLANK(Tbl_ResidentData[[#This Row],[Discharge '[mmm-yyyy']]]),TRUE,(Tbl_ResidentData[[#This Row],[Discharge '[mmm-yyyy']]]&gt;=AO$4)))))</f>
        <v>-</v>
      </c>
      <c r="AP84" s="121" t="str">
        <f ca="1">IF(AP$4&gt;NOW(),"-",IF(ISBLANK(Tbl_ResidentData[[#This Row],[Enrollment '[mmm-yyyy']]]),"-",AND((Tbl_ResidentData[[#This Row],[Enrollment '[mmm-yyyy']]]&lt;=AP$4),IF(ISBLANK(Tbl_ResidentData[[#This Row],[Discharge '[mmm-yyyy']]]),TRUE,(Tbl_ResidentData[[#This Row],[Discharge '[mmm-yyyy']]]&gt;=AP$4)))))</f>
        <v>-</v>
      </c>
      <c r="AQ84" s="121" t="str">
        <f ca="1">IF(AQ$4&gt;NOW(),"-",IF(ISBLANK(Tbl_ResidentData[[#This Row],[Enrollment '[mmm-yyyy']]]),"-",AND((Tbl_ResidentData[[#This Row],[Enrollment '[mmm-yyyy']]]&lt;=AQ$4),IF(ISBLANK(Tbl_ResidentData[[#This Row],[Discharge '[mmm-yyyy']]]),TRUE,(Tbl_ResidentData[[#This Row],[Discharge '[mmm-yyyy']]]&gt;=AQ$4)))))</f>
        <v>-</v>
      </c>
      <c r="AR84" s="122" t="str">
        <f ca="1">IF(AR$4&gt;NOW(),"-",IF(ISBLANK(Tbl_ResidentData[[#This Row],[Enrollment '[mmm-yyyy']]]),"-",AND((Tbl_ResidentData[[#This Row],[Enrollment '[mmm-yyyy']]]&lt;=AR$4),IF(ISBLANK(Tbl_ResidentData[[#This Row],[Discharge '[mmm-yyyy']]]),TRUE,(Tbl_ResidentData[[#This Row],[Discharge '[mmm-yyyy']]]&gt;=AR$4)))))</f>
        <v>-</v>
      </c>
      <c r="AS8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4" s="120" t="b">
        <f ca="1">AND(Tbl_ResidentData[[#This Row],[PRN Med Started]]&lt;&gt;"",Tbl_ResidentData[[#This Row],[PRN Med Started]]&lt;=NOW(),Tbl_ResidentData[[#This Row],[PRN Med Started]]&lt;=AS$4,OR(Tbl_ResidentData[[#This Row],[PRN Med Discontinued]]&gt;AS$4,ISBLANK(Tbl_ResidentData[[#This Row],[PRN Med Discontinued]])))</f>
        <v>0</v>
      </c>
      <c r="BR84" s="121" t="b">
        <f ca="1">AND(Tbl_ResidentData[[#This Row],[PRN Med Started]]&lt;&gt;"",Tbl_ResidentData[[#This Row],[PRN Med Started]]&lt;=NOW(),Tbl_ResidentData[[#This Row],[PRN Med Started]]&lt;=AT$4,OR(Tbl_ResidentData[[#This Row],[PRN Med Discontinued]]&gt;AT$4,ISBLANK(Tbl_ResidentData[[#This Row],[PRN Med Discontinued]])))</f>
        <v>0</v>
      </c>
      <c r="BS84" s="121" t="b">
        <f ca="1">AND(Tbl_ResidentData[[#This Row],[PRN Med Started]]&lt;&gt;"",Tbl_ResidentData[[#This Row],[PRN Med Started]]&lt;=NOW(),Tbl_ResidentData[[#This Row],[PRN Med Started]]&lt;=AU$4,OR(Tbl_ResidentData[[#This Row],[PRN Med Discontinued]]&gt;AU$4,ISBLANK(Tbl_ResidentData[[#This Row],[PRN Med Discontinued]])))</f>
        <v>0</v>
      </c>
      <c r="BT84" s="121" t="b">
        <f ca="1">AND(Tbl_ResidentData[[#This Row],[PRN Med Started]]&lt;&gt;"",Tbl_ResidentData[[#This Row],[PRN Med Started]]&lt;=NOW(),Tbl_ResidentData[[#This Row],[PRN Med Started]]&lt;=AV$4,OR(Tbl_ResidentData[[#This Row],[PRN Med Discontinued]]&gt;AV$4,ISBLANK(Tbl_ResidentData[[#This Row],[PRN Med Discontinued]])))</f>
        <v>0</v>
      </c>
      <c r="BU84" s="121" t="b">
        <f ca="1">AND(Tbl_ResidentData[[#This Row],[PRN Med Started]]&lt;&gt;"",Tbl_ResidentData[[#This Row],[PRN Med Started]]&lt;=NOW(),Tbl_ResidentData[[#This Row],[PRN Med Started]]&lt;=AW$4,OR(Tbl_ResidentData[[#This Row],[PRN Med Discontinued]]&gt;AW$4,ISBLANK(Tbl_ResidentData[[#This Row],[PRN Med Discontinued]])))</f>
        <v>0</v>
      </c>
      <c r="BV84" s="121" t="b">
        <f ca="1">AND(Tbl_ResidentData[[#This Row],[PRN Med Started]]&lt;&gt;"",Tbl_ResidentData[[#This Row],[PRN Med Started]]&lt;=NOW(),Tbl_ResidentData[[#This Row],[PRN Med Started]]&lt;=AX$4,OR(Tbl_ResidentData[[#This Row],[PRN Med Discontinued]]&gt;AX$4,ISBLANK(Tbl_ResidentData[[#This Row],[PRN Med Discontinued]])))</f>
        <v>0</v>
      </c>
      <c r="BW84" s="121" t="b">
        <f ca="1">AND(Tbl_ResidentData[[#This Row],[PRN Med Started]]&lt;&gt;"",Tbl_ResidentData[[#This Row],[PRN Med Started]]&lt;=NOW(),Tbl_ResidentData[[#This Row],[PRN Med Started]]&lt;=AY$4,OR(Tbl_ResidentData[[#This Row],[PRN Med Discontinued]]&gt;AY$4,ISBLANK(Tbl_ResidentData[[#This Row],[PRN Med Discontinued]])))</f>
        <v>0</v>
      </c>
      <c r="BX84" s="121" t="b">
        <f ca="1">AND(Tbl_ResidentData[[#This Row],[PRN Med Started]]&lt;&gt;"",Tbl_ResidentData[[#This Row],[PRN Med Started]]&lt;=NOW(),Tbl_ResidentData[[#This Row],[PRN Med Started]]&lt;=AZ$4,OR(Tbl_ResidentData[[#This Row],[PRN Med Discontinued]]&gt;AZ$4,ISBLANK(Tbl_ResidentData[[#This Row],[PRN Med Discontinued]])))</f>
        <v>0</v>
      </c>
      <c r="BY84" s="121" t="b">
        <f ca="1">AND(Tbl_ResidentData[[#This Row],[PRN Med Started]]&lt;&gt;"",Tbl_ResidentData[[#This Row],[PRN Med Started]]&lt;=NOW(),Tbl_ResidentData[[#This Row],[PRN Med Started]]&lt;=BA$4,OR(Tbl_ResidentData[[#This Row],[PRN Med Discontinued]]&gt;BA$4,ISBLANK(Tbl_ResidentData[[#This Row],[PRN Med Discontinued]])))</f>
        <v>0</v>
      </c>
      <c r="BZ84" s="121" t="b">
        <f ca="1">AND(Tbl_ResidentData[[#This Row],[PRN Med Started]]&lt;&gt;"",Tbl_ResidentData[[#This Row],[PRN Med Started]]&lt;=NOW(),Tbl_ResidentData[[#This Row],[PRN Med Started]]&lt;=BB$4,OR(Tbl_ResidentData[[#This Row],[PRN Med Discontinued]]&gt;BB$4,ISBLANK(Tbl_ResidentData[[#This Row],[PRN Med Discontinued]])))</f>
        <v>0</v>
      </c>
      <c r="CA84" s="121" t="b">
        <f ca="1">AND(Tbl_ResidentData[[#This Row],[PRN Med Started]]&lt;&gt;"",Tbl_ResidentData[[#This Row],[PRN Med Started]]&lt;=NOW(),Tbl_ResidentData[[#This Row],[PRN Med Started]]&lt;=BC$4,OR(Tbl_ResidentData[[#This Row],[PRN Med Discontinued]]&gt;BC$4,ISBLANK(Tbl_ResidentData[[#This Row],[PRN Med Discontinued]])))</f>
        <v>0</v>
      </c>
      <c r="CB84" s="121" t="b">
        <f ca="1">AND(Tbl_ResidentData[[#This Row],[PRN Med Started]]&lt;&gt;"",Tbl_ResidentData[[#This Row],[PRN Med Started]]&lt;=NOW(),Tbl_ResidentData[[#This Row],[PRN Med Started]]&lt;=BD$4,OR(Tbl_ResidentData[[#This Row],[PRN Med Discontinued]]&gt;BD$4,ISBLANK(Tbl_ResidentData[[#This Row],[PRN Med Discontinued]])))</f>
        <v>0</v>
      </c>
      <c r="CC84" s="121" t="b">
        <f ca="1">AND(Tbl_ResidentData[[#This Row],[PRN Med Started]]&lt;&gt;"",Tbl_ResidentData[[#This Row],[PRN Med Started]]&lt;=NOW(),Tbl_ResidentData[[#This Row],[PRN Med Started]]&lt;=BE$4,OR(Tbl_ResidentData[[#This Row],[PRN Med Discontinued]]&gt;BE$4,ISBLANK(Tbl_ResidentData[[#This Row],[PRN Med Discontinued]])))</f>
        <v>0</v>
      </c>
      <c r="CD84" s="121" t="b">
        <f ca="1">AND(Tbl_ResidentData[[#This Row],[PRN Med Started]]&lt;&gt;"",Tbl_ResidentData[[#This Row],[PRN Med Started]]&lt;=NOW(),Tbl_ResidentData[[#This Row],[PRN Med Started]]&lt;=BF$4,OR(Tbl_ResidentData[[#This Row],[PRN Med Discontinued]]&gt;BF$4,ISBLANK(Tbl_ResidentData[[#This Row],[PRN Med Discontinued]])))</f>
        <v>0</v>
      </c>
      <c r="CE84" s="121" t="b">
        <f ca="1">AND(Tbl_ResidentData[[#This Row],[PRN Med Started]]&lt;&gt;"",Tbl_ResidentData[[#This Row],[PRN Med Started]]&lt;=NOW(),Tbl_ResidentData[[#This Row],[PRN Med Started]]&lt;=BG$4,OR(Tbl_ResidentData[[#This Row],[PRN Med Discontinued]]&gt;BG$4,ISBLANK(Tbl_ResidentData[[#This Row],[PRN Med Discontinued]])))</f>
        <v>0</v>
      </c>
      <c r="CF84" s="121" t="b">
        <f ca="1">AND(Tbl_ResidentData[[#This Row],[PRN Med Started]]&lt;&gt;"",Tbl_ResidentData[[#This Row],[PRN Med Started]]&lt;=NOW(),Tbl_ResidentData[[#This Row],[PRN Med Started]]&lt;=BH$4,OR(Tbl_ResidentData[[#This Row],[PRN Med Discontinued]]&gt;BH$4,ISBLANK(Tbl_ResidentData[[#This Row],[PRN Med Discontinued]])))</f>
        <v>0</v>
      </c>
      <c r="CG84" s="121" t="b">
        <f ca="1">AND(Tbl_ResidentData[[#This Row],[PRN Med Started]]&lt;&gt;"",Tbl_ResidentData[[#This Row],[PRN Med Started]]&lt;=NOW(),Tbl_ResidentData[[#This Row],[PRN Med Started]]&lt;=BI$4,OR(Tbl_ResidentData[[#This Row],[PRN Med Discontinued]]&gt;BI$4,ISBLANK(Tbl_ResidentData[[#This Row],[PRN Med Discontinued]])))</f>
        <v>0</v>
      </c>
      <c r="CH84" s="121" t="b">
        <f ca="1">AND(Tbl_ResidentData[[#This Row],[PRN Med Started]]&lt;&gt;"",Tbl_ResidentData[[#This Row],[PRN Med Started]]&lt;=NOW(),Tbl_ResidentData[[#This Row],[PRN Med Started]]&lt;=BJ$4,OR(Tbl_ResidentData[[#This Row],[PRN Med Discontinued]]&gt;BJ$4,ISBLANK(Tbl_ResidentData[[#This Row],[PRN Med Discontinued]])))</f>
        <v>0</v>
      </c>
      <c r="CI84" s="121" t="b">
        <f ca="1">AND(Tbl_ResidentData[[#This Row],[PRN Med Started]]&lt;&gt;"",Tbl_ResidentData[[#This Row],[PRN Med Started]]&lt;=NOW(),Tbl_ResidentData[[#This Row],[PRN Med Started]]&lt;=BK$4,OR(Tbl_ResidentData[[#This Row],[PRN Med Discontinued]]&gt;BK$4,ISBLANK(Tbl_ResidentData[[#This Row],[PRN Med Discontinued]])))</f>
        <v>0</v>
      </c>
      <c r="CJ84" s="121" t="b">
        <f ca="1">AND(Tbl_ResidentData[[#This Row],[PRN Med Started]]&lt;&gt;"",Tbl_ResidentData[[#This Row],[PRN Med Started]]&lt;=NOW(),Tbl_ResidentData[[#This Row],[PRN Med Started]]&lt;=BL$4,OR(Tbl_ResidentData[[#This Row],[PRN Med Discontinued]]&gt;BL$4,ISBLANK(Tbl_ResidentData[[#This Row],[PRN Med Discontinued]])))</f>
        <v>0</v>
      </c>
      <c r="CK84" s="121" t="b">
        <f ca="1">AND(Tbl_ResidentData[[#This Row],[PRN Med Started]]&lt;&gt;"",Tbl_ResidentData[[#This Row],[PRN Med Started]]&lt;=NOW(),Tbl_ResidentData[[#This Row],[PRN Med Started]]&lt;=BM$4,OR(Tbl_ResidentData[[#This Row],[PRN Med Discontinued]]&gt;BM$4,ISBLANK(Tbl_ResidentData[[#This Row],[PRN Med Discontinued]])))</f>
        <v>0</v>
      </c>
      <c r="CL84" s="121" t="b">
        <f ca="1">AND(Tbl_ResidentData[[#This Row],[PRN Med Started]]&lt;&gt;"",Tbl_ResidentData[[#This Row],[PRN Med Started]]&lt;=NOW(),Tbl_ResidentData[[#This Row],[PRN Med Started]]&lt;=BN$4,OR(Tbl_ResidentData[[#This Row],[PRN Med Discontinued]]&gt;BN$4,ISBLANK(Tbl_ResidentData[[#This Row],[PRN Med Discontinued]])))</f>
        <v>0</v>
      </c>
      <c r="CM84" s="121" t="b">
        <f ca="1">AND(Tbl_ResidentData[[#This Row],[PRN Med Started]]&lt;&gt;"",Tbl_ResidentData[[#This Row],[PRN Med Started]]&lt;=NOW(),Tbl_ResidentData[[#This Row],[PRN Med Started]]&lt;=BO$4,OR(Tbl_ResidentData[[#This Row],[PRN Med Discontinued]]&gt;BO$4,ISBLANK(Tbl_ResidentData[[#This Row],[PRN Med Discontinued]])))</f>
        <v>0</v>
      </c>
      <c r="CN84" s="122" t="b">
        <f ca="1">AND(Tbl_ResidentData[[#This Row],[PRN Med Started]]&lt;&gt;"",Tbl_ResidentData[[#This Row],[PRN Med Started]]&lt;=NOW(),Tbl_ResidentData[[#This Row],[PRN Med Started]]&lt;=BP$4,OR(Tbl_ResidentData[[#This Row],[PRN Med Discontinued]]&gt;BP$4,ISBLANK(Tbl_ResidentData[[#This Row],[PRN Med Discontinued]])))</f>
        <v>0</v>
      </c>
      <c r="CO84" s="120">
        <f ca="1">IF(OR(Tbl_ResidentData[[#This Row],[S1]]=TRUE,Tbl_ResidentData[[#This Row],[P1]]=TRUE),1,0)</f>
        <v>0</v>
      </c>
      <c r="CP84" s="121">
        <f ca="1">IF(OR(Tbl_ResidentData[[#This Row],[S2]]=TRUE,Tbl_ResidentData[[#This Row],[P2]]=TRUE),1,0)</f>
        <v>0</v>
      </c>
      <c r="CQ84" s="121">
        <f ca="1">IF(OR(Tbl_ResidentData[[#This Row],[S3]]=TRUE,Tbl_ResidentData[[#This Row],[P3]]=TRUE),1,0)</f>
        <v>0</v>
      </c>
      <c r="CR84" s="120">
        <f ca="1">IF(OR(Tbl_ResidentData[[#This Row],[S4]]=TRUE,Tbl_ResidentData[[#This Row],[P4]]=TRUE),1,0)</f>
        <v>0</v>
      </c>
      <c r="CS84" s="120">
        <f ca="1">IF(OR(Tbl_ResidentData[[#This Row],[S5]]=TRUE,Tbl_ResidentData[[#This Row],[P5]]=TRUE),1,0)</f>
        <v>0</v>
      </c>
      <c r="CT84" s="120">
        <f ca="1">IF(OR(Tbl_ResidentData[[#This Row],[S6]]=TRUE,Tbl_ResidentData[[#This Row],[P6]]=TRUE),1,0)</f>
        <v>0</v>
      </c>
      <c r="CU84" s="120">
        <f ca="1">IF(OR(Tbl_ResidentData[[#This Row],[S7]]=TRUE,Tbl_ResidentData[[#This Row],[P7]]=TRUE),1,0)</f>
        <v>0</v>
      </c>
      <c r="CV84" s="120">
        <f ca="1">IF(OR(Tbl_ResidentData[[#This Row],[S8]]=TRUE,Tbl_ResidentData[[#This Row],[P8]]=TRUE),1,0)</f>
        <v>0</v>
      </c>
      <c r="CW84" s="120">
        <f ca="1">IF(OR(Tbl_ResidentData[[#This Row],[S9]]=TRUE,Tbl_ResidentData[[#This Row],[P9]]=TRUE),1,0)</f>
        <v>0</v>
      </c>
      <c r="CX84" s="120">
        <f ca="1">IF(OR(Tbl_ResidentData[[#This Row],[S10]]=TRUE,Tbl_ResidentData[[#This Row],[P10]]=TRUE),1,0)</f>
        <v>0</v>
      </c>
      <c r="CY84" s="120">
        <f ca="1">IF(OR(Tbl_ResidentData[[#This Row],[S11]]=TRUE,Tbl_ResidentData[[#This Row],[P11]]=TRUE),1,0)</f>
        <v>0</v>
      </c>
      <c r="CZ84" s="120">
        <f ca="1">IF(OR(Tbl_ResidentData[[#This Row],[S12]]=TRUE,Tbl_ResidentData[[#This Row],[P12]]=TRUE),1,0)</f>
        <v>0</v>
      </c>
      <c r="DA84" s="120">
        <f ca="1">IF(OR(Tbl_ResidentData[[#This Row],[S13]]=TRUE,Tbl_ResidentData[[#This Row],[P13]]=TRUE),1,0)</f>
        <v>0</v>
      </c>
      <c r="DB84" s="120">
        <f ca="1">IF(OR(Tbl_ResidentData[[#This Row],[S14]]=TRUE,Tbl_ResidentData[[#This Row],[P14]]=TRUE),1,0)</f>
        <v>0</v>
      </c>
      <c r="DC84" s="120">
        <f ca="1">IF(OR(Tbl_ResidentData[[#This Row],[S15]]=TRUE,Tbl_ResidentData[[#This Row],[P15]]=TRUE),1,0)</f>
        <v>0</v>
      </c>
      <c r="DD84" s="120">
        <f ca="1">IF(OR(Tbl_ResidentData[[#This Row],[S16]]=TRUE,Tbl_ResidentData[[#This Row],[P16]]=TRUE),1,0)</f>
        <v>0</v>
      </c>
      <c r="DE84" s="120">
        <f ca="1">IF(OR(Tbl_ResidentData[[#This Row],[S17]]=TRUE,Tbl_ResidentData[[#This Row],[P17]]=TRUE),1,0)</f>
        <v>0</v>
      </c>
      <c r="DF84" s="120">
        <f ca="1">IF(OR(Tbl_ResidentData[[#This Row],[S18]]=TRUE,Tbl_ResidentData[[#This Row],[P18]]=TRUE),1,0)</f>
        <v>0</v>
      </c>
      <c r="DG84" s="120">
        <f ca="1">IF(OR(Tbl_ResidentData[[#This Row],[S19]]=TRUE,Tbl_ResidentData[[#This Row],[P19]]=TRUE),1,0)</f>
        <v>0</v>
      </c>
      <c r="DH84" s="120">
        <f ca="1">IF(OR(Tbl_ResidentData[[#This Row],[S20]]=TRUE,Tbl_ResidentData[[#This Row],[P20]]=TRUE),1,0)</f>
        <v>0</v>
      </c>
      <c r="DI84" s="120">
        <f ca="1">IF(OR(Tbl_ResidentData[[#This Row],[S21]]=TRUE,Tbl_ResidentData[[#This Row],[P21]]=TRUE),1,0)</f>
        <v>0</v>
      </c>
      <c r="DJ84" s="120">
        <f ca="1">IF(OR(Tbl_ResidentData[[#This Row],[S22]]=TRUE,Tbl_ResidentData[[#This Row],[P22]]=TRUE),1,0)</f>
        <v>0</v>
      </c>
      <c r="DK84" s="120">
        <f ca="1">IF(OR(Tbl_ResidentData[[#This Row],[S23]]=TRUE,Tbl_ResidentData[[#This Row],[P23]]=TRUE),1,0)</f>
        <v>0</v>
      </c>
      <c r="DL84" s="120">
        <f ca="1">IF(OR(Tbl_ResidentData[[#This Row],[S24]]=TRUE,Tbl_ResidentData[[#This Row],[P24]]=TRUE),1,0)</f>
        <v>0</v>
      </c>
      <c r="DM84" s="123" t="str">
        <f ca="1">IFERROR(INDEX($CO$4:$DL$4,MATCH(TRUE,INDEX((Tbl_ResidentData[[#This Row],[Over1]:[Over24]]&lt;&gt;0),0),0)),"")</f>
        <v/>
      </c>
      <c r="DN84" s="133" t="str">
        <f>IFERROR(INDEX(Tbl_PDSAData[Last DRT],MATCH(Tbl_ResidentData[Resident Name '[last, first']],Tbl_PDSAData[Resident Name (last, first)],0)),"")</f>
        <v/>
      </c>
      <c r="DO84" s="222" t="str">
        <f>IFERROR(INDEX(Tbl_PDSAData[Last MR],MATCH(Tbl_ResidentData[Resident Name '[last, first']],Tbl_PDSAData[Resident Name (last, first)],0)),"")</f>
        <v/>
      </c>
    </row>
    <row r="85" spans="1:119" x14ac:dyDescent="0.25">
      <c r="A85" s="179"/>
      <c r="B85" s="180"/>
      <c r="C85" s="180"/>
      <c r="D85" s="218"/>
      <c r="E85" s="179"/>
      <c r="F85" s="181"/>
      <c r="G85" s="181"/>
      <c r="H85" s="375"/>
      <c r="I85" s="185"/>
      <c r="J85" s="387"/>
      <c r="K85" s="178"/>
      <c r="L85" s="388"/>
      <c r="M85" s="185"/>
      <c r="N85" s="386"/>
      <c r="O85" s="178"/>
      <c r="P85" s="388"/>
      <c r="Q85" s="395"/>
      <c r="R85" s="396"/>
      <c r="S85" s="131" t="str">
        <f>IF(ISBLANK(Tbl_ResidentData[[#This Row],[Discharge '[mmm-yyyy']]]),IF(ISBLANK(Tbl_ResidentData[[#This Row],[Enrollment '[mmm-yyyy']]]),"","In Care Home"),"Discharged")</f>
        <v/>
      </c>
      <c r="T85" s="119" t="str">
        <f>IF(ISBLANK(Tbl_ResidentData[[#This Row],[Diagnosis (RAI)]]),IF(ISBLANK(Tbl_ResidentData[[#This Row],[Resident Name '[last, first']]]),"",0),IF(Tbl_ResidentData[[#This Row],[Diagnosis (RAI)]]="Other (see clinical notes)",0,1))</f>
        <v/>
      </c>
      <c r="U85" s="120" t="str">
        <f ca="1">IF(U$4&gt;NOW(),"-",IF(ISBLANK(Tbl_ResidentData[[#This Row],[Enrollment '[mmm-yyyy']]]),"-",AND((Tbl_ResidentData[[#This Row],[Enrollment '[mmm-yyyy']]]&lt;=U$4),IF(ISBLANK(Tbl_ResidentData[[#This Row],[Discharge '[mmm-yyyy']]]),TRUE,(Tbl_ResidentData[[#This Row],[Discharge '[mmm-yyyy']]]&gt;=U$4)))))</f>
        <v>-</v>
      </c>
      <c r="V85" s="121" t="str">
        <f ca="1">IF(V$4&gt;NOW(),"-",IF(ISBLANK(Tbl_ResidentData[[#This Row],[Enrollment '[mmm-yyyy']]]),"-",AND((Tbl_ResidentData[[#This Row],[Enrollment '[mmm-yyyy']]]&lt;=V$4),IF(ISBLANK(Tbl_ResidentData[[#This Row],[Discharge '[mmm-yyyy']]]),TRUE,(Tbl_ResidentData[[#This Row],[Discharge '[mmm-yyyy']]]&gt;=V$4)))))</f>
        <v>-</v>
      </c>
      <c r="W85" s="121" t="str">
        <f ca="1">IF(W$4&gt;NOW(),"-",IF(ISBLANK(Tbl_ResidentData[[#This Row],[Enrollment '[mmm-yyyy']]]),"-",AND((Tbl_ResidentData[[#This Row],[Enrollment '[mmm-yyyy']]]&lt;=W$4),IF(ISBLANK(Tbl_ResidentData[[#This Row],[Discharge '[mmm-yyyy']]]),TRUE,(Tbl_ResidentData[[#This Row],[Discharge '[mmm-yyyy']]]&gt;=W$4)))))</f>
        <v>-</v>
      </c>
      <c r="X85" s="121" t="str">
        <f ca="1">IF(X$4&gt;NOW(),"-",IF(ISBLANK(Tbl_ResidentData[[#This Row],[Enrollment '[mmm-yyyy']]]),"-",AND((Tbl_ResidentData[[#This Row],[Enrollment '[mmm-yyyy']]]&lt;=X$4),IF(ISBLANK(Tbl_ResidentData[[#This Row],[Discharge '[mmm-yyyy']]]),TRUE,(Tbl_ResidentData[[#This Row],[Discharge '[mmm-yyyy']]]&gt;=X$4)))))</f>
        <v>-</v>
      </c>
      <c r="Y85" s="121" t="str">
        <f ca="1">IF(Y$4&gt;NOW(),"-",IF(ISBLANK(Tbl_ResidentData[[#This Row],[Enrollment '[mmm-yyyy']]]),"-",AND((Tbl_ResidentData[[#This Row],[Enrollment '[mmm-yyyy']]]&lt;=Y$4),IF(ISBLANK(Tbl_ResidentData[[#This Row],[Discharge '[mmm-yyyy']]]),TRUE,(Tbl_ResidentData[[#This Row],[Discharge '[mmm-yyyy']]]&gt;=Y$4)))))</f>
        <v>-</v>
      </c>
      <c r="Z85" s="121" t="str">
        <f ca="1">IF(Z$4&gt;NOW(),"-",IF(ISBLANK(Tbl_ResidentData[[#This Row],[Enrollment '[mmm-yyyy']]]),"-",AND((Tbl_ResidentData[[#This Row],[Enrollment '[mmm-yyyy']]]&lt;=Z$4),IF(ISBLANK(Tbl_ResidentData[[#This Row],[Discharge '[mmm-yyyy']]]),TRUE,(Tbl_ResidentData[[#This Row],[Discharge '[mmm-yyyy']]]&gt;=Z$4)))))</f>
        <v>-</v>
      </c>
      <c r="AA85" s="121" t="str">
        <f ca="1">IF(AA$4&gt;NOW(),"-",IF(ISBLANK(Tbl_ResidentData[[#This Row],[Enrollment '[mmm-yyyy']]]),"-",AND((Tbl_ResidentData[[#This Row],[Enrollment '[mmm-yyyy']]]&lt;=AA$4),IF(ISBLANK(Tbl_ResidentData[[#This Row],[Discharge '[mmm-yyyy']]]),TRUE,(Tbl_ResidentData[[#This Row],[Discharge '[mmm-yyyy']]]&gt;=AA$4)))))</f>
        <v>-</v>
      </c>
      <c r="AB85" s="121" t="str">
        <f ca="1">IF(AB$4&gt;NOW(),"-",IF(ISBLANK(Tbl_ResidentData[[#This Row],[Enrollment '[mmm-yyyy']]]),"-",AND((Tbl_ResidentData[[#This Row],[Enrollment '[mmm-yyyy']]]&lt;=AB$4),IF(ISBLANK(Tbl_ResidentData[[#This Row],[Discharge '[mmm-yyyy']]]),TRUE,(Tbl_ResidentData[[#This Row],[Discharge '[mmm-yyyy']]]&gt;=AB$4)))))</f>
        <v>-</v>
      </c>
      <c r="AC85" s="121" t="str">
        <f ca="1">IF(AC$4&gt;NOW(),"-",IF(ISBLANK(Tbl_ResidentData[[#This Row],[Enrollment '[mmm-yyyy']]]),"-",AND((Tbl_ResidentData[[#This Row],[Enrollment '[mmm-yyyy']]]&lt;=AC$4),IF(ISBLANK(Tbl_ResidentData[[#This Row],[Discharge '[mmm-yyyy']]]),TRUE,(Tbl_ResidentData[[#This Row],[Discharge '[mmm-yyyy']]]&gt;=AC$4)))))</f>
        <v>-</v>
      </c>
      <c r="AD85" s="121" t="str">
        <f ca="1">IF(AD$4&gt;NOW(),"-",IF(ISBLANK(Tbl_ResidentData[[#This Row],[Enrollment '[mmm-yyyy']]]),"-",AND((Tbl_ResidentData[[#This Row],[Enrollment '[mmm-yyyy']]]&lt;=AD$4),IF(ISBLANK(Tbl_ResidentData[[#This Row],[Discharge '[mmm-yyyy']]]),TRUE,(Tbl_ResidentData[[#This Row],[Discharge '[mmm-yyyy']]]&gt;=AD$4)))))</f>
        <v>-</v>
      </c>
      <c r="AE85" s="121" t="str">
        <f ca="1">IF(AE$4&gt;NOW(),"-",IF(ISBLANK(Tbl_ResidentData[[#This Row],[Enrollment '[mmm-yyyy']]]),"-",AND((Tbl_ResidentData[[#This Row],[Enrollment '[mmm-yyyy']]]&lt;=AE$4),IF(ISBLANK(Tbl_ResidentData[[#This Row],[Discharge '[mmm-yyyy']]]),TRUE,(Tbl_ResidentData[[#This Row],[Discharge '[mmm-yyyy']]]&gt;=AE$4)))))</f>
        <v>-</v>
      </c>
      <c r="AF85" s="121" t="str">
        <f ca="1">IF(AF$4&gt;NOW(),"-",IF(ISBLANK(Tbl_ResidentData[[#This Row],[Enrollment '[mmm-yyyy']]]),"-",AND((Tbl_ResidentData[[#This Row],[Enrollment '[mmm-yyyy']]]&lt;=AF$4),IF(ISBLANK(Tbl_ResidentData[[#This Row],[Discharge '[mmm-yyyy']]]),TRUE,(Tbl_ResidentData[[#This Row],[Discharge '[mmm-yyyy']]]&gt;=AF$4)))))</f>
        <v>-</v>
      </c>
      <c r="AG85" s="121" t="str">
        <f ca="1">IF(AG$4&gt;NOW(),"-",IF(ISBLANK(Tbl_ResidentData[[#This Row],[Enrollment '[mmm-yyyy']]]),"-",AND((Tbl_ResidentData[[#This Row],[Enrollment '[mmm-yyyy']]]&lt;=AG$4),IF(ISBLANK(Tbl_ResidentData[[#This Row],[Discharge '[mmm-yyyy']]]),TRUE,(Tbl_ResidentData[[#This Row],[Discharge '[mmm-yyyy']]]&gt;=AG$4)))))</f>
        <v>-</v>
      </c>
      <c r="AH85" s="121" t="str">
        <f ca="1">IF(AH$4&gt;NOW(),"-",IF(ISBLANK(Tbl_ResidentData[[#This Row],[Enrollment '[mmm-yyyy']]]),"-",AND((Tbl_ResidentData[[#This Row],[Enrollment '[mmm-yyyy']]]&lt;=AH$4),IF(ISBLANK(Tbl_ResidentData[[#This Row],[Discharge '[mmm-yyyy']]]),TRUE,(Tbl_ResidentData[[#This Row],[Discharge '[mmm-yyyy']]]&gt;=AH$4)))))</f>
        <v>-</v>
      </c>
      <c r="AI85" s="121" t="str">
        <f ca="1">IF(AI$4&gt;NOW(),"-",IF(ISBLANK(Tbl_ResidentData[[#This Row],[Enrollment '[mmm-yyyy']]]),"-",AND((Tbl_ResidentData[[#This Row],[Enrollment '[mmm-yyyy']]]&lt;=AI$4),IF(ISBLANK(Tbl_ResidentData[[#This Row],[Discharge '[mmm-yyyy']]]),TRUE,(Tbl_ResidentData[[#This Row],[Discharge '[mmm-yyyy']]]&gt;=AI$4)))))</f>
        <v>-</v>
      </c>
      <c r="AJ85" s="121" t="str">
        <f ca="1">IF(AJ$4&gt;NOW(),"-",IF(ISBLANK(Tbl_ResidentData[[#This Row],[Enrollment '[mmm-yyyy']]]),"-",AND((Tbl_ResidentData[[#This Row],[Enrollment '[mmm-yyyy']]]&lt;=AJ$4),IF(ISBLANK(Tbl_ResidentData[[#This Row],[Discharge '[mmm-yyyy']]]),TRUE,(Tbl_ResidentData[[#This Row],[Discharge '[mmm-yyyy']]]&gt;=AJ$4)))))</f>
        <v>-</v>
      </c>
      <c r="AK85" s="121" t="str">
        <f ca="1">IF(AK$4&gt;NOW(),"-",IF(ISBLANK(Tbl_ResidentData[[#This Row],[Enrollment '[mmm-yyyy']]]),"-",AND((Tbl_ResidentData[[#This Row],[Enrollment '[mmm-yyyy']]]&lt;=AK$4),IF(ISBLANK(Tbl_ResidentData[[#This Row],[Discharge '[mmm-yyyy']]]),TRUE,(Tbl_ResidentData[[#This Row],[Discharge '[mmm-yyyy']]]&gt;=AK$4)))))</f>
        <v>-</v>
      </c>
      <c r="AL85" s="121" t="str">
        <f ca="1">IF(AL$4&gt;NOW(),"-",IF(ISBLANK(Tbl_ResidentData[[#This Row],[Enrollment '[mmm-yyyy']]]),"-",AND((Tbl_ResidentData[[#This Row],[Enrollment '[mmm-yyyy']]]&lt;=AL$4),IF(ISBLANK(Tbl_ResidentData[[#This Row],[Discharge '[mmm-yyyy']]]),TRUE,(Tbl_ResidentData[[#This Row],[Discharge '[mmm-yyyy']]]&gt;=AL$4)))))</f>
        <v>-</v>
      </c>
      <c r="AM85" s="121" t="str">
        <f ca="1">IF(AM$4&gt;NOW(),"-",IF(ISBLANK(Tbl_ResidentData[[#This Row],[Enrollment '[mmm-yyyy']]]),"-",AND((Tbl_ResidentData[[#This Row],[Enrollment '[mmm-yyyy']]]&lt;=AM$4),IF(ISBLANK(Tbl_ResidentData[[#This Row],[Discharge '[mmm-yyyy']]]),TRUE,(Tbl_ResidentData[[#This Row],[Discharge '[mmm-yyyy']]]&gt;=AM$4)))))</f>
        <v>-</v>
      </c>
      <c r="AN85" s="121" t="str">
        <f ca="1">IF(AN$4&gt;NOW(),"-",IF(ISBLANK(Tbl_ResidentData[[#This Row],[Enrollment '[mmm-yyyy']]]),"-",AND((Tbl_ResidentData[[#This Row],[Enrollment '[mmm-yyyy']]]&lt;=AN$4),IF(ISBLANK(Tbl_ResidentData[[#This Row],[Discharge '[mmm-yyyy']]]),TRUE,(Tbl_ResidentData[[#This Row],[Discharge '[mmm-yyyy']]]&gt;=AN$4)))))</f>
        <v>-</v>
      </c>
      <c r="AO85" s="121" t="str">
        <f ca="1">IF(AO$4&gt;NOW(),"-",IF(ISBLANK(Tbl_ResidentData[[#This Row],[Enrollment '[mmm-yyyy']]]),"-",AND((Tbl_ResidentData[[#This Row],[Enrollment '[mmm-yyyy']]]&lt;=AO$4),IF(ISBLANK(Tbl_ResidentData[[#This Row],[Discharge '[mmm-yyyy']]]),TRUE,(Tbl_ResidentData[[#This Row],[Discharge '[mmm-yyyy']]]&gt;=AO$4)))))</f>
        <v>-</v>
      </c>
      <c r="AP85" s="121" t="str">
        <f ca="1">IF(AP$4&gt;NOW(),"-",IF(ISBLANK(Tbl_ResidentData[[#This Row],[Enrollment '[mmm-yyyy']]]),"-",AND((Tbl_ResidentData[[#This Row],[Enrollment '[mmm-yyyy']]]&lt;=AP$4),IF(ISBLANK(Tbl_ResidentData[[#This Row],[Discharge '[mmm-yyyy']]]),TRUE,(Tbl_ResidentData[[#This Row],[Discharge '[mmm-yyyy']]]&gt;=AP$4)))))</f>
        <v>-</v>
      </c>
      <c r="AQ85" s="121" t="str">
        <f ca="1">IF(AQ$4&gt;NOW(),"-",IF(ISBLANK(Tbl_ResidentData[[#This Row],[Enrollment '[mmm-yyyy']]]),"-",AND((Tbl_ResidentData[[#This Row],[Enrollment '[mmm-yyyy']]]&lt;=AQ$4),IF(ISBLANK(Tbl_ResidentData[[#This Row],[Discharge '[mmm-yyyy']]]),TRUE,(Tbl_ResidentData[[#This Row],[Discharge '[mmm-yyyy']]]&gt;=AQ$4)))))</f>
        <v>-</v>
      </c>
      <c r="AR85" s="122" t="str">
        <f ca="1">IF(AR$4&gt;NOW(),"-",IF(ISBLANK(Tbl_ResidentData[[#This Row],[Enrollment '[mmm-yyyy']]]),"-",AND((Tbl_ResidentData[[#This Row],[Enrollment '[mmm-yyyy']]]&lt;=AR$4),IF(ISBLANK(Tbl_ResidentData[[#This Row],[Discharge '[mmm-yyyy']]]),TRUE,(Tbl_ResidentData[[#This Row],[Discharge '[mmm-yyyy']]]&gt;=AR$4)))))</f>
        <v>-</v>
      </c>
      <c r="AS8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5" s="120" t="b">
        <f ca="1">AND(Tbl_ResidentData[[#This Row],[PRN Med Started]]&lt;&gt;"",Tbl_ResidentData[[#This Row],[PRN Med Started]]&lt;=NOW(),Tbl_ResidentData[[#This Row],[PRN Med Started]]&lt;=AS$4,OR(Tbl_ResidentData[[#This Row],[PRN Med Discontinued]]&gt;AS$4,ISBLANK(Tbl_ResidentData[[#This Row],[PRN Med Discontinued]])))</f>
        <v>0</v>
      </c>
      <c r="BR85" s="121" t="b">
        <f ca="1">AND(Tbl_ResidentData[[#This Row],[PRN Med Started]]&lt;&gt;"",Tbl_ResidentData[[#This Row],[PRN Med Started]]&lt;=NOW(),Tbl_ResidentData[[#This Row],[PRN Med Started]]&lt;=AT$4,OR(Tbl_ResidentData[[#This Row],[PRN Med Discontinued]]&gt;AT$4,ISBLANK(Tbl_ResidentData[[#This Row],[PRN Med Discontinued]])))</f>
        <v>0</v>
      </c>
      <c r="BS85" s="121" t="b">
        <f ca="1">AND(Tbl_ResidentData[[#This Row],[PRN Med Started]]&lt;&gt;"",Tbl_ResidentData[[#This Row],[PRN Med Started]]&lt;=NOW(),Tbl_ResidentData[[#This Row],[PRN Med Started]]&lt;=AU$4,OR(Tbl_ResidentData[[#This Row],[PRN Med Discontinued]]&gt;AU$4,ISBLANK(Tbl_ResidentData[[#This Row],[PRN Med Discontinued]])))</f>
        <v>0</v>
      </c>
      <c r="BT85" s="121" t="b">
        <f ca="1">AND(Tbl_ResidentData[[#This Row],[PRN Med Started]]&lt;&gt;"",Tbl_ResidentData[[#This Row],[PRN Med Started]]&lt;=NOW(),Tbl_ResidentData[[#This Row],[PRN Med Started]]&lt;=AV$4,OR(Tbl_ResidentData[[#This Row],[PRN Med Discontinued]]&gt;AV$4,ISBLANK(Tbl_ResidentData[[#This Row],[PRN Med Discontinued]])))</f>
        <v>0</v>
      </c>
      <c r="BU85" s="121" t="b">
        <f ca="1">AND(Tbl_ResidentData[[#This Row],[PRN Med Started]]&lt;&gt;"",Tbl_ResidentData[[#This Row],[PRN Med Started]]&lt;=NOW(),Tbl_ResidentData[[#This Row],[PRN Med Started]]&lt;=AW$4,OR(Tbl_ResidentData[[#This Row],[PRN Med Discontinued]]&gt;AW$4,ISBLANK(Tbl_ResidentData[[#This Row],[PRN Med Discontinued]])))</f>
        <v>0</v>
      </c>
      <c r="BV85" s="121" t="b">
        <f ca="1">AND(Tbl_ResidentData[[#This Row],[PRN Med Started]]&lt;&gt;"",Tbl_ResidentData[[#This Row],[PRN Med Started]]&lt;=NOW(),Tbl_ResidentData[[#This Row],[PRN Med Started]]&lt;=AX$4,OR(Tbl_ResidentData[[#This Row],[PRN Med Discontinued]]&gt;AX$4,ISBLANK(Tbl_ResidentData[[#This Row],[PRN Med Discontinued]])))</f>
        <v>0</v>
      </c>
      <c r="BW85" s="121" t="b">
        <f ca="1">AND(Tbl_ResidentData[[#This Row],[PRN Med Started]]&lt;&gt;"",Tbl_ResidentData[[#This Row],[PRN Med Started]]&lt;=NOW(),Tbl_ResidentData[[#This Row],[PRN Med Started]]&lt;=AY$4,OR(Tbl_ResidentData[[#This Row],[PRN Med Discontinued]]&gt;AY$4,ISBLANK(Tbl_ResidentData[[#This Row],[PRN Med Discontinued]])))</f>
        <v>0</v>
      </c>
      <c r="BX85" s="121" t="b">
        <f ca="1">AND(Tbl_ResidentData[[#This Row],[PRN Med Started]]&lt;&gt;"",Tbl_ResidentData[[#This Row],[PRN Med Started]]&lt;=NOW(),Tbl_ResidentData[[#This Row],[PRN Med Started]]&lt;=AZ$4,OR(Tbl_ResidentData[[#This Row],[PRN Med Discontinued]]&gt;AZ$4,ISBLANK(Tbl_ResidentData[[#This Row],[PRN Med Discontinued]])))</f>
        <v>0</v>
      </c>
      <c r="BY85" s="121" t="b">
        <f ca="1">AND(Tbl_ResidentData[[#This Row],[PRN Med Started]]&lt;&gt;"",Tbl_ResidentData[[#This Row],[PRN Med Started]]&lt;=NOW(),Tbl_ResidentData[[#This Row],[PRN Med Started]]&lt;=BA$4,OR(Tbl_ResidentData[[#This Row],[PRN Med Discontinued]]&gt;BA$4,ISBLANK(Tbl_ResidentData[[#This Row],[PRN Med Discontinued]])))</f>
        <v>0</v>
      </c>
      <c r="BZ85" s="121" t="b">
        <f ca="1">AND(Tbl_ResidentData[[#This Row],[PRN Med Started]]&lt;&gt;"",Tbl_ResidentData[[#This Row],[PRN Med Started]]&lt;=NOW(),Tbl_ResidentData[[#This Row],[PRN Med Started]]&lt;=BB$4,OR(Tbl_ResidentData[[#This Row],[PRN Med Discontinued]]&gt;BB$4,ISBLANK(Tbl_ResidentData[[#This Row],[PRN Med Discontinued]])))</f>
        <v>0</v>
      </c>
      <c r="CA85" s="121" t="b">
        <f ca="1">AND(Tbl_ResidentData[[#This Row],[PRN Med Started]]&lt;&gt;"",Tbl_ResidentData[[#This Row],[PRN Med Started]]&lt;=NOW(),Tbl_ResidentData[[#This Row],[PRN Med Started]]&lt;=BC$4,OR(Tbl_ResidentData[[#This Row],[PRN Med Discontinued]]&gt;BC$4,ISBLANK(Tbl_ResidentData[[#This Row],[PRN Med Discontinued]])))</f>
        <v>0</v>
      </c>
      <c r="CB85" s="121" t="b">
        <f ca="1">AND(Tbl_ResidentData[[#This Row],[PRN Med Started]]&lt;&gt;"",Tbl_ResidentData[[#This Row],[PRN Med Started]]&lt;=NOW(),Tbl_ResidentData[[#This Row],[PRN Med Started]]&lt;=BD$4,OR(Tbl_ResidentData[[#This Row],[PRN Med Discontinued]]&gt;BD$4,ISBLANK(Tbl_ResidentData[[#This Row],[PRN Med Discontinued]])))</f>
        <v>0</v>
      </c>
      <c r="CC85" s="121" t="b">
        <f ca="1">AND(Tbl_ResidentData[[#This Row],[PRN Med Started]]&lt;&gt;"",Tbl_ResidentData[[#This Row],[PRN Med Started]]&lt;=NOW(),Tbl_ResidentData[[#This Row],[PRN Med Started]]&lt;=BE$4,OR(Tbl_ResidentData[[#This Row],[PRN Med Discontinued]]&gt;BE$4,ISBLANK(Tbl_ResidentData[[#This Row],[PRN Med Discontinued]])))</f>
        <v>0</v>
      </c>
      <c r="CD85" s="121" t="b">
        <f ca="1">AND(Tbl_ResidentData[[#This Row],[PRN Med Started]]&lt;&gt;"",Tbl_ResidentData[[#This Row],[PRN Med Started]]&lt;=NOW(),Tbl_ResidentData[[#This Row],[PRN Med Started]]&lt;=BF$4,OR(Tbl_ResidentData[[#This Row],[PRN Med Discontinued]]&gt;BF$4,ISBLANK(Tbl_ResidentData[[#This Row],[PRN Med Discontinued]])))</f>
        <v>0</v>
      </c>
      <c r="CE85" s="121" t="b">
        <f ca="1">AND(Tbl_ResidentData[[#This Row],[PRN Med Started]]&lt;&gt;"",Tbl_ResidentData[[#This Row],[PRN Med Started]]&lt;=NOW(),Tbl_ResidentData[[#This Row],[PRN Med Started]]&lt;=BG$4,OR(Tbl_ResidentData[[#This Row],[PRN Med Discontinued]]&gt;BG$4,ISBLANK(Tbl_ResidentData[[#This Row],[PRN Med Discontinued]])))</f>
        <v>0</v>
      </c>
      <c r="CF85" s="121" t="b">
        <f ca="1">AND(Tbl_ResidentData[[#This Row],[PRN Med Started]]&lt;&gt;"",Tbl_ResidentData[[#This Row],[PRN Med Started]]&lt;=NOW(),Tbl_ResidentData[[#This Row],[PRN Med Started]]&lt;=BH$4,OR(Tbl_ResidentData[[#This Row],[PRN Med Discontinued]]&gt;BH$4,ISBLANK(Tbl_ResidentData[[#This Row],[PRN Med Discontinued]])))</f>
        <v>0</v>
      </c>
      <c r="CG85" s="121" t="b">
        <f ca="1">AND(Tbl_ResidentData[[#This Row],[PRN Med Started]]&lt;&gt;"",Tbl_ResidentData[[#This Row],[PRN Med Started]]&lt;=NOW(),Tbl_ResidentData[[#This Row],[PRN Med Started]]&lt;=BI$4,OR(Tbl_ResidentData[[#This Row],[PRN Med Discontinued]]&gt;BI$4,ISBLANK(Tbl_ResidentData[[#This Row],[PRN Med Discontinued]])))</f>
        <v>0</v>
      </c>
      <c r="CH85" s="121" t="b">
        <f ca="1">AND(Tbl_ResidentData[[#This Row],[PRN Med Started]]&lt;&gt;"",Tbl_ResidentData[[#This Row],[PRN Med Started]]&lt;=NOW(),Tbl_ResidentData[[#This Row],[PRN Med Started]]&lt;=BJ$4,OR(Tbl_ResidentData[[#This Row],[PRN Med Discontinued]]&gt;BJ$4,ISBLANK(Tbl_ResidentData[[#This Row],[PRN Med Discontinued]])))</f>
        <v>0</v>
      </c>
      <c r="CI85" s="121" t="b">
        <f ca="1">AND(Tbl_ResidentData[[#This Row],[PRN Med Started]]&lt;&gt;"",Tbl_ResidentData[[#This Row],[PRN Med Started]]&lt;=NOW(),Tbl_ResidentData[[#This Row],[PRN Med Started]]&lt;=BK$4,OR(Tbl_ResidentData[[#This Row],[PRN Med Discontinued]]&gt;BK$4,ISBLANK(Tbl_ResidentData[[#This Row],[PRN Med Discontinued]])))</f>
        <v>0</v>
      </c>
      <c r="CJ85" s="121" t="b">
        <f ca="1">AND(Tbl_ResidentData[[#This Row],[PRN Med Started]]&lt;&gt;"",Tbl_ResidentData[[#This Row],[PRN Med Started]]&lt;=NOW(),Tbl_ResidentData[[#This Row],[PRN Med Started]]&lt;=BL$4,OR(Tbl_ResidentData[[#This Row],[PRN Med Discontinued]]&gt;BL$4,ISBLANK(Tbl_ResidentData[[#This Row],[PRN Med Discontinued]])))</f>
        <v>0</v>
      </c>
      <c r="CK85" s="121" t="b">
        <f ca="1">AND(Tbl_ResidentData[[#This Row],[PRN Med Started]]&lt;&gt;"",Tbl_ResidentData[[#This Row],[PRN Med Started]]&lt;=NOW(),Tbl_ResidentData[[#This Row],[PRN Med Started]]&lt;=BM$4,OR(Tbl_ResidentData[[#This Row],[PRN Med Discontinued]]&gt;BM$4,ISBLANK(Tbl_ResidentData[[#This Row],[PRN Med Discontinued]])))</f>
        <v>0</v>
      </c>
      <c r="CL85" s="121" t="b">
        <f ca="1">AND(Tbl_ResidentData[[#This Row],[PRN Med Started]]&lt;&gt;"",Tbl_ResidentData[[#This Row],[PRN Med Started]]&lt;=NOW(),Tbl_ResidentData[[#This Row],[PRN Med Started]]&lt;=BN$4,OR(Tbl_ResidentData[[#This Row],[PRN Med Discontinued]]&gt;BN$4,ISBLANK(Tbl_ResidentData[[#This Row],[PRN Med Discontinued]])))</f>
        <v>0</v>
      </c>
      <c r="CM85" s="121" t="b">
        <f ca="1">AND(Tbl_ResidentData[[#This Row],[PRN Med Started]]&lt;&gt;"",Tbl_ResidentData[[#This Row],[PRN Med Started]]&lt;=NOW(),Tbl_ResidentData[[#This Row],[PRN Med Started]]&lt;=BO$4,OR(Tbl_ResidentData[[#This Row],[PRN Med Discontinued]]&gt;BO$4,ISBLANK(Tbl_ResidentData[[#This Row],[PRN Med Discontinued]])))</f>
        <v>0</v>
      </c>
      <c r="CN85" s="122" t="b">
        <f ca="1">AND(Tbl_ResidentData[[#This Row],[PRN Med Started]]&lt;&gt;"",Tbl_ResidentData[[#This Row],[PRN Med Started]]&lt;=NOW(),Tbl_ResidentData[[#This Row],[PRN Med Started]]&lt;=BP$4,OR(Tbl_ResidentData[[#This Row],[PRN Med Discontinued]]&gt;BP$4,ISBLANK(Tbl_ResidentData[[#This Row],[PRN Med Discontinued]])))</f>
        <v>0</v>
      </c>
      <c r="CO85" s="120">
        <f ca="1">IF(OR(Tbl_ResidentData[[#This Row],[S1]]=TRUE,Tbl_ResidentData[[#This Row],[P1]]=TRUE),1,0)</f>
        <v>0</v>
      </c>
      <c r="CP85" s="121">
        <f ca="1">IF(OR(Tbl_ResidentData[[#This Row],[S2]]=TRUE,Tbl_ResidentData[[#This Row],[P2]]=TRUE),1,0)</f>
        <v>0</v>
      </c>
      <c r="CQ85" s="121">
        <f ca="1">IF(OR(Tbl_ResidentData[[#This Row],[S3]]=TRUE,Tbl_ResidentData[[#This Row],[P3]]=TRUE),1,0)</f>
        <v>0</v>
      </c>
      <c r="CR85" s="120">
        <f ca="1">IF(OR(Tbl_ResidentData[[#This Row],[S4]]=TRUE,Tbl_ResidentData[[#This Row],[P4]]=TRUE),1,0)</f>
        <v>0</v>
      </c>
      <c r="CS85" s="120">
        <f ca="1">IF(OR(Tbl_ResidentData[[#This Row],[S5]]=TRUE,Tbl_ResidentData[[#This Row],[P5]]=TRUE),1,0)</f>
        <v>0</v>
      </c>
      <c r="CT85" s="120">
        <f ca="1">IF(OR(Tbl_ResidentData[[#This Row],[S6]]=TRUE,Tbl_ResidentData[[#This Row],[P6]]=TRUE),1,0)</f>
        <v>0</v>
      </c>
      <c r="CU85" s="120">
        <f ca="1">IF(OR(Tbl_ResidentData[[#This Row],[S7]]=TRUE,Tbl_ResidentData[[#This Row],[P7]]=TRUE),1,0)</f>
        <v>0</v>
      </c>
      <c r="CV85" s="120">
        <f ca="1">IF(OR(Tbl_ResidentData[[#This Row],[S8]]=TRUE,Tbl_ResidentData[[#This Row],[P8]]=TRUE),1,0)</f>
        <v>0</v>
      </c>
      <c r="CW85" s="120">
        <f ca="1">IF(OR(Tbl_ResidentData[[#This Row],[S9]]=TRUE,Tbl_ResidentData[[#This Row],[P9]]=TRUE),1,0)</f>
        <v>0</v>
      </c>
      <c r="CX85" s="120">
        <f ca="1">IF(OR(Tbl_ResidentData[[#This Row],[S10]]=TRUE,Tbl_ResidentData[[#This Row],[P10]]=TRUE),1,0)</f>
        <v>0</v>
      </c>
      <c r="CY85" s="120">
        <f ca="1">IF(OR(Tbl_ResidentData[[#This Row],[S11]]=TRUE,Tbl_ResidentData[[#This Row],[P11]]=TRUE),1,0)</f>
        <v>0</v>
      </c>
      <c r="CZ85" s="120">
        <f ca="1">IF(OR(Tbl_ResidentData[[#This Row],[S12]]=TRUE,Tbl_ResidentData[[#This Row],[P12]]=TRUE),1,0)</f>
        <v>0</v>
      </c>
      <c r="DA85" s="120">
        <f ca="1">IF(OR(Tbl_ResidentData[[#This Row],[S13]]=TRUE,Tbl_ResidentData[[#This Row],[P13]]=TRUE),1,0)</f>
        <v>0</v>
      </c>
      <c r="DB85" s="120">
        <f ca="1">IF(OR(Tbl_ResidentData[[#This Row],[S14]]=TRUE,Tbl_ResidentData[[#This Row],[P14]]=TRUE),1,0)</f>
        <v>0</v>
      </c>
      <c r="DC85" s="120">
        <f ca="1">IF(OR(Tbl_ResidentData[[#This Row],[S15]]=TRUE,Tbl_ResidentData[[#This Row],[P15]]=TRUE),1,0)</f>
        <v>0</v>
      </c>
      <c r="DD85" s="120">
        <f ca="1">IF(OR(Tbl_ResidentData[[#This Row],[S16]]=TRUE,Tbl_ResidentData[[#This Row],[P16]]=TRUE),1,0)</f>
        <v>0</v>
      </c>
      <c r="DE85" s="120">
        <f ca="1">IF(OR(Tbl_ResidentData[[#This Row],[S17]]=TRUE,Tbl_ResidentData[[#This Row],[P17]]=TRUE),1,0)</f>
        <v>0</v>
      </c>
      <c r="DF85" s="120">
        <f ca="1">IF(OR(Tbl_ResidentData[[#This Row],[S18]]=TRUE,Tbl_ResidentData[[#This Row],[P18]]=TRUE),1,0)</f>
        <v>0</v>
      </c>
      <c r="DG85" s="120">
        <f ca="1">IF(OR(Tbl_ResidentData[[#This Row],[S19]]=TRUE,Tbl_ResidentData[[#This Row],[P19]]=TRUE),1,0)</f>
        <v>0</v>
      </c>
      <c r="DH85" s="120">
        <f ca="1">IF(OR(Tbl_ResidentData[[#This Row],[S20]]=TRUE,Tbl_ResidentData[[#This Row],[P20]]=TRUE),1,0)</f>
        <v>0</v>
      </c>
      <c r="DI85" s="120">
        <f ca="1">IF(OR(Tbl_ResidentData[[#This Row],[S21]]=TRUE,Tbl_ResidentData[[#This Row],[P21]]=TRUE),1,0)</f>
        <v>0</v>
      </c>
      <c r="DJ85" s="120">
        <f ca="1">IF(OR(Tbl_ResidentData[[#This Row],[S22]]=TRUE,Tbl_ResidentData[[#This Row],[P22]]=TRUE),1,0)</f>
        <v>0</v>
      </c>
      <c r="DK85" s="120">
        <f ca="1">IF(OR(Tbl_ResidentData[[#This Row],[S23]]=TRUE,Tbl_ResidentData[[#This Row],[P23]]=TRUE),1,0)</f>
        <v>0</v>
      </c>
      <c r="DL85" s="120">
        <f ca="1">IF(OR(Tbl_ResidentData[[#This Row],[S24]]=TRUE,Tbl_ResidentData[[#This Row],[P24]]=TRUE),1,0)</f>
        <v>0</v>
      </c>
      <c r="DM85" s="123" t="str">
        <f ca="1">IFERROR(INDEX($CO$4:$DL$4,MATCH(TRUE,INDEX((Tbl_ResidentData[[#This Row],[Over1]:[Over24]]&lt;&gt;0),0),0)),"")</f>
        <v/>
      </c>
      <c r="DN85" s="133" t="str">
        <f>IFERROR(INDEX(Tbl_PDSAData[Last DRT],MATCH(Tbl_ResidentData[Resident Name '[last, first']],Tbl_PDSAData[Resident Name (last, first)],0)),"")</f>
        <v/>
      </c>
      <c r="DO85" s="222" t="str">
        <f>IFERROR(INDEX(Tbl_PDSAData[Last MR],MATCH(Tbl_ResidentData[Resident Name '[last, first']],Tbl_PDSAData[Resident Name (last, first)],0)),"")</f>
        <v/>
      </c>
    </row>
    <row r="86" spans="1:119" x14ac:dyDescent="0.25">
      <c r="A86" s="179"/>
      <c r="B86" s="180"/>
      <c r="C86" s="180"/>
      <c r="D86" s="218"/>
      <c r="E86" s="179"/>
      <c r="F86" s="181"/>
      <c r="G86" s="181"/>
      <c r="H86" s="375"/>
      <c r="I86" s="185"/>
      <c r="J86" s="387"/>
      <c r="K86" s="178"/>
      <c r="L86" s="388"/>
      <c r="M86" s="185"/>
      <c r="N86" s="386"/>
      <c r="O86" s="178"/>
      <c r="P86" s="388"/>
      <c r="Q86" s="394"/>
      <c r="R86" s="388"/>
      <c r="S86" s="131" t="str">
        <f>IF(ISBLANK(Tbl_ResidentData[[#This Row],[Discharge '[mmm-yyyy']]]),IF(ISBLANK(Tbl_ResidentData[[#This Row],[Enrollment '[mmm-yyyy']]]),"","In Care Home"),"Discharged")</f>
        <v/>
      </c>
      <c r="T86" s="119" t="str">
        <f>IF(ISBLANK(Tbl_ResidentData[[#This Row],[Diagnosis (RAI)]]),IF(ISBLANK(Tbl_ResidentData[[#This Row],[Resident Name '[last, first']]]),"",0),IF(Tbl_ResidentData[[#This Row],[Diagnosis (RAI)]]="Other (see clinical notes)",0,1))</f>
        <v/>
      </c>
      <c r="U86" s="120" t="str">
        <f ca="1">IF(U$4&gt;NOW(),"-",IF(ISBLANK(Tbl_ResidentData[[#This Row],[Enrollment '[mmm-yyyy']]]),"-",AND((Tbl_ResidentData[[#This Row],[Enrollment '[mmm-yyyy']]]&lt;=U$4),IF(ISBLANK(Tbl_ResidentData[[#This Row],[Discharge '[mmm-yyyy']]]),TRUE,(Tbl_ResidentData[[#This Row],[Discharge '[mmm-yyyy']]]&gt;=U$4)))))</f>
        <v>-</v>
      </c>
      <c r="V86" s="121" t="str">
        <f ca="1">IF(V$4&gt;NOW(),"-",IF(ISBLANK(Tbl_ResidentData[[#This Row],[Enrollment '[mmm-yyyy']]]),"-",AND((Tbl_ResidentData[[#This Row],[Enrollment '[mmm-yyyy']]]&lt;=V$4),IF(ISBLANK(Tbl_ResidentData[[#This Row],[Discharge '[mmm-yyyy']]]),TRUE,(Tbl_ResidentData[[#This Row],[Discharge '[mmm-yyyy']]]&gt;=V$4)))))</f>
        <v>-</v>
      </c>
      <c r="W86" s="121" t="str">
        <f ca="1">IF(W$4&gt;NOW(),"-",IF(ISBLANK(Tbl_ResidentData[[#This Row],[Enrollment '[mmm-yyyy']]]),"-",AND((Tbl_ResidentData[[#This Row],[Enrollment '[mmm-yyyy']]]&lt;=W$4),IF(ISBLANK(Tbl_ResidentData[[#This Row],[Discharge '[mmm-yyyy']]]),TRUE,(Tbl_ResidentData[[#This Row],[Discharge '[mmm-yyyy']]]&gt;=W$4)))))</f>
        <v>-</v>
      </c>
      <c r="X86" s="121" t="str">
        <f ca="1">IF(X$4&gt;NOW(),"-",IF(ISBLANK(Tbl_ResidentData[[#This Row],[Enrollment '[mmm-yyyy']]]),"-",AND((Tbl_ResidentData[[#This Row],[Enrollment '[mmm-yyyy']]]&lt;=X$4),IF(ISBLANK(Tbl_ResidentData[[#This Row],[Discharge '[mmm-yyyy']]]),TRUE,(Tbl_ResidentData[[#This Row],[Discharge '[mmm-yyyy']]]&gt;=X$4)))))</f>
        <v>-</v>
      </c>
      <c r="Y86" s="121" t="str">
        <f ca="1">IF(Y$4&gt;NOW(),"-",IF(ISBLANK(Tbl_ResidentData[[#This Row],[Enrollment '[mmm-yyyy']]]),"-",AND((Tbl_ResidentData[[#This Row],[Enrollment '[mmm-yyyy']]]&lt;=Y$4),IF(ISBLANK(Tbl_ResidentData[[#This Row],[Discharge '[mmm-yyyy']]]),TRUE,(Tbl_ResidentData[[#This Row],[Discharge '[mmm-yyyy']]]&gt;=Y$4)))))</f>
        <v>-</v>
      </c>
      <c r="Z86" s="121" t="str">
        <f ca="1">IF(Z$4&gt;NOW(),"-",IF(ISBLANK(Tbl_ResidentData[[#This Row],[Enrollment '[mmm-yyyy']]]),"-",AND((Tbl_ResidentData[[#This Row],[Enrollment '[mmm-yyyy']]]&lt;=Z$4),IF(ISBLANK(Tbl_ResidentData[[#This Row],[Discharge '[mmm-yyyy']]]),TRUE,(Tbl_ResidentData[[#This Row],[Discharge '[mmm-yyyy']]]&gt;=Z$4)))))</f>
        <v>-</v>
      </c>
      <c r="AA86" s="121" t="str">
        <f ca="1">IF(AA$4&gt;NOW(),"-",IF(ISBLANK(Tbl_ResidentData[[#This Row],[Enrollment '[mmm-yyyy']]]),"-",AND((Tbl_ResidentData[[#This Row],[Enrollment '[mmm-yyyy']]]&lt;=AA$4),IF(ISBLANK(Tbl_ResidentData[[#This Row],[Discharge '[mmm-yyyy']]]),TRUE,(Tbl_ResidentData[[#This Row],[Discharge '[mmm-yyyy']]]&gt;=AA$4)))))</f>
        <v>-</v>
      </c>
      <c r="AB86" s="121" t="str">
        <f ca="1">IF(AB$4&gt;NOW(),"-",IF(ISBLANK(Tbl_ResidentData[[#This Row],[Enrollment '[mmm-yyyy']]]),"-",AND((Tbl_ResidentData[[#This Row],[Enrollment '[mmm-yyyy']]]&lt;=AB$4),IF(ISBLANK(Tbl_ResidentData[[#This Row],[Discharge '[mmm-yyyy']]]),TRUE,(Tbl_ResidentData[[#This Row],[Discharge '[mmm-yyyy']]]&gt;=AB$4)))))</f>
        <v>-</v>
      </c>
      <c r="AC86" s="121" t="str">
        <f ca="1">IF(AC$4&gt;NOW(),"-",IF(ISBLANK(Tbl_ResidentData[[#This Row],[Enrollment '[mmm-yyyy']]]),"-",AND((Tbl_ResidentData[[#This Row],[Enrollment '[mmm-yyyy']]]&lt;=AC$4),IF(ISBLANK(Tbl_ResidentData[[#This Row],[Discharge '[mmm-yyyy']]]),TRUE,(Tbl_ResidentData[[#This Row],[Discharge '[mmm-yyyy']]]&gt;=AC$4)))))</f>
        <v>-</v>
      </c>
      <c r="AD86" s="121" t="str">
        <f ca="1">IF(AD$4&gt;NOW(),"-",IF(ISBLANK(Tbl_ResidentData[[#This Row],[Enrollment '[mmm-yyyy']]]),"-",AND((Tbl_ResidentData[[#This Row],[Enrollment '[mmm-yyyy']]]&lt;=AD$4),IF(ISBLANK(Tbl_ResidentData[[#This Row],[Discharge '[mmm-yyyy']]]),TRUE,(Tbl_ResidentData[[#This Row],[Discharge '[mmm-yyyy']]]&gt;=AD$4)))))</f>
        <v>-</v>
      </c>
      <c r="AE86" s="121" t="str">
        <f ca="1">IF(AE$4&gt;NOW(),"-",IF(ISBLANK(Tbl_ResidentData[[#This Row],[Enrollment '[mmm-yyyy']]]),"-",AND((Tbl_ResidentData[[#This Row],[Enrollment '[mmm-yyyy']]]&lt;=AE$4),IF(ISBLANK(Tbl_ResidentData[[#This Row],[Discharge '[mmm-yyyy']]]),TRUE,(Tbl_ResidentData[[#This Row],[Discharge '[mmm-yyyy']]]&gt;=AE$4)))))</f>
        <v>-</v>
      </c>
      <c r="AF86" s="121" t="str">
        <f ca="1">IF(AF$4&gt;NOW(),"-",IF(ISBLANK(Tbl_ResidentData[[#This Row],[Enrollment '[mmm-yyyy']]]),"-",AND((Tbl_ResidentData[[#This Row],[Enrollment '[mmm-yyyy']]]&lt;=AF$4),IF(ISBLANK(Tbl_ResidentData[[#This Row],[Discharge '[mmm-yyyy']]]),TRUE,(Tbl_ResidentData[[#This Row],[Discharge '[mmm-yyyy']]]&gt;=AF$4)))))</f>
        <v>-</v>
      </c>
      <c r="AG86" s="121" t="str">
        <f ca="1">IF(AG$4&gt;NOW(),"-",IF(ISBLANK(Tbl_ResidentData[[#This Row],[Enrollment '[mmm-yyyy']]]),"-",AND((Tbl_ResidentData[[#This Row],[Enrollment '[mmm-yyyy']]]&lt;=AG$4),IF(ISBLANK(Tbl_ResidentData[[#This Row],[Discharge '[mmm-yyyy']]]),TRUE,(Tbl_ResidentData[[#This Row],[Discharge '[mmm-yyyy']]]&gt;=AG$4)))))</f>
        <v>-</v>
      </c>
      <c r="AH86" s="121" t="str">
        <f ca="1">IF(AH$4&gt;NOW(),"-",IF(ISBLANK(Tbl_ResidentData[[#This Row],[Enrollment '[mmm-yyyy']]]),"-",AND((Tbl_ResidentData[[#This Row],[Enrollment '[mmm-yyyy']]]&lt;=AH$4),IF(ISBLANK(Tbl_ResidentData[[#This Row],[Discharge '[mmm-yyyy']]]),TRUE,(Tbl_ResidentData[[#This Row],[Discharge '[mmm-yyyy']]]&gt;=AH$4)))))</f>
        <v>-</v>
      </c>
      <c r="AI86" s="121" t="str">
        <f ca="1">IF(AI$4&gt;NOW(),"-",IF(ISBLANK(Tbl_ResidentData[[#This Row],[Enrollment '[mmm-yyyy']]]),"-",AND((Tbl_ResidentData[[#This Row],[Enrollment '[mmm-yyyy']]]&lt;=AI$4),IF(ISBLANK(Tbl_ResidentData[[#This Row],[Discharge '[mmm-yyyy']]]),TRUE,(Tbl_ResidentData[[#This Row],[Discharge '[mmm-yyyy']]]&gt;=AI$4)))))</f>
        <v>-</v>
      </c>
      <c r="AJ86" s="121" t="str">
        <f ca="1">IF(AJ$4&gt;NOW(),"-",IF(ISBLANK(Tbl_ResidentData[[#This Row],[Enrollment '[mmm-yyyy']]]),"-",AND((Tbl_ResidentData[[#This Row],[Enrollment '[mmm-yyyy']]]&lt;=AJ$4),IF(ISBLANK(Tbl_ResidentData[[#This Row],[Discharge '[mmm-yyyy']]]),TRUE,(Tbl_ResidentData[[#This Row],[Discharge '[mmm-yyyy']]]&gt;=AJ$4)))))</f>
        <v>-</v>
      </c>
      <c r="AK86" s="121" t="str">
        <f ca="1">IF(AK$4&gt;NOW(),"-",IF(ISBLANK(Tbl_ResidentData[[#This Row],[Enrollment '[mmm-yyyy']]]),"-",AND((Tbl_ResidentData[[#This Row],[Enrollment '[mmm-yyyy']]]&lt;=AK$4),IF(ISBLANK(Tbl_ResidentData[[#This Row],[Discharge '[mmm-yyyy']]]),TRUE,(Tbl_ResidentData[[#This Row],[Discharge '[mmm-yyyy']]]&gt;=AK$4)))))</f>
        <v>-</v>
      </c>
      <c r="AL86" s="121" t="str">
        <f ca="1">IF(AL$4&gt;NOW(),"-",IF(ISBLANK(Tbl_ResidentData[[#This Row],[Enrollment '[mmm-yyyy']]]),"-",AND((Tbl_ResidentData[[#This Row],[Enrollment '[mmm-yyyy']]]&lt;=AL$4),IF(ISBLANK(Tbl_ResidentData[[#This Row],[Discharge '[mmm-yyyy']]]),TRUE,(Tbl_ResidentData[[#This Row],[Discharge '[mmm-yyyy']]]&gt;=AL$4)))))</f>
        <v>-</v>
      </c>
      <c r="AM86" s="121" t="str">
        <f ca="1">IF(AM$4&gt;NOW(),"-",IF(ISBLANK(Tbl_ResidentData[[#This Row],[Enrollment '[mmm-yyyy']]]),"-",AND((Tbl_ResidentData[[#This Row],[Enrollment '[mmm-yyyy']]]&lt;=AM$4),IF(ISBLANK(Tbl_ResidentData[[#This Row],[Discharge '[mmm-yyyy']]]),TRUE,(Tbl_ResidentData[[#This Row],[Discharge '[mmm-yyyy']]]&gt;=AM$4)))))</f>
        <v>-</v>
      </c>
      <c r="AN86" s="121" t="str">
        <f ca="1">IF(AN$4&gt;NOW(),"-",IF(ISBLANK(Tbl_ResidentData[[#This Row],[Enrollment '[mmm-yyyy']]]),"-",AND((Tbl_ResidentData[[#This Row],[Enrollment '[mmm-yyyy']]]&lt;=AN$4),IF(ISBLANK(Tbl_ResidentData[[#This Row],[Discharge '[mmm-yyyy']]]),TRUE,(Tbl_ResidentData[[#This Row],[Discharge '[mmm-yyyy']]]&gt;=AN$4)))))</f>
        <v>-</v>
      </c>
      <c r="AO86" s="121" t="str">
        <f ca="1">IF(AO$4&gt;NOW(),"-",IF(ISBLANK(Tbl_ResidentData[[#This Row],[Enrollment '[mmm-yyyy']]]),"-",AND((Tbl_ResidentData[[#This Row],[Enrollment '[mmm-yyyy']]]&lt;=AO$4),IF(ISBLANK(Tbl_ResidentData[[#This Row],[Discharge '[mmm-yyyy']]]),TRUE,(Tbl_ResidentData[[#This Row],[Discharge '[mmm-yyyy']]]&gt;=AO$4)))))</f>
        <v>-</v>
      </c>
      <c r="AP86" s="121" t="str">
        <f ca="1">IF(AP$4&gt;NOW(),"-",IF(ISBLANK(Tbl_ResidentData[[#This Row],[Enrollment '[mmm-yyyy']]]),"-",AND((Tbl_ResidentData[[#This Row],[Enrollment '[mmm-yyyy']]]&lt;=AP$4),IF(ISBLANK(Tbl_ResidentData[[#This Row],[Discharge '[mmm-yyyy']]]),TRUE,(Tbl_ResidentData[[#This Row],[Discharge '[mmm-yyyy']]]&gt;=AP$4)))))</f>
        <v>-</v>
      </c>
      <c r="AQ86" s="121" t="str">
        <f ca="1">IF(AQ$4&gt;NOW(),"-",IF(ISBLANK(Tbl_ResidentData[[#This Row],[Enrollment '[mmm-yyyy']]]),"-",AND((Tbl_ResidentData[[#This Row],[Enrollment '[mmm-yyyy']]]&lt;=AQ$4),IF(ISBLANK(Tbl_ResidentData[[#This Row],[Discharge '[mmm-yyyy']]]),TRUE,(Tbl_ResidentData[[#This Row],[Discharge '[mmm-yyyy']]]&gt;=AQ$4)))))</f>
        <v>-</v>
      </c>
      <c r="AR86" s="122" t="str">
        <f ca="1">IF(AR$4&gt;NOW(),"-",IF(ISBLANK(Tbl_ResidentData[[#This Row],[Enrollment '[mmm-yyyy']]]),"-",AND((Tbl_ResidentData[[#This Row],[Enrollment '[mmm-yyyy']]]&lt;=AR$4),IF(ISBLANK(Tbl_ResidentData[[#This Row],[Discharge '[mmm-yyyy']]]),TRUE,(Tbl_ResidentData[[#This Row],[Discharge '[mmm-yyyy']]]&gt;=AR$4)))))</f>
        <v>-</v>
      </c>
      <c r="AS8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6" s="120" t="b">
        <f ca="1">AND(Tbl_ResidentData[[#This Row],[PRN Med Started]]&lt;&gt;"",Tbl_ResidentData[[#This Row],[PRN Med Started]]&lt;=NOW(),Tbl_ResidentData[[#This Row],[PRN Med Started]]&lt;=AS$4,OR(Tbl_ResidentData[[#This Row],[PRN Med Discontinued]]&gt;AS$4,ISBLANK(Tbl_ResidentData[[#This Row],[PRN Med Discontinued]])))</f>
        <v>0</v>
      </c>
      <c r="BR86" s="121" t="b">
        <f ca="1">AND(Tbl_ResidentData[[#This Row],[PRN Med Started]]&lt;&gt;"",Tbl_ResidentData[[#This Row],[PRN Med Started]]&lt;=NOW(),Tbl_ResidentData[[#This Row],[PRN Med Started]]&lt;=AT$4,OR(Tbl_ResidentData[[#This Row],[PRN Med Discontinued]]&gt;AT$4,ISBLANK(Tbl_ResidentData[[#This Row],[PRN Med Discontinued]])))</f>
        <v>0</v>
      </c>
      <c r="BS86" s="121" t="b">
        <f ca="1">AND(Tbl_ResidentData[[#This Row],[PRN Med Started]]&lt;&gt;"",Tbl_ResidentData[[#This Row],[PRN Med Started]]&lt;=NOW(),Tbl_ResidentData[[#This Row],[PRN Med Started]]&lt;=AU$4,OR(Tbl_ResidentData[[#This Row],[PRN Med Discontinued]]&gt;AU$4,ISBLANK(Tbl_ResidentData[[#This Row],[PRN Med Discontinued]])))</f>
        <v>0</v>
      </c>
      <c r="BT86" s="121" t="b">
        <f ca="1">AND(Tbl_ResidentData[[#This Row],[PRN Med Started]]&lt;&gt;"",Tbl_ResidentData[[#This Row],[PRN Med Started]]&lt;=NOW(),Tbl_ResidentData[[#This Row],[PRN Med Started]]&lt;=AV$4,OR(Tbl_ResidentData[[#This Row],[PRN Med Discontinued]]&gt;AV$4,ISBLANK(Tbl_ResidentData[[#This Row],[PRN Med Discontinued]])))</f>
        <v>0</v>
      </c>
      <c r="BU86" s="121" t="b">
        <f ca="1">AND(Tbl_ResidentData[[#This Row],[PRN Med Started]]&lt;&gt;"",Tbl_ResidentData[[#This Row],[PRN Med Started]]&lt;=NOW(),Tbl_ResidentData[[#This Row],[PRN Med Started]]&lt;=AW$4,OR(Tbl_ResidentData[[#This Row],[PRN Med Discontinued]]&gt;AW$4,ISBLANK(Tbl_ResidentData[[#This Row],[PRN Med Discontinued]])))</f>
        <v>0</v>
      </c>
      <c r="BV86" s="121" t="b">
        <f ca="1">AND(Tbl_ResidentData[[#This Row],[PRN Med Started]]&lt;&gt;"",Tbl_ResidentData[[#This Row],[PRN Med Started]]&lt;=NOW(),Tbl_ResidentData[[#This Row],[PRN Med Started]]&lt;=AX$4,OR(Tbl_ResidentData[[#This Row],[PRN Med Discontinued]]&gt;AX$4,ISBLANK(Tbl_ResidentData[[#This Row],[PRN Med Discontinued]])))</f>
        <v>0</v>
      </c>
      <c r="BW86" s="121" t="b">
        <f ca="1">AND(Tbl_ResidentData[[#This Row],[PRN Med Started]]&lt;&gt;"",Tbl_ResidentData[[#This Row],[PRN Med Started]]&lt;=NOW(),Tbl_ResidentData[[#This Row],[PRN Med Started]]&lt;=AY$4,OR(Tbl_ResidentData[[#This Row],[PRN Med Discontinued]]&gt;AY$4,ISBLANK(Tbl_ResidentData[[#This Row],[PRN Med Discontinued]])))</f>
        <v>0</v>
      </c>
      <c r="BX86" s="121" t="b">
        <f ca="1">AND(Tbl_ResidentData[[#This Row],[PRN Med Started]]&lt;&gt;"",Tbl_ResidentData[[#This Row],[PRN Med Started]]&lt;=NOW(),Tbl_ResidentData[[#This Row],[PRN Med Started]]&lt;=AZ$4,OR(Tbl_ResidentData[[#This Row],[PRN Med Discontinued]]&gt;AZ$4,ISBLANK(Tbl_ResidentData[[#This Row],[PRN Med Discontinued]])))</f>
        <v>0</v>
      </c>
      <c r="BY86" s="121" t="b">
        <f ca="1">AND(Tbl_ResidentData[[#This Row],[PRN Med Started]]&lt;&gt;"",Tbl_ResidentData[[#This Row],[PRN Med Started]]&lt;=NOW(),Tbl_ResidentData[[#This Row],[PRN Med Started]]&lt;=BA$4,OR(Tbl_ResidentData[[#This Row],[PRN Med Discontinued]]&gt;BA$4,ISBLANK(Tbl_ResidentData[[#This Row],[PRN Med Discontinued]])))</f>
        <v>0</v>
      </c>
      <c r="BZ86" s="121" t="b">
        <f ca="1">AND(Tbl_ResidentData[[#This Row],[PRN Med Started]]&lt;&gt;"",Tbl_ResidentData[[#This Row],[PRN Med Started]]&lt;=NOW(),Tbl_ResidentData[[#This Row],[PRN Med Started]]&lt;=BB$4,OR(Tbl_ResidentData[[#This Row],[PRN Med Discontinued]]&gt;BB$4,ISBLANK(Tbl_ResidentData[[#This Row],[PRN Med Discontinued]])))</f>
        <v>0</v>
      </c>
      <c r="CA86" s="121" t="b">
        <f ca="1">AND(Tbl_ResidentData[[#This Row],[PRN Med Started]]&lt;&gt;"",Tbl_ResidentData[[#This Row],[PRN Med Started]]&lt;=NOW(),Tbl_ResidentData[[#This Row],[PRN Med Started]]&lt;=BC$4,OR(Tbl_ResidentData[[#This Row],[PRN Med Discontinued]]&gt;BC$4,ISBLANK(Tbl_ResidentData[[#This Row],[PRN Med Discontinued]])))</f>
        <v>0</v>
      </c>
      <c r="CB86" s="121" t="b">
        <f ca="1">AND(Tbl_ResidentData[[#This Row],[PRN Med Started]]&lt;&gt;"",Tbl_ResidentData[[#This Row],[PRN Med Started]]&lt;=NOW(),Tbl_ResidentData[[#This Row],[PRN Med Started]]&lt;=BD$4,OR(Tbl_ResidentData[[#This Row],[PRN Med Discontinued]]&gt;BD$4,ISBLANK(Tbl_ResidentData[[#This Row],[PRN Med Discontinued]])))</f>
        <v>0</v>
      </c>
      <c r="CC86" s="121" t="b">
        <f ca="1">AND(Tbl_ResidentData[[#This Row],[PRN Med Started]]&lt;&gt;"",Tbl_ResidentData[[#This Row],[PRN Med Started]]&lt;=NOW(),Tbl_ResidentData[[#This Row],[PRN Med Started]]&lt;=BE$4,OR(Tbl_ResidentData[[#This Row],[PRN Med Discontinued]]&gt;BE$4,ISBLANK(Tbl_ResidentData[[#This Row],[PRN Med Discontinued]])))</f>
        <v>0</v>
      </c>
      <c r="CD86" s="121" t="b">
        <f ca="1">AND(Tbl_ResidentData[[#This Row],[PRN Med Started]]&lt;&gt;"",Tbl_ResidentData[[#This Row],[PRN Med Started]]&lt;=NOW(),Tbl_ResidentData[[#This Row],[PRN Med Started]]&lt;=BF$4,OR(Tbl_ResidentData[[#This Row],[PRN Med Discontinued]]&gt;BF$4,ISBLANK(Tbl_ResidentData[[#This Row],[PRN Med Discontinued]])))</f>
        <v>0</v>
      </c>
      <c r="CE86" s="121" t="b">
        <f ca="1">AND(Tbl_ResidentData[[#This Row],[PRN Med Started]]&lt;&gt;"",Tbl_ResidentData[[#This Row],[PRN Med Started]]&lt;=NOW(),Tbl_ResidentData[[#This Row],[PRN Med Started]]&lt;=BG$4,OR(Tbl_ResidentData[[#This Row],[PRN Med Discontinued]]&gt;BG$4,ISBLANK(Tbl_ResidentData[[#This Row],[PRN Med Discontinued]])))</f>
        <v>0</v>
      </c>
      <c r="CF86" s="121" t="b">
        <f ca="1">AND(Tbl_ResidentData[[#This Row],[PRN Med Started]]&lt;&gt;"",Tbl_ResidentData[[#This Row],[PRN Med Started]]&lt;=NOW(),Tbl_ResidentData[[#This Row],[PRN Med Started]]&lt;=BH$4,OR(Tbl_ResidentData[[#This Row],[PRN Med Discontinued]]&gt;BH$4,ISBLANK(Tbl_ResidentData[[#This Row],[PRN Med Discontinued]])))</f>
        <v>0</v>
      </c>
      <c r="CG86" s="121" t="b">
        <f ca="1">AND(Tbl_ResidentData[[#This Row],[PRN Med Started]]&lt;&gt;"",Tbl_ResidentData[[#This Row],[PRN Med Started]]&lt;=NOW(),Tbl_ResidentData[[#This Row],[PRN Med Started]]&lt;=BI$4,OR(Tbl_ResidentData[[#This Row],[PRN Med Discontinued]]&gt;BI$4,ISBLANK(Tbl_ResidentData[[#This Row],[PRN Med Discontinued]])))</f>
        <v>0</v>
      </c>
      <c r="CH86" s="121" t="b">
        <f ca="1">AND(Tbl_ResidentData[[#This Row],[PRN Med Started]]&lt;&gt;"",Tbl_ResidentData[[#This Row],[PRN Med Started]]&lt;=NOW(),Tbl_ResidentData[[#This Row],[PRN Med Started]]&lt;=BJ$4,OR(Tbl_ResidentData[[#This Row],[PRN Med Discontinued]]&gt;BJ$4,ISBLANK(Tbl_ResidentData[[#This Row],[PRN Med Discontinued]])))</f>
        <v>0</v>
      </c>
      <c r="CI86" s="121" t="b">
        <f ca="1">AND(Tbl_ResidentData[[#This Row],[PRN Med Started]]&lt;&gt;"",Tbl_ResidentData[[#This Row],[PRN Med Started]]&lt;=NOW(),Tbl_ResidentData[[#This Row],[PRN Med Started]]&lt;=BK$4,OR(Tbl_ResidentData[[#This Row],[PRN Med Discontinued]]&gt;BK$4,ISBLANK(Tbl_ResidentData[[#This Row],[PRN Med Discontinued]])))</f>
        <v>0</v>
      </c>
      <c r="CJ86" s="121" t="b">
        <f ca="1">AND(Tbl_ResidentData[[#This Row],[PRN Med Started]]&lt;&gt;"",Tbl_ResidentData[[#This Row],[PRN Med Started]]&lt;=NOW(),Tbl_ResidentData[[#This Row],[PRN Med Started]]&lt;=BL$4,OR(Tbl_ResidentData[[#This Row],[PRN Med Discontinued]]&gt;BL$4,ISBLANK(Tbl_ResidentData[[#This Row],[PRN Med Discontinued]])))</f>
        <v>0</v>
      </c>
      <c r="CK86" s="121" t="b">
        <f ca="1">AND(Tbl_ResidentData[[#This Row],[PRN Med Started]]&lt;&gt;"",Tbl_ResidentData[[#This Row],[PRN Med Started]]&lt;=NOW(),Tbl_ResidentData[[#This Row],[PRN Med Started]]&lt;=BM$4,OR(Tbl_ResidentData[[#This Row],[PRN Med Discontinued]]&gt;BM$4,ISBLANK(Tbl_ResidentData[[#This Row],[PRN Med Discontinued]])))</f>
        <v>0</v>
      </c>
      <c r="CL86" s="121" t="b">
        <f ca="1">AND(Tbl_ResidentData[[#This Row],[PRN Med Started]]&lt;&gt;"",Tbl_ResidentData[[#This Row],[PRN Med Started]]&lt;=NOW(),Tbl_ResidentData[[#This Row],[PRN Med Started]]&lt;=BN$4,OR(Tbl_ResidentData[[#This Row],[PRN Med Discontinued]]&gt;BN$4,ISBLANK(Tbl_ResidentData[[#This Row],[PRN Med Discontinued]])))</f>
        <v>0</v>
      </c>
      <c r="CM86" s="121" t="b">
        <f ca="1">AND(Tbl_ResidentData[[#This Row],[PRN Med Started]]&lt;&gt;"",Tbl_ResidentData[[#This Row],[PRN Med Started]]&lt;=NOW(),Tbl_ResidentData[[#This Row],[PRN Med Started]]&lt;=BO$4,OR(Tbl_ResidentData[[#This Row],[PRN Med Discontinued]]&gt;BO$4,ISBLANK(Tbl_ResidentData[[#This Row],[PRN Med Discontinued]])))</f>
        <v>0</v>
      </c>
      <c r="CN86" s="122" t="b">
        <f ca="1">AND(Tbl_ResidentData[[#This Row],[PRN Med Started]]&lt;&gt;"",Tbl_ResidentData[[#This Row],[PRN Med Started]]&lt;=NOW(),Tbl_ResidentData[[#This Row],[PRN Med Started]]&lt;=BP$4,OR(Tbl_ResidentData[[#This Row],[PRN Med Discontinued]]&gt;BP$4,ISBLANK(Tbl_ResidentData[[#This Row],[PRN Med Discontinued]])))</f>
        <v>0</v>
      </c>
      <c r="CO86" s="120">
        <f ca="1">IF(OR(Tbl_ResidentData[[#This Row],[S1]]=TRUE,Tbl_ResidentData[[#This Row],[P1]]=TRUE),1,0)</f>
        <v>0</v>
      </c>
      <c r="CP86" s="121">
        <f ca="1">IF(OR(Tbl_ResidentData[[#This Row],[S2]]=TRUE,Tbl_ResidentData[[#This Row],[P2]]=TRUE),1,0)</f>
        <v>0</v>
      </c>
      <c r="CQ86" s="121">
        <f ca="1">IF(OR(Tbl_ResidentData[[#This Row],[S3]]=TRUE,Tbl_ResidentData[[#This Row],[P3]]=TRUE),1,0)</f>
        <v>0</v>
      </c>
      <c r="CR86" s="120">
        <f ca="1">IF(OR(Tbl_ResidentData[[#This Row],[S4]]=TRUE,Tbl_ResidentData[[#This Row],[P4]]=TRUE),1,0)</f>
        <v>0</v>
      </c>
      <c r="CS86" s="120">
        <f ca="1">IF(OR(Tbl_ResidentData[[#This Row],[S5]]=TRUE,Tbl_ResidentData[[#This Row],[P5]]=TRUE),1,0)</f>
        <v>0</v>
      </c>
      <c r="CT86" s="120">
        <f ca="1">IF(OR(Tbl_ResidentData[[#This Row],[S6]]=TRUE,Tbl_ResidentData[[#This Row],[P6]]=TRUE),1,0)</f>
        <v>0</v>
      </c>
      <c r="CU86" s="120">
        <f ca="1">IF(OR(Tbl_ResidentData[[#This Row],[S7]]=TRUE,Tbl_ResidentData[[#This Row],[P7]]=TRUE),1,0)</f>
        <v>0</v>
      </c>
      <c r="CV86" s="120">
        <f ca="1">IF(OR(Tbl_ResidentData[[#This Row],[S8]]=TRUE,Tbl_ResidentData[[#This Row],[P8]]=TRUE),1,0)</f>
        <v>0</v>
      </c>
      <c r="CW86" s="120">
        <f ca="1">IF(OR(Tbl_ResidentData[[#This Row],[S9]]=TRUE,Tbl_ResidentData[[#This Row],[P9]]=TRUE),1,0)</f>
        <v>0</v>
      </c>
      <c r="CX86" s="120">
        <f ca="1">IF(OR(Tbl_ResidentData[[#This Row],[S10]]=TRUE,Tbl_ResidentData[[#This Row],[P10]]=TRUE),1,0)</f>
        <v>0</v>
      </c>
      <c r="CY86" s="120">
        <f ca="1">IF(OR(Tbl_ResidentData[[#This Row],[S11]]=TRUE,Tbl_ResidentData[[#This Row],[P11]]=TRUE),1,0)</f>
        <v>0</v>
      </c>
      <c r="CZ86" s="120">
        <f ca="1">IF(OR(Tbl_ResidentData[[#This Row],[S12]]=TRUE,Tbl_ResidentData[[#This Row],[P12]]=TRUE),1,0)</f>
        <v>0</v>
      </c>
      <c r="DA86" s="120">
        <f ca="1">IF(OR(Tbl_ResidentData[[#This Row],[S13]]=TRUE,Tbl_ResidentData[[#This Row],[P13]]=TRUE),1,0)</f>
        <v>0</v>
      </c>
      <c r="DB86" s="120">
        <f ca="1">IF(OR(Tbl_ResidentData[[#This Row],[S14]]=TRUE,Tbl_ResidentData[[#This Row],[P14]]=TRUE),1,0)</f>
        <v>0</v>
      </c>
      <c r="DC86" s="120">
        <f ca="1">IF(OR(Tbl_ResidentData[[#This Row],[S15]]=TRUE,Tbl_ResidentData[[#This Row],[P15]]=TRUE),1,0)</f>
        <v>0</v>
      </c>
      <c r="DD86" s="120">
        <f ca="1">IF(OR(Tbl_ResidentData[[#This Row],[S16]]=TRUE,Tbl_ResidentData[[#This Row],[P16]]=TRUE),1,0)</f>
        <v>0</v>
      </c>
      <c r="DE86" s="120">
        <f ca="1">IF(OR(Tbl_ResidentData[[#This Row],[S17]]=TRUE,Tbl_ResidentData[[#This Row],[P17]]=TRUE),1,0)</f>
        <v>0</v>
      </c>
      <c r="DF86" s="120">
        <f ca="1">IF(OR(Tbl_ResidentData[[#This Row],[S18]]=TRUE,Tbl_ResidentData[[#This Row],[P18]]=TRUE),1,0)</f>
        <v>0</v>
      </c>
      <c r="DG86" s="120">
        <f ca="1">IF(OR(Tbl_ResidentData[[#This Row],[S19]]=TRUE,Tbl_ResidentData[[#This Row],[P19]]=TRUE),1,0)</f>
        <v>0</v>
      </c>
      <c r="DH86" s="120">
        <f ca="1">IF(OR(Tbl_ResidentData[[#This Row],[S20]]=TRUE,Tbl_ResidentData[[#This Row],[P20]]=TRUE),1,0)</f>
        <v>0</v>
      </c>
      <c r="DI86" s="120">
        <f ca="1">IF(OR(Tbl_ResidentData[[#This Row],[S21]]=TRUE,Tbl_ResidentData[[#This Row],[P21]]=TRUE),1,0)</f>
        <v>0</v>
      </c>
      <c r="DJ86" s="120">
        <f ca="1">IF(OR(Tbl_ResidentData[[#This Row],[S22]]=TRUE,Tbl_ResidentData[[#This Row],[P22]]=TRUE),1,0)</f>
        <v>0</v>
      </c>
      <c r="DK86" s="120">
        <f ca="1">IF(OR(Tbl_ResidentData[[#This Row],[S23]]=TRUE,Tbl_ResidentData[[#This Row],[P23]]=TRUE),1,0)</f>
        <v>0</v>
      </c>
      <c r="DL86" s="120">
        <f ca="1">IF(OR(Tbl_ResidentData[[#This Row],[S24]]=TRUE,Tbl_ResidentData[[#This Row],[P24]]=TRUE),1,0)</f>
        <v>0</v>
      </c>
      <c r="DM86" s="123" t="str">
        <f ca="1">IFERROR(INDEX($CO$4:$DL$4,MATCH(TRUE,INDEX((Tbl_ResidentData[[#This Row],[Over1]:[Over24]]&lt;&gt;0),0),0)),"")</f>
        <v/>
      </c>
      <c r="DN86" s="133" t="str">
        <f>IFERROR(INDEX(Tbl_PDSAData[Last DRT],MATCH(Tbl_ResidentData[Resident Name '[last, first']],Tbl_PDSAData[Resident Name (last, first)],0)),"")</f>
        <v/>
      </c>
      <c r="DO86" s="222" t="str">
        <f>IFERROR(INDEX(Tbl_PDSAData[Last MR],MATCH(Tbl_ResidentData[Resident Name '[last, first']],Tbl_PDSAData[Resident Name (last, first)],0)),"")</f>
        <v/>
      </c>
    </row>
    <row r="87" spans="1:119" x14ac:dyDescent="0.25">
      <c r="A87" s="179"/>
      <c r="B87" s="180"/>
      <c r="C87" s="180"/>
      <c r="D87" s="218"/>
      <c r="E87" s="179"/>
      <c r="F87" s="181"/>
      <c r="G87" s="181"/>
      <c r="H87" s="182"/>
      <c r="I87" s="185"/>
      <c r="J87" s="387"/>
      <c r="K87" s="178"/>
      <c r="L87" s="388"/>
      <c r="M87" s="185"/>
      <c r="N87" s="386"/>
      <c r="O87" s="178"/>
      <c r="P87" s="388"/>
      <c r="Q87" s="395"/>
      <c r="R87" s="396"/>
      <c r="S87" s="131" t="str">
        <f>IF(ISBLANK(Tbl_ResidentData[[#This Row],[Discharge '[mmm-yyyy']]]),IF(ISBLANK(Tbl_ResidentData[[#This Row],[Enrollment '[mmm-yyyy']]]),"","In Care Home"),"Discharged")</f>
        <v/>
      </c>
      <c r="T87" s="119" t="str">
        <f>IF(ISBLANK(Tbl_ResidentData[[#This Row],[Diagnosis (RAI)]]),IF(ISBLANK(Tbl_ResidentData[[#This Row],[Resident Name '[last, first']]]),"",0),IF(Tbl_ResidentData[[#This Row],[Diagnosis (RAI)]]="Other (see clinical notes)",0,1))</f>
        <v/>
      </c>
      <c r="U87" s="120" t="str">
        <f ca="1">IF(U$4&gt;NOW(),"-",IF(ISBLANK(Tbl_ResidentData[[#This Row],[Enrollment '[mmm-yyyy']]]),"-",AND((Tbl_ResidentData[[#This Row],[Enrollment '[mmm-yyyy']]]&lt;=U$4),IF(ISBLANK(Tbl_ResidentData[[#This Row],[Discharge '[mmm-yyyy']]]),TRUE,(Tbl_ResidentData[[#This Row],[Discharge '[mmm-yyyy']]]&gt;=U$4)))))</f>
        <v>-</v>
      </c>
      <c r="V87" s="121" t="str">
        <f ca="1">IF(V$4&gt;NOW(),"-",IF(ISBLANK(Tbl_ResidentData[[#This Row],[Enrollment '[mmm-yyyy']]]),"-",AND((Tbl_ResidentData[[#This Row],[Enrollment '[mmm-yyyy']]]&lt;=V$4),IF(ISBLANK(Tbl_ResidentData[[#This Row],[Discharge '[mmm-yyyy']]]),TRUE,(Tbl_ResidentData[[#This Row],[Discharge '[mmm-yyyy']]]&gt;=V$4)))))</f>
        <v>-</v>
      </c>
      <c r="W87" s="121" t="str">
        <f ca="1">IF(W$4&gt;NOW(),"-",IF(ISBLANK(Tbl_ResidentData[[#This Row],[Enrollment '[mmm-yyyy']]]),"-",AND((Tbl_ResidentData[[#This Row],[Enrollment '[mmm-yyyy']]]&lt;=W$4),IF(ISBLANK(Tbl_ResidentData[[#This Row],[Discharge '[mmm-yyyy']]]),TRUE,(Tbl_ResidentData[[#This Row],[Discharge '[mmm-yyyy']]]&gt;=W$4)))))</f>
        <v>-</v>
      </c>
      <c r="X87" s="121" t="str">
        <f ca="1">IF(X$4&gt;NOW(),"-",IF(ISBLANK(Tbl_ResidentData[[#This Row],[Enrollment '[mmm-yyyy']]]),"-",AND((Tbl_ResidentData[[#This Row],[Enrollment '[mmm-yyyy']]]&lt;=X$4),IF(ISBLANK(Tbl_ResidentData[[#This Row],[Discharge '[mmm-yyyy']]]),TRUE,(Tbl_ResidentData[[#This Row],[Discharge '[mmm-yyyy']]]&gt;=X$4)))))</f>
        <v>-</v>
      </c>
      <c r="Y87" s="121" t="str">
        <f ca="1">IF(Y$4&gt;NOW(),"-",IF(ISBLANK(Tbl_ResidentData[[#This Row],[Enrollment '[mmm-yyyy']]]),"-",AND((Tbl_ResidentData[[#This Row],[Enrollment '[mmm-yyyy']]]&lt;=Y$4),IF(ISBLANK(Tbl_ResidentData[[#This Row],[Discharge '[mmm-yyyy']]]),TRUE,(Tbl_ResidentData[[#This Row],[Discharge '[mmm-yyyy']]]&gt;=Y$4)))))</f>
        <v>-</v>
      </c>
      <c r="Z87" s="121" t="str">
        <f ca="1">IF(Z$4&gt;NOW(),"-",IF(ISBLANK(Tbl_ResidentData[[#This Row],[Enrollment '[mmm-yyyy']]]),"-",AND((Tbl_ResidentData[[#This Row],[Enrollment '[mmm-yyyy']]]&lt;=Z$4),IF(ISBLANK(Tbl_ResidentData[[#This Row],[Discharge '[mmm-yyyy']]]),TRUE,(Tbl_ResidentData[[#This Row],[Discharge '[mmm-yyyy']]]&gt;=Z$4)))))</f>
        <v>-</v>
      </c>
      <c r="AA87" s="121" t="str">
        <f ca="1">IF(AA$4&gt;NOW(),"-",IF(ISBLANK(Tbl_ResidentData[[#This Row],[Enrollment '[mmm-yyyy']]]),"-",AND((Tbl_ResidentData[[#This Row],[Enrollment '[mmm-yyyy']]]&lt;=AA$4),IF(ISBLANK(Tbl_ResidentData[[#This Row],[Discharge '[mmm-yyyy']]]),TRUE,(Tbl_ResidentData[[#This Row],[Discharge '[mmm-yyyy']]]&gt;=AA$4)))))</f>
        <v>-</v>
      </c>
      <c r="AB87" s="121" t="str">
        <f ca="1">IF(AB$4&gt;NOW(),"-",IF(ISBLANK(Tbl_ResidentData[[#This Row],[Enrollment '[mmm-yyyy']]]),"-",AND((Tbl_ResidentData[[#This Row],[Enrollment '[mmm-yyyy']]]&lt;=AB$4),IF(ISBLANK(Tbl_ResidentData[[#This Row],[Discharge '[mmm-yyyy']]]),TRUE,(Tbl_ResidentData[[#This Row],[Discharge '[mmm-yyyy']]]&gt;=AB$4)))))</f>
        <v>-</v>
      </c>
      <c r="AC87" s="121" t="str">
        <f ca="1">IF(AC$4&gt;NOW(),"-",IF(ISBLANK(Tbl_ResidentData[[#This Row],[Enrollment '[mmm-yyyy']]]),"-",AND((Tbl_ResidentData[[#This Row],[Enrollment '[mmm-yyyy']]]&lt;=AC$4),IF(ISBLANK(Tbl_ResidentData[[#This Row],[Discharge '[mmm-yyyy']]]),TRUE,(Tbl_ResidentData[[#This Row],[Discharge '[mmm-yyyy']]]&gt;=AC$4)))))</f>
        <v>-</v>
      </c>
      <c r="AD87" s="121" t="str">
        <f ca="1">IF(AD$4&gt;NOW(),"-",IF(ISBLANK(Tbl_ResidentData[[#This Row],[Enrollment '[mmm-yyyy']]]),"-",AND((Tbl_ResidentData[[#This Row],[Enrollment '[mmm-yyyy']]]&lt;=AD$4),IF(ISBLANK(Tbl_ResidentData[[#This Row],[Discharge '[mmm-yyyy']]]),TRUE,(Tbl_ResidentData[[#This Row],[Discharge '[mmm-yyyy']]]&gt;=AD$4)))))</f>
        <v>-</v>
      </c>
      <c r="AE87" s="121" t="str">
        <f ca="1">IF(AE$4&gt;NOW(),"-",IF(ISBLANK(Tbl_ResidentData[[#This Row],[Enrollment '[mmm-yyyy']]]),"-",AND((Tbl_ResidentData[[#This Row],[Enrollment '[mmm-yyyy']]]&lt;=AE$4),IF(ISBLANK(Tbl_ResidentData[[#This Row],[Discharge '[mmm-yyyy']]]),TRUE,(Tbl_ResidentData[[#This Row],[Discharge '[mmm-yyyy']]]&gt;=AE$4)))))</f>
        <v>-</v>
      </c>
      <c r="AF87" s="121" t="str">
        <f ca="1">IF(AF$4&gt;NOW(),"-",IF(ISBLANK(Tbl_ResidentData[[#This Row],[Enrollment '[mmm-yyyy']]]),"-",AND((Tbl_ResidentData[[#This Row],[Enrollment '[mmm-yyyy']]]&lt;=AF$4),IF(ISBLANK(Tbl_ResidentData[[#This Row],[Discharge '[mmm-yyyy']]]),TRUE,(Tbl_ResidentData[[#This Row],[Discharge '[mmm-yyyy']]]&gt;=AF$4)))))</f>
        <v>-</v>
      </c>
      <c r="AG87" s="121" t="str">
        <f ca="1">IF(AG$4&gt;NOW(),"-",IF(ISBLANK(Tbl_ResidentData[[#This Row],[Enrollment '[mmm-yyyy']]]),"-",AND((Tbl_ResidentData[[#This Row],[Enrollment '[mmm-yyyy']]]&lt;=AG$4),IF(ISBLANK(Tbl_ResidentData[[#This Row],[Discharge '[mmm-yyyy']]]),TRUE,(Tbl_ResidentData[[#This Row],[Discharge '[mmm-yyyy']]]&gt;=AG$4)))))</f>
        <v>-</v>
      </c>
      <c r="AH87" s="121" t="str">
        <f ca="1">IF(AH$4&gt;NOW(),"-",IF(ISBLANK(Tbl_ResidentData[[#This Row],[Enrollment '[mmm-yyyy']]]),"-",AND((Tbl_ResidentData[[#This Row],[Enrollment '[mmm-yyyy']]]&lt;=AH$4),IF(ISBLANK(Tbl_ResidentData[[#This Row],[Discharge '[mmm-yyyy']]]),TRUE,(Tbl_ResidentData[[#This Row],[Discharge '[mmm-yyyy']]]&gt;=AH$4)))))</f>
        <v>-</v>
      </c>
      <c r="AI87" s="121" t="str">
        <f ca="1">IF(AI$4&gt;NOW(),"-",IF(ISBLANK(Tbl_ResidentData[[#This Row],[Enrollment '[mmm-yyyy']]]),"-",AND((Tbl_ResidentData[[#This Row],[Enrollment '[mmm-yyyy']]]&lt;=AI$4),IF(ISBLANK(Tbl_ResidentData[[#This Row],[Discharge '[mmm-yyyy']]]),TRUE,(Tbl_ResidentData[[#This Row],[Discharge '[mmm-yyyy']]]&gt;=AI$4)))))</f>
        <v>-</v>
      </c>
      <c r="AJ87" s="121" t="str">
        <f ca="1">IF(AJ$4&gt;NOW(),"-",IF(ISBLANK(Tbl_ResidentData[[#This Row],[Enrollment '[mmm-yyyy']]]),"-",AND((Tbl_ResidentData[[#This Row],[Enrollment '[mmm-yyyy']]]&lt;=AJ$4),IF(ISBLANK(Tbl_ResidentData[[#This Row],[Discharge '[mmm-yyyy']]]),TRUE,(Tbl_ResidentData[[#This Row],[Discharge '[mmm-yyyy']]]&gt;=AJ$4)))))</f>
        <v>-</v>
      </c>
      <c r="AK87" s="121" t="str">
        <f ca="1">IF(AK$4&gt;NOW(),"-",IF(ISBLANK(Tbl_ResidentData[[#This Row],[Enrollment '[mmm-yyyy']]]),"-",AND((Tbl_ResidentData[[#This Row],[Enrollment '[mmm-yyyy']]]&lt;=AK$4),IF(ISBLANK(Tbl_ResidentData[[#This Row],[Discharge '[mmm-yyyy']]]),TRUE,(Tbl_ResidentData[[#This Row],[Discharge '[mmm-yyyy']]]&gt;=AK$4)))))</f>
        <v>-</v>
      </c>
      <c r="AL87" s="121" t="str">
        <f ca="1">IF(AL$4&gt;NOW(),"-",IF(ISBLANK(Tbl_ResidentData[[#This Row],[Enrollment '[mmm-yyyy']]]),"-",AND((Tbl_ResidentData[[#This Row],[Enrollment '[mmm-yyyy']]]&lt;=AL$4),IF(ISBLANK(Tbl_ResidentData[[#This Row],[Discharge '[mmm-yyyy']]]),TRUE,(Tbl_ResidentData[[#This Row],[Discharge '[mmm-yyyy']]]&gt;=AL$4)))))</f>
        <v>-</v>
      </c>
      <c r="AM87" s="121" t="str">
        <f ca="1">IF(AM$4&gt;NOW(),"-",IF(ISBLANK(Tbl_ResidentData[[#This Row],[Enrollment '[mmm-yyyy']]]),"-",AND((Tbl_ResidentData[[#This Row],[Enrollment '[mmm-yyyy']]]&lt;=AM$4),IF(ISBLANK(Tbl_ResidentData[[#This Row],[Discharge '[mmm-yyyy']]]),TRUE,(Tbl_ResidentData[[#This Row],[Discharge '[mmm-yyyy']]]&gt;=AM$4)))))</f>
        <v>-</v>
      </c>
      <c r="AN87" s="121" t="str">
        <f ca="1">IF(AN$4&gt;NOW(),"-",IF(ISBLANK(Tbl_ResidentData[[#This Row],[Enrollment '[mmm-yyyy']]]),"-",AND((Tbl_ResidentData[[#This Row],[Enrollment '[mmm-yyyy']]]&lt;=AN$4),IF(ISBLANK(Tbl_ResidentData[[#This Row],[Discharge '[mmm-yyyy']]]),TRUE,(Tbl_ResidentData[[#This Row],[Discharge '[mmm-yyyy']]]&gt;=AN$4)))))</f>
        <v>-</v>
      </c>
      <c r="AO87" s="121" t="str">
        <f ca="1">IF(AO$4&gt;NOW(),"-",IF(ISBLANK(Tbl_ResidentData[[#This Row],[Enrollment '[mmm-yyyy']]]),"-",AND((Tbl_ResidentData[[#This Row],[Enrollment '[mmm-yyyy']]]&lt;=AO$4),IF(ISBLANK(Tbl_ResidentData[[#This Row],[Discharge '[mmm-yyyy']]]),TRUE,(Tbl_ResidentData[[#This Row],[Discharge '[mmm-yyyy']]]&gt;=AO$4)))))</f>
        <v>-</v>
      </c>
      <c r="AP87" s="121" t="str">
        <f ca="1">IF(AP$4&gt;NOW(),"-",IF(ISBLANK(Tbl_ResidentData[[#This Row],[Enrollment '[mmm-yyyy']]]),"-",AND((Tbl_ResidentData[[#This Row],[Enrollment '[mmm-yyyy']]]&lt;=AP$4),IF(ISBLANK(Tbl_ResidentData[[#This Row],[Discharge '[mmm-yyyy']]]),TRUE,(Tbl_ResidentData[[#This Row],[Discharge '[mmm-yyyy']]]&gt;=AP$4)))))</f>
        <v>-</v>
      </c>
      <c r="AQ87" s="121" t="str">
        <f ca="1">IF(AQ$4&gt;NOW(),"-",IF(ISBLANK(Tbl_ResidentData[[#This Row],[Enrollment '[mmm-yyyy']]]),"-",AND((Tbl_ResidentData[[#This Row],[Enrollment '[mmm-yyyy']]]&lt;=AQ$4),IF(ISBLANK(Tbl_ResidentData[[#This Row],[Discharge '[mmm-yyyy']]]),TRUE,(Tbl_ResidentData[[#This Row],[Discharge '[mmm-yyyy']]]&gt;=AQ$4)))))</f>
        <v>-</v>
      </c>
      <c r="AR87" s="122" t="str">
        <f ca="1">IF(AR$4&gt;NOW(),"-",IF(ISBLANK(Tbl_ResidentData[[#This Row],[Enrollment '[mmm-yyyy']]]),"-",AND((Tbl_ResidentData[[#This Row],[Enrollment '[mmm-yyyy']]]&lt;=AR$4),IF(ISBLANK(Tbl_ResidentData[[#This Row],[Discharge '[mmm-yyyy']]]),TRUE,(Tbl_ResidentData[[#This Row],[Discharge '[mmm-yyyy']]]&gt;=AR$4)))))</f>
        <v>-</v>
      </c>
      <c r="AS8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7" s="120" t="b">
        <f ca="1">AND(Tbl_ResidentData[[#This Row],[PRN Med Started]]&lt;&gt;"",Tbl_ResidentData[[#This Row],[PRN Med Started]]&lt;=NOW(),Tbl_ResidentData[[#This Row],[PRN Med Started]]&lt;=AS$4,OR(Tbl_ResidentData[[#This Row],[PRN Med Discontinued]]&gt;AS$4,ISBLANK(Tbl_ResidentData[[#This Row],[PRN Med Discontinued]])))</f>
        <v>0</v>
      </c>
      <c r="BR87" s="121" t="b">
        <f ca="1">AND(Tbl_ResidentData[[#This Row],[PRN Med Started]]&lt;&gt;"",Tbl_ResidentData[[#This Row],[PRN Med Started]]&lt;=NOW(),Tbl_ResidentData[[#This Row],[PRN Med Started]]&lt;=AT$4,OR(Tbl_ResidentData[[#This Row],[PRN Med Discontinued]]&gt;AT$4,ISBLANK(Tbl_ResidentData[[#This Row],[PRN Med Discontinued]])))</f>
        <v>0</v>
      </c>
      <c r="BS87" s="121" t="b">
        <f ca="1">AND(Tbl_ResidentData[[#This Row],[PRN Med Started]]&lt;&gt;"",Tbl_ResidentData[[#This Row],[PRN Med Started]]&lt;=NOW(),Tbl_ResidentData[[#This Row],[PRN Med Started]]&lt;=AU$4,OR(Tbl_ResidentData[[#This Row],[PRN Med Discontinued]]&gt;AU$4,ISBLANK(Tbl_ResidentData[[#This Row],[PRN Med Discontinued]])))</f>
        <v>0</v>
      </c>
      <c r="BT87" s="121" t="b">
        <f ca="1">AND(Tbl_ResidentData[[#This Row],[PRN Med Started]]&lt;&gt;"",Tbl_ResidentData[[#This Row],[PRN Med Started]]&lt;=NOW(),Tbl_ResidentData[[#This Row],[PRN Med Started]]&lt;=AV$4,OR(Tbl_ResidentData[[#This Row],[PRN Med Discontinued]]&gt;AV$4,ISBLANK(Tbl_ResidentData[[#This Row],[PRN Med Discontinued]])))</f>
        <v>0</v>
      </c>
      <c r="BU87" s="121" t="b">
        <f ca="1">AND(Tbl_ResidentData[[#This Row],[PRN Med Started]]&lt;&gt;"",Tbl_ResidentData[[#This Row],[PRN Med Started]]&lt;=NOW(),Tbl_ResidentData[[#This Row],[PRN Med Started]]&lt;=AW$4,OR(Tbl_ResidentData[[#This Row],[PRN Med Discontinued]]&gt;AW$4,ISBLANK(Tbl_ResidentData[[#This Row],[PRN Med Discontinued]])))</f>
        <v>0</v>
      </c>
      <c r="BV87" s="121" t="b">
        <f ca="1">AND(Tbl_ResidentData[[#This Row],[PRN Med Started]]&lt;&gt;"",Tbl_ResidentData[[#This Row],[PRN Med Started]]&lt;=NOW(),Tbl_ResidentData[[#This Row],[PRN Med Started]]&lt;=AX$4,OR(Tbl_ResidentData[[#This Row],[PRN Med Discontinued]]&gt;AX$4,ISBLANK(Tbl_ResidentData[[#This Row],[PRN Med Discontinued]])))</f>
        <v>0</v>
      </c>
      <c r="BW87" s="121" t="b">
        <f ca="1">AND(Tbl_ResidentData[[#This Row],[PRN Med Started]]&lt;&gt;"",Tbl_ResidentData[[#This Row],[PRN Med Started]]&lt;=NOW(),Tbl_ResidentData[[#This Row],[PRN Med Started]]&lt;=AY$4,OR(Tbl_ResidentData[[#This Row],[PRN Med Discontinued]]&gt;AY$4,ISBLANK(Tbl_ResidentData[[#This Row],[PRN Med Discontinued]])))</f>
        <v>0</v>
      </c>
      <c r="BX87" s="121" t="b">
        <f ca="1">AND(Tbl_ResidentData[[#This Row],[PRN Med Started]]&lt;&gt;"",Tbl_ResidentData[[#This Row],[PRN Med Started]]&lt;=NOW(),Tbl_ResidentData[[#This Row],[PRN Med Started]]&lt;=AZ$4,OR(Tbl_ResidentData[[#This Row],[PRN Med Discontinued]]&gt;AZ$4,ISBLANK(Tbl_ResidentData[[#This Row],[PRN Med Discontinued]])))</f>
        <v>0</v>
      </c>
      <c r="BY87" s="121" t="b">
        <f ca="1">AND(Tbl_ResidentData[[#This Row],[PRN Med Started]]&lt;&gt;"",Tbl_ResidentData[[#This Row],[PRN Med Started]]&lt;=NOW(),Tbl_ResidentData[[#This Row],[PRN Med Started]]&lt;=BA$4,OR(Tbl_ResidentData[[#This Row],[PRN Med Discontinued]]&gt;BA$4,ISBLANK(Tbl_ResidentData[[#This Row],[PRN Med Discontinued]])))</f>
        <v>0</v>
      </c>
      <c r="BZ87" s="121" t="b">
        <f ca="1">AND(Tbl_ResidentData[[#This Row],[PRN Med Started]]&lt;&gt;"",Tbl_ResidentData[[#This Row],[PRN Med Started]]&lt;=NOW(),Tbl_ResidentData[[#This Row],[PRN Med Started]]&lt;=BB$4,OR(Tbl_ResidentData[[#This Row],[PRN Med Discontinued]]&gt;BB$4,ISBLANK(Tbl_ResidentData[[#This Row],[PRN Med Discontinued]])))</f>
        <v>0</v>
      </c>
      <c r="CA87" s="121" t="b">
        <f ca="1">AND(Tbl_ResidentData[[#This Row],[PRN Med Started]]&lt;&gt;"",Tbl_ResidentData[[#This Row],[PRN Med Started]]&lt;=NOW(),Tbl_ResidentData[[#This Row],[PRN Med Started]]&lt;=BC$4,OR(Tbl_ResidentData[[#This Row],[PRN Med Discontinued]]&gt;BC$4,ISBLANK(Tbl_ResidentData[[#This Row],[PRN Med Discontinued]])))</f>
        <v>0</v>
      </c>
      <c r="CB87" s="121" t="b">
        <f ca="1">AND(Tbl_ResidentData[[#This Row],[PRN Med Started]]&lt;&gt;"",Tbl_ResidentData[[#This Row],[PRN Med Started]]&lt;=NOW(),Tbl_ResidentData[[#This Row],[PRN Med Started]]&lt;=BD$4,OR(Tbl_ResidentData[[#This Row],[PRN Med Discontinued]]&gt;BD$4,ISBLANK(Tbl_ResidentData[[#This Row],[PRN Med Discontinued]])))</f>
        <v>0</v>
      </c>
      <c r="CC87" s="121" t="b">
        <f ca="1">AND(Tbl_ResidentData[[#This Row],[PRN Med Started]]&lt;&gt;"",Tbl_ResidentData[[#This Row],[PRN Med Started]]&lt;=NOW(),Tbl_ResidentData[[#This Row],[PRN Med Started]]&lt;=BE$4,OR(Tbl_ResidentData[[#This Row],[PRN Med Discontinued]]&gt;BE$4,ISBLANK(Tbl_ResidentData[[#This Row],[PRN Med Discontinued]])))</f>
        <v>0</v>
      </c>
      <c r="CD87" s="121" t="b">
        <f ca="1">AND(Tbl_ResidentData[[#This Row],[PRN Med Started]]&lt;&gt;"",Tbl_ResidentData[[#This Row],[PRN Med Started]]&lt;=NOW(),Tbl_ResidentData[[#This Row],[PRN Med Started]]&lt;=BF$4,OR(Tbl_ResidentData[[#This Row],[PRN Med Discontinued]]&gt;BF$4,ISBLANK(Tbl_ResidentData[[#This Row],[PRN Med Discontinued]])))</f>
        <v>0</v>
      </c>
      <c r="CE87" s="121" t="b">
        <f ca="1">AND(Tbl_ResidentData[[#This Row],[PRN Med Started]]&lt;&gt;"",Tbl_ResidentData[[#This Row],[PRN Med Started]]&lt;=NOW(),Tbl_ResidentData[[#This Row],[PRN Med Started]]&lt;=BG$4,OR(Tbl_ResidentData[[#This Row],[PRN Med Discontinued]]&gt;BG$4,ISBLANK(Tbl_ResidentData[[#This Row],[PRN Med Discontinued]])))</f>
        <v>0</v>
      </c>
      <c r="CF87" s="121" t="b">
        <f ca="1">AND(Tbl_ResidentData[[#This Row],[PRN Med Started]]&lt;&gt;"",Tbl_ResidentData[[#This Row],[PRN Med Started]]&lt;=NOW(),Tbl_ResidentData[[#This Row],[PRN Med Started]]&lt;=BH$4,OR(Tbl_ResidentData[[#This Row],[PRN Med Discontinued]]&gt;BH$4,ISBLANK(Tbl_ResidentData[[#This Row],[PRN Med Discontinued]])))</f>
        <v>0</v>
      </c>
      <c r="CG87" s="121" t="b">
        <f ca="1">AND(Tbl_ResidentData[[#This Row],[PRN Med Started]]&lt;&gt;"",Tbl_ResidentData[[#This Row],[PRN Med Started]]&lt;=NOW(),Tbl_ResidentData[[#This Row],[PRN Med Started]]&lt;=BI$4,OR(Tbl_ResidentData[[#This Row],[PRN Med Discontinued]]&gt;BI$4,ISBLANK(Tbl_ResidentData[[#This Row],[PRN Med Discontinued]])))</f>
        <v>0</v>
      </c>
      <c r="CH87" s="121" t="b">
        <f ca="1">AND(Tbl_ResidentData[[#This Row],[PRN Med Started]]&lt;&gt;"",Tbl_ResidentData[[#This Row],[PRN Med Started]]&lt;=NOW(),Tbl_ResidentData[[#This Row],[PRN Med Started]]&lt;=BJ$4,OR(Tbl_ResidentData[[#This Row],[PRN Med Discontinued]]&gt;BJ$4,ISBLANK(Tbl_ResidentData[[#This Row],[PRN Med Discontinued]])))</f>
        <v>0</v>
      </c>
      <c r="CI87" s="121" t="b">
        <f ca="1">AND(Tbl_ResidentData[[#This Row],[PRN Med Started]]&lt;&gt;"",Tbl_ResidentData[[#This Row],[PRN Med Started]]&lt;=NOW(),Tbl_ResidentData[[#This Row],[PRN Med Started]]&lt;=BK$4,OR(Tbl_ResidentData[[#This Row],[PRN Med Discontinued]]&gt;BK$4,ISBLANK(Tbl_ResidentData[[#This Row],[PRN Med Discontinued]])))</f>
        <v>0</v>
      </c>
      <c r="CJ87" s="121" t="b">
        <f ca="1">AND(Tbl_ResidentData[[#This Row],[PRN Med Started]]&lt;&gt;"",Tbl_ResidentData[[#This Row],[PRN Med Started]]&lt;=NOW(),Tbl_ResidentData[[#This Row],[PRN Med Started]]&lt;=BL$4,OR(Tbl_ResidentData[[#This Row],[PRN Med Discontinued]]&gt;BL$4,ISBLANK(Tbl_ResidentData[[#This Row],[PRN Med Discontinued]])))</f>
        <v>0</v>
      </c>
      <c r="CK87" s="121" t="b">
        <f ca="1">AND(Tbl_ResidentData[[#This Row],[PRN Med Started]]&lt;&gt;"",Tbl_ResidentData[[#This Row],[PRN Med Started]]&lt;=NOW(),Tbl_ResidentData[[#This Row],[PRN Med Started]]&lt;=BM$4,OR(Tbl_ResidentData[[#This Row],[PRN Med Discontinued]]&gt;BM$4,ISBLANK(Tbl_ResidentData[[#This Row],[PRN Med Discontinued]])))</f>
        <v>0</v>
      </c>
      <c r="CL87" s="121" t="b">
        <f ca="1">AND(Tbl_ResidentData[[#This Row],[PRN Med Started]]&lt;&gt;"",Tbl_ResidentData[[#This Row],[PRN Med Started]]&lt;=NOW(),Tbl_ResidentData[[#This Row],[PRN Med Started]]&lt;=BN$4,OR(Tbl_ResidentData[[#This Row],[PRN Med Discontinued]]&gt;BN$4,ISBLANK(Tbl_ResidentData[[#This Row],[PRN Med Discontinued]])))</f>
        <v>0</v>
      </c>
      <c r="CM87" s="121" t="b">
        <f ca="1">AND(Tbl_ResidentData[[#This Row],[PRN Med Started]]&lt;&gt;"",Tbl_ResidentData[[#This Row],[PRN Med Started]]&lt;=NOW(),Tbl_ResidentData[[#This Row],[PRN Med Started]]&lt;=BO$4,OR(Tbl_ResidentData[[#This Row],[PRN Med Discontinued]]&gt;BO$4,ISBLANK(Tbl_ResidentData[[#This Row],[PRN Med Discontinued]])))</f>
        <v>0</v>
      </c>
      <c r="CN87" s="122" t="b">
        <f ca="1">AND(Tbl_ResidentData[[#This Row],[PRN Med Started]]&lt;&gt;"",Tbl_ResidentData[[#This Row],[PRN Med Started]]&lt;=NOW(),Tbl_ResidentData[[#This Row],[PRN Med Started]]&lt;=BP$4,OR(Tbl_ResidentData[[#This Row],[PRN Med Discontinued]]&gt;BP$4,ISBLANK(Tbl_ResidentData[[#This Row],[PRN Med Discontinued]])))</f>
        <v>0</v>
      </c>
      <c r="CO87" s="120">
        <f ca="1">IF(OR(Tbl_ResidentData[[#This Row],[S1]]=TRUE,Tbl_ResidentData[[#This Row],[P1]]=TRUE),1,0)</f>
        <v>0</v>
      </c>
      <c r="CP87" s="121">
        <f ca="1">IF(OR(Tbl_ResidentData[[#This Row],[S2]]=TRUE,Tbl_ResidentData[[#This Row],[P2]]=TRUE),1,0)</f>
        <v>0</v>
      </c>
      <c r="CQ87" s="121">
        <f ca="1">IF(OR(Tbl_ResidentData[[#This Row],[S3]]=TRUE,Tbl_ResidentData[[#This Row],[P3]]=TRUE),1,0)</f>
        <v>0</v>
      </c>
      <c r="CR87" s="120">
        <f ca="1">IF(OR(Tbl_ResidentData[[#This Row],[S4]]=TRUE,Tbl_ResidentData[[#This Row],[P4]]=TRUE),1,0)</f>
        <v>0</v>
      </c>
      <c r="CS87" s="120">
        <f ca="1">IF(OR(Tbl_ResidentData[[#This Row],[S5]]=TRUE,Tbl_ResidentData[[#This Row],[P5]]=TRUE),1,0)</f>
        <v>0</v>
      </c>
      <c r="CT87" s="120">
        <f ca="1">IF(OR(Tbl_ResidentData[[#This Row],[S6]]=TRUE,Tbl_ResidentData[[#This Row],[P6]]=TRUE),1,0)</f>
        <v>0</v>
      </c>
      <c r="CU87" s="120">
        <f ca="1">IF(OR(Tbl_ResidentData[[#This Row],[S7]]=TRUE,Tbl_ResidentData[[#This Row],[P7]]=TRUE),1,0)</f>
        <v>0</v>
      </c>
      <c r="CV87" s="120">
        <f ca="1">IF(OR(Tbl_ResidentData[[#This Row],[S8]]=TRUE,Tbl_ResidentData[[#This Row],[P8]]=TRUE),1,0)</f>
        <v>0</v>
      </c>
      <c r="CW87" s="120">
        <f ca="1">IF(OR(Tbl_ResidentData[[#This Row],[S9]]=TRUE,Tbl_ResidentData[[#This Row],[P9]]=TRUE),1,0)</f>
        <v>0</v>
      </c>
      <c r="CX87" s="120">
        <f ca="1">IF(OR(Tbl_ResidentData[[#This Row],[S10]]=TRUE,Tbl_ResidentData[[#This Row],[P10]]=TRUE),1,0)</f>
        <v>0</v>
      </c>
      <c r="CY87" s="120">
        <f ca="1">IF(OR(Tbl_ResidentData[[#This Row],[S11]]=TRUE,Tbl_ResidentData[[#This Row],[P11]]=TRUE),1,0)</f>
        <v>0</v>
      </c>
      <c r="CZ87" s="120">
        <f ca="1">IF(OR(Tbl_ResidentData[[#This Row],[S12]]=TRUE,Tbl_ResidentData[[#This Row],[P12]]=TRUE),1,0)</f>
        <v>0</v>
      </c>
      <c r="DA87" s="120">
        <f ca="1">IF(OR(Tbl_ResidentData[[#This Row],[S13]]=TRUE,Tbl_ResidentData[[#This Row],[P13]]=TRUE),1,0)</f>
        <v>0</v>
      </c>
      <c r="DB87" s="120">
        <f ca="1">IF(OR(Tbl_ResidentData[[#This Row],[S14]]=TRUE,Tbl_ResidentData[[#This Row],[P14]]=TRUE),1,0)</f>
        <v>0</v>
      </c>
      <c r="DC87" s="120">
        <f ca="1">IF(OR(Tbl_ResidentData[[#This Row],[S15]]=TRUE,Tbl_ResidentData[[#This Row],[P15]]=TRUE),1,0)</f>
        <v>0</v>
      </c>
      <c r="DD87" s="120">
        <f ca="1">IF(OR(Tbl_ResidentData[[#This Row],[S16]]=TRUE,Tbl_ResidentData[[#This Row],[P16]]=TRUE),1,0)</f>
        <v>0</v>
      </c>
      <c r="DE87" s="120">
        <f ca="1">IF(OR(Tbl_ResidentData[[#This Row],[S17]]=TRUE,Tbl_ResidentData[[#This Row],[P17]]=TRUE),1,0)</f>
        <v>0</v>
      </c>
      <c r="DF87" s="120">
        <f ca="1">IF(OR(Tbl_ResidentData[[#This Row],[S18]]=TRUE,Tbl_ResidentData[[#This Row],[P18]]=TRUE),1,0)</f>
        <v>0</v>
      </c>
      <c r="DG87" s="120">
        <f ca="1">IF(OR(Tbl_ResidentData[[#This Row],[S19]]=TRUE,Tbl_ResidentData[[#This Row],[P19]]=TRUE),1,0)</f>
        <v>0</v>
      </c>
      <c r="DH87" s="120">
        <f ca="1">IF(OR(Tbl_ResidentData[[#This Row],[S20]]=TRUE,Tbl_ResidentData[[#This Row],[P20]]=TRUE),1,0)</f>
        <v>0</v>
      </c>
      <c r="DI87" s="120">
        <f ca="1">IF(OR(Tbl_ResidentData[[#This Row],[S21]]=TRUE,Tbl_ResidentData[[#This Row],[P21]]=TRUE),1,0)</f>
        <v>0</v>
      </c>
      <c r="DJ87" s="120">
        <f ca="1">IF(OR(Tbl_ResidentData[[#This Row],[S22]]=TRUE,Tbl_ResidentData[[#This Row],[P22]]=TRUE),1,0)</f>
        <v>0</v>
      </c>
      <c r="DK87" s="120">
        <f ca="1">IF(OR(Tbl_ResidentData[[#This Row],[S23]]=TRUE,Tbl_ResidentData[[#This Row],[P23]]=TRUE),1,0)</f>
        <v>0</v>
      </c>
      <c r="DL87" s="120">
        <f ca="1">IF(OR(Tbl_ResidentData[[#This Row],[S24]]=TRUE,Tbl_ResidentData[[#This Row],[P24]]=TRUE),1,0)</f>
        <v>0</v>
      </c>
      <c r="DM87" s="123" t="str">
        <f ca="1">IFERROR(INDEX($CO$4:$DL$4,MATCH(TRUE,INDEX((Tbl_ResidentData[[#This Row],[Over1]:[Over24]]&lt;&gt;0),0),0)),"")</f>
        <v/>
      </c>
      <c r="DN87" s="133" t="str">
        <f>IFERROR(INDEX(Tbl_PDSAData[Last DRT],MATCH(Tbl_ResidentData[Resident Name '[last, first']],Tbl_PDSAData[Resident Name (last, first)],0)),"")</f>
        <v/>
      </c>
      <c r="DO87" s="222" t="str">
        <f>IFERROR(INDEX(Tbl_PDSAData[Last MR],MATCH(Tbl_ResidentData[Resident Name '[last, first']],Tbl_PDSAData[Resident Name (last, first)],0)),"")</f>
        <v/>
      </c>
    </row>
    <row r="88" spans="1:119" x14ac:dyDescent="0.25">
      <c r="A88" s="179"/>
      <c r="B88" s="180"/>
      <c r="C88" s="180"/>
      <c r="D88" s="218"/>
      <c r="E88" s="179"/>
      <c r="F88" s="181"/>
      <c r="G88" s="181"/>
      <c r="H88" s="375"/>
      <c r="I88" s="185"/>
      <c r="J88" s="387"/>
      <c r="K88" s="178"/>
      <c r="L88" s="388"/>
      <c r="M88" s="185"/>
      <c r="N88" s="386"/>
      <c r="O88" s="178"/>
      <c r="P88" s="388"/>
      <c r="Q88" s="394"/>
      <c r="R88" s="388"/>
      <c r="S88" s="131" t="str">
        <f>IF(ISBLANK(Tbl_ResidentData[[#This Row],[Discharge '[mmm-yyyy']]]),IF(ISBLANK(Tbl_ResidentData[[#This Row],[Enrollment '[mmm-yyyy']]]),"","In Care Home"),"Discharged")</f>
        <v/>
      </c>
      <c r="T88" s="119" t="str">
        <f>IF(ISBLANK(Tbl_ResidentData[[#This Row],[Diagnosis (RAI)]]),IF(ISBLANK(Tbl_ResidentData[[#This Row],[Resident Name '[last, first']]]),"",0),IF(Tbl_ResidentData[[#This Row],[Diagnosis (RAI)]]="Other (see clinical notes)",0,1))</f>
        <v/>
      </c>
      <c r="U88" s="120" t="str">
        <f ca="1">IF(U$4&gt;NOW(),"-",IF(ISBLANK(Tbl_ResidentData[[#This Row],[Enrollment '[mmm-yyyy']]]),"-",AND((Tbl_ResidentData[[#This Row],[Enrollment '[mmm-yyyy']]]&lt;=U$4),IF(ISBLANK(Tbl_ResidentData[[#This Row],[Discharge '[mmm-yyyy']]]),TRUE,(Tbl_ResidentData[[#This Row],[Discharge '[mmm-yyyy']]]&gt;=U$4)))))</f>
        <v>-</v>
      </c>
      <c r="V88" s="121" t="str">
        <f ca="1">IF(V$4&gt;NOW(),"-",IF(ISBLANK(Tbl_ResidentData[[#This Row],[Enrollment '[mmm-yyyy']]]),"-",AND((Tbl_ResidentData[[#This Row],[Enrollment '[mmm-yyyy']]]&lt;=V$4),IF(ISBLANK(Tbl_ResidentData[[#This Row],[Discharge '[mmm-yyyy']]]),TRUE,(Tbl_ResidentData[[#This Row],[Discharge '[mmm-yyyy']]]&gt;=V$4)))))</f>
        <v>-</v>
      </c>
      <c r="W88" s="121" t="str">
        <f ca="1">IF(W$4&gt;NOW(),"-",IF(ISBLANK(Tbl_ResidentData[[#This Row],[Enrollment '[mmm-yyyy']]]),"-",AND((Tbl_ResidentData[[#This Row],[Enrollment '[mmm-yyyy']]]&lt;=W$4),IF(ISBLANK(Tbl_ResidentData[[#This Row],[Discharge '[mmm-yyyy']]]),TRUE,(Tbl_ResidentData[[#This Row],[Discharge '[mmm-yyyy']]]&gt;=W$4)))))</f>
        <v>-</v>
      </c>
      <c r="X88" s="121" t="str">
        <f ca="1">IF(X$4&gt;NOW(),"-",IF(ISBLANK(Tbl_ResidentData[[#This Row],[Enrollment '[mmm-yyyy']]]),"-",AND((Tbl_ResidentData[[#This Row],[Enrollment '[mmm-yyyy']]]&lt;=X$4),IF(ISBLANK(Tbl_ResidentData[[#This Row],[Discharge '[mmm-yyyy']]]),TRUE,(Tbl_ResidentData[[#This Row],[Discharge '[mmm-yyyy']]]&gt;=X$4)))))</f>
        <v>-</v>
      </c>
      <c r="Y88" s="121" t="str">
        <f ca="1">IF(Y$4&gt;NOW(),"-",IF(ISBLANK(Tbl_ResidentData[[#This Row],[Enrollment '[mmm-yyyy']]]),"-",AND((Tbl_ResidentData[[#This Row],[Enrollment '[mmm-yyyy']]]&lt;=Y$4),IF(ISBLANK(Tbl_ResidentData[[#This Row],[Discharge '[mmm-yyyy']]]),TRUE,(Tbl_ResidentData[[#This Row],[Discharge '[mmm-yyyy']]]&gt;=Y$4)))))</f>
        <v>-</v>
      </c>
      <c r="Z88" s="121" t="str">
        <f ca="1">IF(Z$4&gt;NOW(),"-",IF(ISBLANK(Tbl_ResidentData[[#This Row],[Enrollment '[mmm-yyyy']]]),"-",AND((Tbl_ResidentData[[#This Row],[Enrollment '[mmm-yyyy']]]&lt;=Z$4),IF(ISBLANK(Tbl_ResidentData[[#This Row],[Discharge '[mmm-yyyy']]]),TRUE,(Tbl_ResidentData[[#This Row],[Discharge '[mmm-yyyy']]]&gt;=Z$4)))))</f>
        <v>-</v>
      </c>
      <c r="AA88" s="121" t="str">
        <f ca="1">IF(AA$4&gt;NOW(),"-",IF(ISBLANK(Tbl_ResidentData[[#This Row],[Enrollment '[mmm-yyyy']]]),"-",AND((Tbl_ResidentData[[#This Row],[Enrollment '[mmm-yyyy']]]&lt;=AA$4),IF(ISBLANK(Tbl_ResidentData[[#This Row],[Discharge '[mmm-yyyy']]]),TRUE,(Tbl_ResidentData[[#This Row],[Discharge '[mmm-yyyy']]]&gt;=AA$4)))))</f>
        <v>-</v>
      </c>
      <c r="AB88" s="121" t="str">
        <f ca="1">IF(AB$4&gt;NOW(),"-",IF(ISBLANK(Tbl_ResidentData[[#This Row],[Enrollment '[mmm-yyyy']]]),"-",AND((Tbl_ResidentData[[#This Row],[Enrollment '[mmm-yyyy']]]&lt;=AB$4),IF(ISBLANK(Tbl_ResidentData[[#This Row],[Discharge '[mmm-yyyy']]]),TRUE,(Tbl_ResidentData[[#This Row],[Discharge '[mmm-yyyy']]]&gt;=AB$4)))))</f>
        <v>-</v>
      </c>
      <c r="AC88" s="121" t="str">
        <f ca="1">IF(AC$4&gt;NOW(),"-",IF(ISBLANK(Tbl_ResidentData[[#This Row],[Enrollment '[mmm-yyyy']]]),"-",AND((Tbl_ResidentData[[#This Row],[Enrollment '[mmm-yyyy']]]&lt;=AC$4),IF(ISBLANK(Tbl_ResidentData[[#This Row],[Discharge '[mmm-yyyy']]]),TRUE,(Tbl_ResidentData[[#This Row],[Discharge '[mmm-yyyy']]]&gt;=AC$4)))))</f>
        <v>-</v>
      </c>
      <c r="AD88" s="121" t="str">
        <f ca="1">IF(AD$4&gt;NOW(),"-",IF(ISBLANK(Tbl_ResidentData[[#This Row],[Enrollment '[mmm-yyyy']]]),"-",AND((Tbl_ResidentData[[#This Row],[Enrollment '[mmm-yyyy']]]&lt;=AD$4),IF(ISBLANK(Tbl_ResidentData[[#This Row],[Discharge '[mmm-yyyy']]]),TRUE,(Tbl_ResidentData[[#This Row],[Discharge '[mmm-yyyy']]]&gt;=AD$4)))))</f>
        <v>-</v>
      </c>
      <c r="AE88" s="121" t="str">
        <f ca="1">IF(AE$4&gt;NOW(),"-",IF(ISBLANK(Tbl_ResidentData[[#This Row],[Enrollment '[mmm-yyyy']]]),"-",AND((Tbl_ResidentData[[#This Row],[Enrollment '[mmm-yyyy']]]&lt;=AE$4),IF(ISBLANK(Tbl_ResidentData[[#This Row],[Discharge '[mmm-yyyy']]]),TRUE,(Tbl_ResidentData[[#This Row],[Discharge '[mmm-yyyy']]]&gt;=AE$4)))))</f>
        <v>-</v>
      </c>
      <c r="AF88" s="121" t="str">
        <f ca="1">IF(AF$4&gt;NOW(),"-",IF(ISBLANK(Tbl_ResidentData[[#This Row],[Enrollment '[mmm-yyyy']]]),"-",AND((Tbl_ResidentData[[#This Row],[Enrollment '[mmm-yyyy']]]&lt;=AF$4),IF(ISBLANK(Tbl_ResidentData[[#This Row],[Discharge '[mmm-yyyy']]]),TRUE,(Tbl_ResidentData[[#This Row],[Discharge '[mmm-yyyy']]]&gt;=AF$4)))))</f>
        <v>-</v>
      </c>
      <c r="AG88" s="121" t="str">
        <f ca="1">IF(AG$4&gt;NOW(),"-",IF(ISBLANK(Tbl_ResidentData[[#This Row],[Enrollment '[mmm-yyyy']]]),"-",AND((Tbl_ResidentData[[#This Row],[Enrollment '[mmm-yyyy']]]&lt;=AG$4),IF(ISBLANK(Tbl_ResidentData[[#This Row],[Discharge '[mmm-yyyy']]]),TRUE,(Tbl_ResidentData[[#This Row],[Discharge '[mmm-yyyy']]]&gt;=AG$4)))))</f>
        <v>-</v>
      </c>
      <c r="AH88" s="121" t="str">
        <f ca="1">IF(AH$4&gt;NOW(),"-",IF(ISBLANK(Tbl_ResidentData[[#This Row],[Enrollment '[mmm-yyyy']]]),"-",AND((Tbl_ResidentData[[#This Row],[Enrollment '[mmm-yyyy']]]&lt;=AH$4),IF(ISBLANK(Tbl_ResidentData[[#This Row],[Discharge '[mmm-yyyy']]]),TRUE,(Tbl_ResidentData[[#This Row],[Discharge '[mmm-yyyy']]]&gt;=AH$4)))))</f>
        <v>-</v>
      </c>
      <c r="AI88" s="121" t="str">
        <f ca="1">IF(AI$4&gt;NOW(),"-",IF(ISBLANK(Tbl_ResidentData[[#This Row],[Enrollment '[mmm-yyyy']]]),"-",AND((Tbl_ResidentData[[#This Row],[Enrollment '[mmm-yyyy']]]&lt;=AI$4),IF(ISBLANK(Tbl_ResidentData[[#This Row],[Discharge '[mmm-yyyy']]]),TRUE,(Tbl_ResidentData[[#This Row],[Discharge '[mmm-yyyy']]]&gt;=AI$4)))))</f>
        <v>-</v>
      </c>
      <c r="AJ88" s="121" t="str">
        <f ca="1">IF(AJ$4&gt;NOW(),"-",IF(ISBLANK(Tbl_ResidentData[[#This Row],[Enrollment '[mmm-yyyy']]]),"-",AND((Tbl_ResidentData[[#This Row],[Enrollment '[mmm-yyyy']]]&lt;=AJ$4),IF(ISBLANK(Tbl_ResidentData[[#This Row],[Discharge '[mmm-yyyy']]]),TRUE,(Tbl_ResidentData[[#This Row],[Discharge '[mmm-yyyy']]]&gt;=AJ$4)))))</f>
        <v>-</v>
      </c>
      <c r="AK88" s="121" t="str">
        <f ca="1">IF(AK$4&gt;NOW(),"-",IF(ISBLANK(Tbl_ResidentData[[#This Row],[Enrollment '[mmm-yyyy']]]),"-",AND((Tbl_ResidentData[[#This Row],[Enrollment '[mmm-yyyy']]]&lt;=AK$4),IF(ISBLANK(Tbl_ResidentData[[#This Row],[Discharge '[mmm-yyyy']]]),TRUE,(Tbl_ResidentData[[#This Row],[Discharge '[mmm-yyyy']]]&gt;=AK$4)))))</f>
        <v>-</v>
      </c>
      <c r="AL88" s="121" t="str">
        <f ca="1">IF(AL$4&gt;NOW(),"-",IF(ISBLANK(Tbl_ResidentData[[#This Row],[Enrollment '[mmm-yyyy']]]),"-",AND((Tbl_ResidentData[[#This Row],[Enrollment '[mmm-yyyy']]]&lt;=AL$4),IF(ISBLANK(Tbl_ResidentData[[#This Row],[Discharge '[mmm-yyyy']]]),TRUE,(Tbl_ResidentData[[#This Row],[Discharge '[mmm-yyyy']]]&gt;=AL$4)))))</f>
        <v>-</v>
      </c>
      <c r="AM88" s="121" t="str">
        <f ca="1">IF(AM$4&gt;NOW(),"-",IF(ISBLANK(Tbl_ResidentData[[#This Row],[Enrollment '[mmm-yyyy']]]),"-",AND((Tbl_ResidentData[[#This Row],[Enrollment '[mmm-yyyy']]]&lt;=AM$4),IF(ISBLANK(Tbl_ResidentData[[#This Row],[Discharge '[mmm-yyyy']]]),TRUE,(Tbl_ResidentData[[#This Row],[Discharge '[mmm-yyyy']]]&gt;=AM$4)))))</f>
        <v>-</v>
      </c>
      <c r="AN88" s="121" t="str">
        <f ca="1">IF(AN$4&gt;NOW(),"-",IF(ISBLANK(Tbl_ResidentData[[#This Row],[Enrollment '[mmm-yyyy']]]),"-",AND((Tbl_ResidentData[[#This Row],[Enrollment '[mmm-yyyy']]]&lt;=AN$4),IF(ISBLANK(Tbl_ResidentData[[#This Row],[Discharge '[mmm-yyyy']]]),TRUE,(Tbl_ResidentData[[#This Row],[Discharge '[mmm-yyyy']]]&gt;=AN$4)))))</f>
        <v>-</v>
      </c>
      <c r="AO88" s="121" t="str">
        <f ca="1">IF(AO$4&gt;NOW(),"-",IF(ISBLANK(Tbl_ResidentData[[#This Row],[Enrollment '[mmm-yyyy']]]),"-",AND((Tbl_ResidentData[[#This Row],[Enrollment '[mmm-yyyy']]]&lt;=AO$4),IF(ISBLANK(Tbl_ResidentData[[#This Row],[Discharge '[mmm-yyyy']]]),TRUE,(Tbl_ResidentData[[#This Row],[Discharge '[mmm-yyyy']]]&gt;=AO$4)))))</f>
        <v>-</v>
      </c>
      <c r="AP88" s="121" t="str">
        <f ca="1">IF(AP$4&gt;NOW(),"-",IF(ISBLANK(Tbl_ResidentData[[#This Row],[Enrollment '[mmm-yyyy']]]),"-",AND((Tbl_ResidentData[[#This Row],[Enrollment '[mmm-yyyy']]]&lt;=AP$4),IF(ISBLANK(Tbl_ResidentData[[#This Row],[Discharge '[mmm-yyyy']]]),TRUE,(Tbl_ResidentData[[#This Row],[Discharge '[mmm-yyyy']]]&gt;=AP$4)))))</f>
        <v>-</v>
      </c>
      <c r="AQ88" s="121" t="str">
        <f ca="1">IF(AQ$4&gt;NOW(),"-",IF(ISBLANK(Tbl_ResidentData[[#This Row],[Enrollment '[mmm-yyyy']]]),"-",AND((Tbl_ResidentData[[#This Row],[Enrollment '[mmm-yyyy']]]&lt;=AQ$4),IF(ISBLANK(Tbl_ResidentData[[#This Row],[Discharge '[mmm-yyyy']]]),TRUE,(Tbl_ResidentData[[#This Row],[Discharge '[mmm-yyyy']]]&gt;=AQ$4)))))</f>
        <v>-</v>
      </c>
      <c r="AR88" s="122" t="str">
        <f ca="1">IF(AR$4&gt;NOW(),"-",IF(ISBLANK(Tbl_ResidentData[[#This Row],[Enrollment '[mmm-yyyy']]]),"-",AND((Tbl_ResidentData[[#This Row],[Enrollment '[mmm-yyyy']]]&lt;=AR$4),IF(ISBLANK(Tbl_ResidentData[[#This Row],[Discharge '[mmm-yyyy']]]),TRUE,(Tbl_ResidentData[[#This Row],[Discharge '[mmm-yyyy']]]&gt;=AR$4)))))</f>
        <v>-</v>
      </c>
      <c r="AS8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8" s="120" t="b">
        <f ca="1">AND(Tbl_ResidentData[[#This Row],[PRN Med Started]]&lt;&gt;"",Tbl_ResidentData[[#This Row],[PRN Med Started]]&lt;=NOW(),Tbl_ResidentData[[#This Row],[PRN Med Started]]&lt;=AS$4,OR(Tbl_ResidentData[[#This Row],[PRN Med Discontinued]]&gt;AS$4,ISBLANK(Tbl_ResidentData[[#This Row],[PRN Med Discontinued]])))</f>
        <v>0</v>
      </c>
      <c r="BR88" s="121" t="b">
        <f ca="1">AND(Tbl_ResidentData[[#This Row],[PRN Med Started]]&lt;&gt;"",Tbl_ResidentData[[#This Row],[PRN Med Started]]&lt;=NOW(),Tbl_ResidentData[[#This Row],[PRN Med Started]]&lt;=AT$4,OR(Tbl_ResidentData[[#This Row],[PRN Med Discontinued]]&gt;AT$4,ISBLANK(Tbl_ResidentData[[#This Row],[PRN Med Discontinued]])))</f>
        <v>0</v>
      </c>
      <c r="BS88" s="121" t="b">
        <f ca="1">AND(Tbl_ResidentData[[#This Row],[PRN Med Started]]&lt;&gt;"",Tbl_ResidentData[[#This Row],[PRN Med Started]]&lt;=NOW(),Tbl_ResidentData[[#This Row],[PRN Med Started]]&lt;=AU$4,OR(Tbl_ResidentData[[#This Row],[PRN Med Discontinued]]&gt;AU$4,ISBLANK(Tbl_ResidentData[[#This Row],[PRN Med Discontinued]])))</f>
        <v>0</v>
      </c>
      <c r="BT88" s="121" t="b">
        <f ca="1">AND(Tbl_ResidentData[[#This Row],[PRN Med Started]]&lt;&gt;"",Tbl_ResidentData[[#This Row],[PRN Med Started]]&lt;=NOW(),Tbl_ResidentData[[#This Row],[PRN Med Started]]&lt;=AV$4,OR(Tbl_ResidentData[[#This Row],[PRN Med Discontinued]]&gt;AV$4,ISBLANK(Tbl_ResidentData[[#This Row],[PRN Med Discontinued]])))</f>
        <v>0</v>
      </c>
      <c r="BU88" s="121" t="b">
        <f ca="1">AND(Tbl_ResidentData[[#This Row],[PRN Med Started]]&lt;&gt;"",Tbl_ResidentData[[#This Row],[PRN Med Started]]&lt;=NOW(),Tbl_ResidentData[[#This Row],[PRN Med Started]]&lt;=AW$4,OR(Tbl_ResidentData[[#This Row],[PRN Med Discontinued]]&gt;AW$4,ISBLANK(Tbl_ResidentData[[#This Row],[PRN Med Discontinued]])))</f>
        <v>0</v>
      </c>
      <c r="BV88" s="121" t="b">
        <f ca="1">AND(Tbl_ResidentData[[#This Row],[PRN Med Started]]&lt;&gt;"",Tbl_ResidentData[[#This Row],[PRN Med Started]]&lt;=NOW(),Tbl_ResidentData[[#This Row],[PRN Med Started]]&lt;=AX$4,OR(Tbl_ResidentData[[#This Row],[PRN Med Discontinued]]&gt;AX$4,ISBLANK(Tbl_ResidentData[[#This Row],[PRN Med Discontinued]])))</f>
        <v>0</v>
      </c>
      <c r="BW88" s="121" t="b">
        <f ca="1">AND(Tbl_ResidentData[[#This Row],[PRN Med Started]]&lt;&gt;"",Tbl_ResidentData[[#This Row],[PRN Med Started]]&lt;=NOW(),Tbl_ResidentData[[#This Row],[PRN Med Started]]&lt;=AY$4,OR(Tbl_ResidentData[[#This Row],[PRN Med Discontinued]]&gt;AY$4,ISBLANK(Tbl_ResidentData[[#This Row],[PRN Med Discontinued]])))</f>
        <v>0</v>
      </c>
      <c r="BX88" s="121" t="b">
        <f ca="1">AND(Tbl_ResidentData[[#This Row],[PRN Med Started]]&lt;&gt;"",Tbl_ResidentData[[#This Row],[PRN Med Started]]&lt;=NOW(),Tbl_ResidentData[[#This Row],[PRN Med Started]]&lt;=AZ$4,OR(Tbl_ResidentData[[#This Row],[PRN Med Discontinued]]&gt;AZ$4,ISBLANK(Tbl_ResidentData[[#This Row],[PRN Med Discontinued]])))</f>
        <v>0</v>
      </c>
      <c r="BY88" s="121" t="b">
        <f ca="1">AND(Tbl_ResidentData[[#This Row],[PRN Med Started]]&lt;&gt;"",Tbl_ResidentData[[#This Row],[PRN Med Started]]&lt;=NOW(),Tbl_ResidentData[[#This Row],[PRN Med Started]]&lt;=BA$4,OR(Tbl_ResidentData[[#This Row],[PRN Med Discontinued]]&gt;BA$4,ISBLANK(Tbl_ResidentData[[#This Row],[PRN Med Discontinued]])))</f>
        <v>0</v>
      </c>
      <c r="BZ88" s="121" t="b">
        <f ca="1">AND(Tbl_ResidentData[[#This Row],[PRN Med Started]]&lt;&gt;"",Tbl_ResidentData[[#This Row],[PRN Med Started]]&lt;=NOW(),Tbl_ResidentData[[#This Row],[PRN Med Started]]&lt;=BB$4,OR(Tbl_ResidentData[[#This Row],[PRN Med Discontinued]]&gt;BB$4,ISBLANK(Tbl_ResidentData[[#This Row],[PRN Med Discontinued]])))</f>
        <v>0</v>
      </c>
      <c r="CA88" s="121" t="b">
        <f ca="1">AND(Tbl_ResidentData[[#This Row],[PRN Med Started]]&lt;&gt;"",Tbl_ResidentData[[#This Row],[PRN Med Started]]&lt;=NOW(),Tbl_ResidentData[[#This Row],[PRN Med Started]]&lt;=BC$4,OR(Tbl_ResidentData[[#This Row],[PRN Med Discontinued]]&gt;BC$4,ISBLANK(Tbl_ResidentData[[#This Row],[PRN Med Discontinued]])))</f>
        <v>0</v>
      </c>
      <c r="CB88" s="121" t="b">
        <f ca="1">AND(Tbl_ResidentData[[#This Row],[PRN Med Started]]&lt;&gt;"",Tbl_ResidentData[[#This Row],[PRN Med Started]]&lt;=NOW(),Tbl_ResidentData[[#This Row],[PRN Med Started]]&lt;=BD$4,OR(Tbl_ResidentData[[#This Row],[PRN Med Discontinued]]&gt;BD$4,ISBLANK(Tbl_ResidentData[[#This Row],[PRN Med Discontinued]])))</f>
        <v>0</v>
      </c>
      <c r="CC88" s="121" t="b">
        <f ca="1">AND(Tbl_ResidentData[[#This Row],[PRN Med Started]]&lt;&gt;"",Tbl_ResidentData[[#This Row],[PRN Med Started]]&lt;=NOW(),Tbl_ResidentData[[#This Row],[PRN Med Started]]&lt;=BE$4,OR(Tbl_ResidentData[[#This Row],[PRN Med Discontinued]]&gt;BE$4,ISBLANK(Tbl_ResidentData[[#This Row],[PRN Med Discontinued]])))</f>
        <v>0</v>
      </c>
      <c r="CD88" s="121" t="b">
        <f ca="1">AND(Tbl_ResidentData[[#This Row],[PRN Med Started]]&lt;&gt;"",Tbl_ResidentData[[#This Row],[PRN Med Started]]&lt;=NOW(),Tbl_ResidentData[[#This Row],[PRN Med Started]]&lt;=BF$4,OR(Tbl_ResidentData[[#This Row],[PRN Med Discontinued]]&gt;BF$4,ISBLANK(Tbl_ResidentData[[#This Row],[PRN Med Discontinued]])))</f>
        <v>0</v>
      </c>
      <c r="CE88" s="121" t="b">
        <f ca="1">AND(Tbl_ResidentData[[#This Row],[PRN Med Started]]&lt;&gt;"",Tbl_ResidentData[[#This Row],[PRN Med Started]]&lt;=NOW(),Tbl_ResidentData[[#This Row],[PRN Med Started]]&lt;=BG$4,OR(Tbl_ResidentData[[#This Row],[PRN Med Discontinued]]&gt;BG$4,ISBLANK(Tbl_ResidentData[[#This Row],[PRN Med Discontinued]])))</f>
        <v>0</v>
      </c>
      <c r="CF88" s="121" t="b">
        <f ca="1">AND(Tbl_ResidentData[[#This Row],[PRN Med Started]]&lt;&gt;"",Tbl_ResidentData[[#This Row],[PRN Med Started]]&lt;=NOW(),Tbl_ResidentData[[#This Row],[PRN Med Started]]&lt;=BH$4,OR(Tbl_ResidentData[[#This Row],[PRN Med Discontinued]]&gt;BH$4,ISBLANK(Tbl_ResidentData[[#This Row],[PRN Med Discontinued]])))</f>
        <v>0</v>
      </c>
      <c r="CG88" s="121" t="b">
        <f ca="1">AND(Tbl_ResidentData[[#This Row],[PRN Med Started]]&lt;&gt;"",Tbl_ResidentData[[#This Row],[PRN Med Started]]&lt;=NOW(),Tbl_ResidentData[[#This Row],[PRN Med Started]]&lt;=BI$4,OR(Tbl_ResidentData[[#This Row],[PRN Med Discontinued]]&gt;BI$4,ISBLANK(Tbl_ResidentData[[#This Row],[PRN Med Discontinued]])))</f>
        <v>0</v>
      </c>
      <c r="CH88" s="121" t="b">
        <f ca="1">AND(Tbl_ResidentData[[#This Row],[PRN Med Started]]&lt;&gt;"",Tbl_ResidentData[[#This Row],[PRN Med Started]]&lt;=NOW(),Tbl_ResidentData[[#This Row],[PRN Med Started]]&lt;=BJ$4,OR(Tbl_ResidentData[[#This Row],[PRN Med Discontinued]]&gt;BJ$4,ISBLANK(Tbl_ResidentData[[#This Row],[PRN Med Discontinued]])))</f>
        <v>0</v>
      </c>
      <c r="CI88" s="121" t="b">
        <f ca="1">AND(Tbl_ResidentData[[#This Row],[PRN Med Started]]&lt;&gt;"",Tbl_ResidentData[[#This Row],[PRN Med Started]]&lt;=NOW(),Tbl_ResidentData[[#This Row],[PRN Med Started]]&lt;=BK$4,OR(Tbl_ResidentData[[#This Row],[PRN Med Discontinued]]&gt;BK$4,ISBLANK(Tbl_ResidentData[[#This Row],[PRN Med Discontinued]])))</f>
        <v>0</v>
      </c>
      <c r="CJ88" s="121" t="b">
        <f ca="1">AND(Tbl_ResidentData[[#This Row],[PRN Med Started]]&lt;&gt;"",Tbl_ResidentData[[#This Row],[PRN Med Started]]&lt;=NOW(),Tbl_ResidentData[[#This Row],[PRN Med Started]]&lt;=BL$4,OR(Tbl_ResidentData[[#This Row],[PRN Med Discontinued]]&gt;BL$4,ISBLANK(Tbl_ResidentData[[#This Row],[PRN Med Discontinued]])))</f>
        <v>0</v>
      </c>
      <c r="CK88" s="121" t="b">
        <f ca="1">AND(Tbl_ResidentData[[#This Row],[PRN Med Started]]&lt;&gt;"",Tbl_ResidentData[[#This Row],[PRN Med Started]]&lt;=NOW(),Tbl_ResidentData[[#This Row],[PRN Med Started]]&lt;=BM$4,OR(Tbl_ResidentData[[#This Row],[PRN Med Discontinued]]&gt;BM$4,ISBLANK(Tbl_ResidentData[[#This Row],[PRN Med Discontinued]])))</f>
        <v>0</v>
      </c>
      <c r="CL88" s="121" t="b">
        <f ca="1">AND(Tbl_ResidentData[[#This Row],[PRN Med Started]]&lt;&gt;"",Tbl_ResidentData[[#This Row],[PRN Med Started]]&lt;=NOW(),Tbl_ResidentData[[#This Row],[PRN Med Started]]&lt;=BN$4,OR(Tbl_ResidentData[[#This Row],[PRN Med Discontinued]]&gt;BN$4,ISBLANK(Tbl_ResidentData[[#This Row],[PRN Med Discontinued]])))</f>
        <v>0</v>
      </c>
      <c r="CM88" s="121" t="b">
        <f ca="1">AND(Tbl_ResidentData[[#This Row],[PRN Med Started]]&lt;&gt;"",Tbl_ResidentData[[#This Row],[PRN Med Started]]&lt;=NOW(),Tbl_ResidentData[[#This Row],[PRN Med Started]]&lt;=BO$4,OR(Tbl_ResidentData[[#This Row],[PRN Med Discontinued]]&gt;BO$4,ISBLANK(Tbl_ResidentData[[#This Row],[PRN Med Discontinued]])))</f>
        <v>0</v>
      </c>
      <c r="CN88" s="122" t="b">
        <f ca="1">AND(Tbl_ResidentData[[#This Row],[PRN Med Started]]&lt;&gt;"",Tbl_ResidentData[[#This Row],[PRN Med Started]]&lt;=NOW(),Tbl_ResidentData[[#This Row],[PRN Med Started]]&lt;=BP$4,OR(Tbl_ResidentData[[#This Row],[PRN Med Discontinued]]&gt;BP$4,ISBLANK(Tbl_ResidentData[[#This Row],[PRN Med Discontinued]])))</f>
        <v>0</v>
      </c>
      <c r="CO88" s="120">
        <f ca="1">IF(OR(Tbl_ResidentData[[#This Row],[S1]]=TRUE,Tbl_ResidentData[[#This Row],[P1]]=TRUE),1,0)</f>
        <v>0</v>
      </c>
      <c r="CP88" s="121">
        <f ca="1">IF(OR(Tbl_ResidentData[[#This Row],[S2]]=TRUE,Tbl_ResidentData[[#This Row],[P2]]=TRUE),1,0)</f>
        <v>0</v>
      </c>
      <c r="CQ88" s="121">
        <f ca="1">IF(OR(Tbl_ResidentData[[#This Row],[S3]]=TRUE,Tbl_ResidentData[[#This Row],[P3]]=TRUE),1,0)</f>
        <v>0</v>
      </c>
      <c r="CR88" s="120">
        <f ca="1">IF(OR(Tbl_ResidentData[[#This Row],[S4]]=TRUE,Tbl_ResidentData[[#This Row],[P4]]=TRUE),1,0)</f>
        <v>0</v>
      </c>
      <c r="CS88" s="120">
        <f ca="1">IF(OR(Tbl_ResidentData[[#This Row],[S5]]=TRUE,Tbl_ResidentData[[#This Row],[P5]]=TRUE),1,0)</f>
        <v>0</v>
      </c>
      <c r="CT88" s="120">
        <f ca="1">IF(OR(Tbl_ResidentData[[#This Row],[S6]]=TRUE,Tbl_ResidentData[[#This Row],[P6]]=TRUE),1,0)</f>
        <v>0</v>
      </c>
      <c r="CU88" s="120">
        <f ca="1">IF(OR(Tbl_ResidentData[[#This Row],[S7]]=TRUE,Tbl_ResidentData[[#This Row],[P7]]=TRUE),1,0)</f>
        <v>0</v>
      </c>
      <c r="CV88" s="120">
        <f ca="1">IF(OR(Tbl_ResidentData[[#This Row],[S8]]=TRUE,Tbl_ResidentData[[#This Row],[P8]]=TRUE),1,0)</f>
        <v>0</v>
      </c>
      <c r="CW88" s="120">
        <f ca="1">IF(OR(Tbl_ResidentData[[#This Row],[S9]]=TRUE,Tbl_ResidentData[[#This Row],[P9]]=TRUE),1,0)</f>
        <v>0</v>
      </c>
      <c r="CX88" s="120">
        <f ca="1">IF(OR(Tbl_ResidentData[[#This Row],[S10]]=TRUE,Tbl_ResidentData[[#This Row],[P10]]=TRUE),1,0)</f>
        <v>0</v>
      </c>
      <c r="CY88" s="120">
        <f ca="1">IF(OR(Tbl_ResidentData[[#This Row],[S11]]=TRUE,Tbl_ResidentData[[#This Row],[P11]]=TRUE),1,0)</f>
        <v>0</v>
      </c>
      <c r="CZ88" s="120">
        <f ca="1">IF(OR(Tbl_ResidentData[[#This Row],[S12]]=TRUE,Tbl_ResidentData[[#This Row],[P12]]=TRUE),1,0)</f>
        <v>0</v>
      </c>
      <c r="DA88" s="120">
        <f ca="1">IF(OR(Tbl_ResidentData[[#This Row],[S13]]=TRUE,Tbl_ResidentData[[#This Row],[P13]]=TRUE),1,0)</f>
        <v>0</v>
      </c>
      <c r="DB88" s="120">
        <f ca="1">IF(OR(Tbl_ResidentData[[#This Row],[S14]]=TRUE,Tbl_ResidentData[[#This Row],[P14]]=TRUE),1,0)</f>
        <v>0</v>
      </c>
      <c r="DC88" s="120">
        <f ca="1">IF(OR(Tbl_ResidentData[[#This Row],[S15]]=TRUE,Tbl_ResidentData[[#This Row],[P15]]=TRUE),1,0)</f>
        <v>0</v>
      </c>
      <c r="DD88" s="120">
        <f ca="1">IF(OR(Tbl_ResidentData[[#This Row],[S16]]=TRUE,Tbl_ResidentData[[#This Row],[P16]]=TRUE),1,0)</f>
        <v>0</v>
      </c>
      <c r="DE88" s="120">
        <f ca="1">IF(OR(Tbl_ResidentData[[#This Row],[S17]]=TRUE,Tbl_ResidentData[[#This Row],[P17]]=TRUE),1,0)</f>
        <v>0</v>
      </c>
      <c r="DF88" s="120">
        <f ca="1">IF(OR(Tbl_ResidentData[[#This Row],[S18]]=TRUE,Tbl_ResidentData[[#This Row],[P18]]=TRUE),1,0)</f>
        <v>0</v>
      </c>
      <c r="DG88" s="120">
        <f ca="1">IF(OR(Tbl_ResidentData[[#This Row],[S19]]=TRUE,Tbl_ResidentData[[#This Row],[P19]]=TRUE),1,0)</f>
        <v>0</v>
      </c>
      <c r="DH88" s="120">
        <f ca="1">IF(OR(Tbl_ResidentData[[#This Row],[S20]]=TRUE,Tbl_ResidentData[[#This Row],[P20]]=TRUE),1,0)</f>
        <v>0</v>
      </c>
      <c r="DI88" s="120">
        <f ca="1">IF(OR(Tbl_ResidentData[[#This Row],[S21]]=TRUE,Tbl_ResidentData[[#This Row],[P21]]=TRUE),1,0)</f>
        <v>0</v>
      </c>
      <c r="DJ88" s="120">
        <f ca="1">IF(OR(Tbl_ResidentData[[#This Row],[S22]]=TRUE,Tbl_ResidentData[[#This Row],[P22]]=TRUE),1,0)</f>
        <v>0</v>
      </c>
      <c r="DK88" s="120">
        <f ca="1">IF(OR(Tbl_ResidentData[[#This Row],[S23]]=TRUE,Tbl_ResidentData[[#This Row],[P23]]=TRUE),1,0)</f>
        <v>0</v>
      </c>
      <c r="DL88" s="120">
        <f ca="1">IF(OR(Tbl_ResidentData[[#This Row],[S24]]=TRUE,Tbl_ResidentData[[#This Row],[P24]]=TRUE),1,0)</f>
        <v>0</v>
      </c>
      <c r="DM88" s="123" t="str">
        <f ca="1">IFERROR(INDEX($CO$4:$DL$4,MATCH(TRUE,INDEX((Tbl_ResidentData[[#This Row],[Over1]:[Over24]]&lt;&gt;0),0),0)),"")</f>
        <v/>
      </c>
      <c r="DN88" s="133" t="str">
        <f>IFERROR(INDEX(Tbl_PDSAData[Last DRT],MATCH(Tbl_ResidentData[Resident Name '[last, first']],Tbl_PDSAData[Resident Name (last, first)],0)),"")</f>
        <v/>
      </c>
      <c r="DO88" s="222" t="str">
        <f>IFERROR(INDEX(Tbl_PDSAData[Last MR],MATCH(Tbl_ResidentData[Resident Name '[last, first']],Tbl_PDSAData[Resident Name (last, first)],0)),"")</f>
        <v/>
      </c>
    </row>
    <row r="89" spans="1:119" x14ac:dyDescent="0.25">
      <c r="A89" s="179"/>
      <c r="B89" s="180"/>
      <c r="C89" s="180"/>
      <c r="D89" s="218"/>
      <c r="E89" s="179"/>
      <c r="F89" s="181"/>
      <c r="G89" s="181"/>
      <c r="H89" s="375"/>
      <c r="I89" s="185"/>
      <c r="J89" s="387"/>
      <c r="K89" s="178"/>
      <c r="L89" s="388"/>
      <c r="M89" s="185"/>
      <c r="N89" s="386"/>
      <c r="O89" s="178"/>
      <c r="P89" s="388"/>
      <c r="Q89" s="395"/>
      <c r="R89" s="396"/>
      <c r="S89" s="131" t="str">
        <f>IF(ISBLANK(Tbl_ResidentData[[#This Row],[Discharge '[mmm-yyyy']]]),IF(ISBLANK(Tbl_ResidentData[[#This Row],[Enrollment '[mmm-yyyy']]]),"","In Care Home"),"Discharged")</f>
        <v/>
      </c>
      <c r="T89" s="119" t="str">
        <f>IF(ISBLANK(Tbl_ResidentData[[#This Row],[Diagnosis (RAI)]]),IF(ISBLANK(Tbl_ResidentData[[#This Row],[Resident Name '[last, first']]]),"",0),IF(Tbl_ResidentData[[#This Row],[Diagnosis (RAI)]]="Other (see clinical notes)",0,1))</f>
        <v/>
      </c>
      <c r="U89" s="120" t="str">
        <f ca="1">IF(U$4&gt;NOW(),"-",IF(ISBLANK(Tbl_ResidentData[[#This Row],[Enrollment '[mmm-yyyy']]]),"-",AND((Tbl_ResidentData[[#This Row],[Enrollment '[mmm-yyyy']]]&lt;=U$4),IF(ISBLANK(Tbl_ResidentData[[#This Row],[Discharge '[mmm-yyyy']]]),TRUE,(Tbl_ResidentData[[#This Row],[Discharge '[mmm-yyyy']]]&gt;=U$4)))))</f>
        <v>-</v>
      </c>
      <c r="V89" s="121" t="str">
        <f ca="1">IF(V$4&gt;NOW(),"-",IF(ISBLANK(Tbl_ResidentData[[#This Row],[Enrollment '[mmm-yyyy']]]),"-",AND((Tbl_ResidentData[[#This Row],[Enrollment '[mmm-yyyy']]]&lt;=V$4),IF(ISBLANK(Tbl_ResidentData[[#This Row],[Discharge '[mmm-yyyy']]]),TRUE,(Tbl_ResidentData[[#This Row],[Discharge '[mmm-yyyy']]]&gt;=V$4)))))</f>
        <v>-</v>
      </c>
      <c r="W89" s="121" t="str">
        <f ca="1">IF(W$4&gt;NOW(),"-",IF(ISBLANK(Tbl_ResidentData[[#This Row],[Enrollment '[mmm-yyyy']]]),"-",AND((Tbl_ResidentData[[#This Row],[Enrollment '[mmm-yyyy']]]&lt;=W$4),IF(ISBLANK(Tbl_ResidentData[[#This Row],[Discharge '[mmm-yyyy']]]),TRUE,(Tbl_ResidentData[[#This Row],[Discharge '[mmm-yyyy']]]&gt;=W$4)))))</f>
        <v>-</v>
      </c>
      <c r="X89" s="121" t="str">
        <f ca="1">IF(X$4&gt;NOW(),"-",IF(ISBLANK(Tbl_ResidentData[[#This Row],[Enrollment '[mmm-yyyy']]]),"-",AND((Tbl_ResidentData[[#This Row],[Enrollment '[mmm-yyyy']]]&lt;=X$4),IF(ISBLANK(Tbl_ResidentData[[#This Row],[Discharge '[mmm-yyyy']]]),TRUE,(Tbl_ResidentData[[#This Row],[Discharge '[mmm-yyyy']]]&gt;=X$4)))))</f>
        <v>-</v>
      </c>
      <c r="Y89" s="121" t="str">
        <f ca="1">IF(Y$4&gt;NOW(),"-",IF(ISBLANK(Tbl_ResidentData[[#This Row],[Enrollment '[mmm-yyyy']]]),"-",AND((Tbl_ResidentData[[#This Row],[Enrollment '[mmm-yyyy']]]&lt;=Y$4),IF(ISBLANK(Tbl_ResidentData[[#This Row],[Discharge '[mmm-yyyy']]]),TRUE,(Tbl_ResidentData[[#This Row],[Discharge '[mmm-yyyy']]]&gt;=Y$4)))))</f>
        <v>-</v>
      </c>
      <c r="Z89" s="121" t="str">
        <f ca="1">IF(Z$4&gt;NOW(),"-",IF(ISBLANK(Tbl_ResidentData[[#This Row],[Enrollment '[mmm-yyyy']]]),"-",AND((Tbl_ResidentData[[#This Row],[Enrollment '[mmm-yyyy']]]&lt;=Z$4),IF(ISBLANK(Tbl_ResidentData[[#This Row],[Discharge '[mmm-yyyy']]]),TRUE,(Tbl_ResidentData[[#This Row],[Discharge '[mmm-yyyy']]]&gt;=Z$4)))))</f>
        <v>-</v>
      </c>
      <c r="AA89" s="121" t="str">
        <f ca="1">IF(AA$4&gt;NOW(),"-",IF(ISBLANK(Tbl_ResidentData[[#This Row],[Enrollment '[mmm-yyyy']]]),"-",AND((Tbl_ResidentData[[#This Row],[Enrollment '[mmm-yyyy']]]&lt;=AA$4),IF(ISBLANK(Tbl_ResidentData[[#This Row],[Discharge '[mmm-yyyy']]]),TRUE,(Tbl_ResidentData[[#This Row],[Discharge '[mmm-yyyy']]]&gt;=AA$4)))))</f>
        <v>-</v>
      </c>
      <c r="AB89" s="121" t="str">
        <f ca="1">IF(AB$4&gt;NOW(),"-",IF(ISBLANK(Tbl_ResidentData[[#This Row],[Enrollment '[mmm-yyyy']]]),"-",AND((Tbl_ResidentData[[#This Row],[Enrollment '[mmm-yyyy']]]&lt;=AB$4),IF(ISBLANK(Tbl_ResidentData[[#This Row],[Discharge '[mmm-yyyy']]]),TRUE,(Tbl_ResidentData[[#This Row],[Discharge '[mmm-yyyy']]]&gt;=AB$4)))))</f>
        <v>-</v>
      </c>
      <c r="AC89" s="121" t="str">
        <f ca="1">IF(AC$4&gt;NOW(),"-",IF(ISBLANK(Tbl_ResidentData[[#This Row],[Enrollment '[mmm-yyyy']]]),"-",AND((Tbl_ResidentData[[#This Row],[Enrollment '[mmm-yyyy']]]&lt;=AC$4),IF(ISBLANK(Tbl_ResidentData[[#This Row],[Discharge '[mmm-yyyy']]]),TRUE,(Tbl_ResidentData[[#This Row],[Discharge '[mmm-yyyy']]]&gt;=AC$4)))))</f>
        <v>-</v>
      </c>
      <c r="AD89" s="121" t="str">
        <f ca="1">IF(AD$4&gt;NOW(),"-",IF(ISBLANK(Tbl_ResidentData[[#This Row],[Enrollment '[mmm-yyyy']]]),"-",AND((Tbl_ResidentData[[#This Row],[Enrollment '[mmm-yyyy']]]&lt;=AD$4),IF(ISBLANK(Tbl_ResidentData[[#This Row],[Discharge '[mmm-yyyy']]]),TRUE,(Tbl_ResidentData[[#This Row],[Discharge '[mmm-yyyy']]]&gt;=AD$4)))))</f>
        <v>-</v>
      </c>
      <c r="AE89" s="121" t="str">
        <f ca="1">IF(AE$4&gt;NOW(),"-",IF(ISBLANK(Tbl_ResidentData[[#This Row],[Enrollment '[mmm-yyyy']]]),"-",AND((Tbl_ResidentData[[#This Row],[Enrollment '[mmm-yyyy']]]&lt;=AE$4),IF(ISBLANK(Tbl_ResidentData[[#This Row],[Discharge '[mmm-yyyy']]]),TRUE,(Tbl_ResidentData[[#This Row],[Discharge '[mmm-yyyy']]]&gt;=AE$4)))))</f>
        <v>-</v>
      </c>
      <c r="AF89" s="121" t="str">
        <f ca="1">IF(AF$4&gt;NOW(),"-",IF(ISBLANK(Tbl_ResidentData[[#This Row],[Enrollment '[mmm-yyyy']]]),"-",AND((Tbl_ResidentData[[#This Row],[Enrollment '[mmm-yyyy']]]&lt;=AF$4),IF(ISBLANK(Tbl_ResidentData[[#This Row],[Discharge '[mmm-yyyy']]]),TRUE,(Tbl_ResidentData[[#This Row],[Discharge '[mmm-yyyy']]]&gt;=AF$4)))))</f>
        <v>-</v>
      </c>
      <c r="AG89" s="121" t="str">
        <f ca="1">IF(AG$4&gt;NOW(),"-",IF(ISBLANK(Tbl_ResidentData[[#This Row],[Enrollment '[mmm-yyyy']]]),"-",AND((Tbl_ResidentData[[#This Row],[Enrollment '[mmm-yyyy']]]&lt;=AG$4),IF(ISBLANK(Tbl_ResidentData[[#This Row],[Discharge '[mmm-yyyy']]]),TRUE,(Tbl_ResidentData[[#This Row],[Discharge '[mmm-yyyy']]]&gt;=AG$4)))))</f>
        <v>-</v>
      </c>
      <c r="AH89" s="121" t="str">
        <f ca="1">IF(AH$4&gt;NOW(),"-",IF(ISBLANK(Tbl_ResidentData[[#This Row],[Enrollment '[mmm-yyyy']]]),"-",AND((Tbl_ResidentData[[#This Row],[Enrollment '[mmm-yyyy']]]&lt;=AH$4),IF(ISBLANK(Tbl_ResidentData[[#This Row],[Discharge '[mmm-yyyy']]]),TRUE,(Tbl_ResidentData[[#This Row],[Discharge '[mmm-yyyy']]]&gt;=AH$4)))))</f>
        <v>-</v>
      </c>
      <c r="AI89" s="121" t="str">
        <f ca="1">IF(AI$4&gt;NOW(),"-",IF(ISBLANK(Tbl_ResidentData[[#This Row],[Enrollment '[mmm-yyyy']]]),"-",AND((Tbl_ResidentData[[#This Row],[Enrollment '[mmm-yyyy']]]&lt;=AI$4),IF(ISBLANK(Tbl_ResidentData[[#This Row],[Discharge '[mmm-yyyy']]]),TRUE,(Tbl_ResidentData[[#This Row],[Discharge '[mmm-yyyy']]]&gt;=AI$4)))))</f>
        <v>-</v>
      </c>
      <c r="AJ89" s="121" t="str">
        <f ca="1">IF(AJ$4&gt;NOW(),"-",IF(ISBLANK(Tbl_ResidentData[[#This Row],[Enrollment '[mmm-yyyy']]]),"-",AND((Tbl_ResidentData[[#This Row],[Enrollment '[mmm-yyyy']]]&lt;=AJ$4),IF(ISBLANK(Tbl_ResidentData[[#This Row],[Discharge '[mmm-yyyy']]]),TRUE,(Tbl_ResidentData[[#This Row],[Discharge '[mmm-yyyy']]]&gt;=AJ$4)))))</f>
        <v>-</v>
      </c>
      <c r="AK89" s="121" t="str">
        <f ca="1">IF(AK$4&gt;NOW(),"-",IF(ISBLANK(Tbl_ResidentData[[#This Row],[Enrollment '[mmm-yyyy']]]),"-",AND((Tbl_ResidentData[[#This Row],[Enrollment '[mmm-yyyy']]]&lt;=AK$4),IF(ISBLANK(Tbl_ResidentData[[#This Row],[Discharge '[mmm-yyyy']]]),TRUE,(Tbl_ResidentData[[#This Row],[Discharge '[mmm-yyyy']]]&gt;=AK$4)))))</f>
        <v>-</v>
      </c>
      <c r="AL89" s="121" t="str">
        <f ca="1">IF(AL$4&gt;NOW(),"-",IF(ISBLANK(Tbl_ResidentData[[#This Row],[Enrollment '[mmm-yyyy']]]),"-",AND((Tbl_ResidentData[[#This Row],[Enrollment '[mmm-yyyy']]]&lt;=AL$4),IF(ISBLANK(Tbl_ResidentData[[#This Row],[Discharge '[mmm-yyyy']]]),TRUE,(Tbl_ResidentData[[#This Row],[Discharge '[mmm-yyyy']]]&gt;=AL$4)))))</f>
        <v>-</v>
      </c>
      <c r="AM89" s="121" t="str">
        <f ca="1">IF(AM$4&gt;NOW(),"-",IF(ISBLANK(Tbl_ResidentData[[#This Row],[Enrollment '[mmm-yyyy']]]),"-",AND((Tbl_ResidentData[[#This Row],[Enrollment '[mmm-yyyy']]]&lt;=AM$4),IF(ISBLANK(Tbl_ResidentData[[#This Row],[Discharge '[mmm-yyyy']]]),TRUE,(Tbl_ResidentData[[#This Row],[Discharge '[mmm-yyyy']]]&gt;=AM$4)))))</f>
        <v>-</v>
      </c>
      <c r="AN89" s="121" t="str">
        <f ca="1">IF(AN$4&gt;NOW(),"-",IF(ISBLANK(Tbl_ResidentData[[#This Row],[Enrollment '[mmm-yyyy']]]),"-",AND((Tbl_ResidentData[[#This Row],[Enrollment '[mmm-yyyy']]]&lt;=AN$4),IF(ISBLANK(Tbl_ResidentData[[#This Row],[Discharge '[mmm-yyyy']]]),TRUE,(Tbl_ResidentData[[#This Row],[Discharge '[mmm-yyyy']]]&gt;=AN$4)))))</f>
        <v>-</v>
      </c>
      <c r="AO89" s="121" t="str">
        <f ca="1">IF(AO$4&gt;NOW(),"-",IF(ISBLANK(Tbl_ResidentData[[#This Row],[Enrollment '[mmm-yyyy']]]),"-",AND((Tbl_ResidentData[[#This Row],[Enrollment '[mmm-yyyy']]]&lt;=AO$4),IF(ISBLANK(Tbl_ResidentData[[#This Row],[Discharge '[mmm-yyyy']]]),TRUE,(Tbl_ResidentData[[#This Row],[Discharge '[mmm-yyyy']]]&gt;=AO$4)))))</f>
        <v>-</v>
      </c>
      <c r="AP89" s="121" t="str">
        <f ca="1">IF(AP$4&gt;NOW(),"-",IF(ISBLANK(Tbl_ResidentData[[#This Row],[Enrollment '[mmm-yyyy']]]),"-",AND((Tbl_ResidentData[[#This Row],[Enrollment '[mmm-yyyy']]]&lt;=AP$4),IF(ISBLANK(Tbl_ResidentData[[#This Row],[Discharge '[mmm-yyyy']]]),TRUE,(Tbl_ResidentData[[#This Row],[Discharge '[mmm-yyyy']]]&gt;=AP$4)))))</f>
        <v>-</v>
      </c>
      <c r="AQ89" s="121" t="str">
        <f ca="1">IF(AQ$4&gt;NOW(),"-",IF(ISBLANK(Tbl_ResidentData[[#This Row],[Enrollment '[mmm-yyyy']]]),"-",AND((Tbl_ResidentData[[#This Row],[Enrollment '[mmm-yyyy']]]&lt;=AQ$4),IF(ISBLANK(Tbl_ResidentData[[#This Row],[Discharge '[mmm-yyyy']]]),TRUE,(Tbl_ResidentData[[#This Row],[Discharge '[mmm-yyyy']]]&gt;=AQ$4)))))</f>
        <v>-</v>
      </c>
      <c r="AR89" s="122" t="str">
        <f ca="1">IF(AR$4&gt;NOW(),"-",IF(ISBLANK(Tbl_ResidentData[[#This Row],[Enrollment '[mmm-yyyy']]]),"-",AND((Tbl_ResidentData[[#This Row],[Enrollment '[mmm-yyyy']]]&lt;=AR$4),IF(ISBLANK(Tbl_ResidentData[[#This Row],[Discharge '[mmm-yyyy']]]),TRUE,(Tbl_ResidentData[[#This Row],[Discharge '[mmm-yyyy']]]&gt;=AR$4)))))</f>
        <v>-</v>
      </c>
      <c r="AS8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9" s="120" t="b">
        <f ca="1">AND(Tbl_ResidentData[[#This Row],[PRN Med Started]]&lt;&gt;"",Tbl_ResidentData[[#This Row],[PRN Med Started]]&lt;=NOW(),Tbl_ResidentData[[#This Row],[PRN Med Started]]&lt;=AS$4,OR(Tbl_ResidentData[[#This Row],[PRN Med Discontinued]]&gt;AS$4,ISBLANK(Tbl_ResidentData[[#This Row],[PRN Med Discontinued]])))</f>
        <v>0</v>
      </c>
      <c r="BR89" s="121" t="b">
        <f ca="1">AND(Tbl_ResidentData[[#This Row],[PRN Med Started]]&lt;&gt;"",Tbl_ResidentData[[#This Row],[PRN Med Started]]&lt;=NOW(),Tbl_ResidentData[[#This Row],[PRN Med Started]]&lt;=AT$4,OR(Tbl_ResidentData[[#This Row],[PRN Med Discontinued]]&gt;AT$4,ISBLANK(Tbl_ResidentData[[#This Row],[PRN Med Discontinued]])))</f>
        <v>0</v>
      </c>
      <c r="BS89" s="121" t="b">
        <f ca="1">AND(Tbl_ResidentData[[#This Row],[PRN Med Started]]&lt;&gt;"",Tbl_ResidentData[[#This Row],[PRN Med Started]]&lt;=NOW(),Tbl_ResidentData[[#This Row],[PRN Med Started]]&lt;=AU$4,OR(Tbl_ResidentData[[#This Row],[PRN Med Discontinued]]&gt;AU$4,ISBLANK(Tbl_ResidentData[[#This Row],[PRN Med Discontinued]])))</f>
        <v>0</v>
      </c>
      <c r="BT89" s="121" t="b">
        <f ca="1">AND(Tbl_ResidentData[[#This Row],[PRN Med Started]]&lt;&gt;"",Tbl_ResidentData[[#This Row],[PRN Med Started]]&lt;=NOW(),Tbl_ResidentData[[#This Row],[PRN Med Started]]&lt;=AV$4,OR(Tbl_ResidentData[[#This Row],[PRN Med Discontinued]]&gt;AV$4,ISBLANK(Tbl_ResidentData[[#This Row],[PRN Med Discontinued]])))</f>
        <v>0</v>
      </c>
      <c r="BU89" s="121" t="b">
        <f ca="1">AND(Tbl_ResidentData[[#This Row],[PRN Med Started]]&lt;&gt;"",Tbl_ResidentData[[#This Row],[PRN Med Started]]&lt;=NOW(),Tbl_ResidentData[[#This Row],[PRN Med Started]]&lt;=AW$4,OR(Tbl_ResidentData[[#This Row],[PRN Med Discontinued]]&gt;AW$4,ISBLANK(Tbl_ResidentData[[#This Row],[PRN Med Discontinued]])))</f>
        <v>0</v>
      </c>
      <c r="BV89" s="121" t="b">
        <f ca="1">AND(Tbl_ResidentData[[#This Row],[PRN Med Started]]&lt;&gt;"",Tbl_ResidentData[[#This Row],[PRN Med Started]]&lt;=NOW(),Tbl_ResidentData[[#This Row],[PRN Med Started]]&lt;=AX$4,OR(Tbl_ResidentData[[#This Row],[PRN Med Discontinued]]&gt;AX$4,ISBLANK(Tbl_ResidentData[[#This Row],[PRN Med Discontinued]])))</f>
        <v>0</v>
      </c>
      <c r="BW89" s="121" t="b">
        <f ca="1">AND(Tbl_ResidentData[[#This Row],[PRN Med Started]]&lt;&gt;"",Tbl_ResidentData[[#This Row],[PRN Med Started]]&lt;=NOW(),Tbl_ResidentData[[#This Row],[PRN Med Started]]&lt;=AY$4,OR(Tbl_ResidentData[[#This Row],[PRN Med Discontinued]]&gt;AY$4,ISBLANK(Tbl_ResidentData[[#This Row],[PRN Med Discontinued]])))</f>
        <v>0</v>
      </c>
      <c r="BX89" s="121" t="b">
        <f ca="1">AND(Tbl_ResidentData[[#This Row],[PRN Med Started]]&lt;&gt;"",Tbl_ResidentData[[#This Row],[PRN Med Started]]&lt;=NOW(),Tbl_ResidentData[[#This Row],[PRN Med Started]]&lt;=AZ$4,OR(Tbl_ResidentData[[#This Row],[PRN Med Discontinued]]&gt;AZ$4,ISBLANK(Tbl_ResidentData[[#This Row],[PRN Med Discontinued]])))</f>
        <v>0</v>
      </c>
      <c r="BY89" s="121" t="b">
        <f ca="1">AND(Tbl_ResidentData[[#This Row],[PRN Med Started]]&lt;&gt;"",Tbl_ResidentData[[#This Row],[PRN Med Started]]&lt;=NOW(),Tbl_ResidentData[[#This Row],[PRN Med Started]]&lt;=BA$4,OR(Tbl_ResidentData[[#This Row],[PRN Med Discontinued]]&gt;BA$4,ISBLANK(Tbl_ResidentData[[#This Row],[PRN Med Discontinued]])))</f>
        <v>0</v>
      </c>
      <c r="BZ89" s="121" t="b">
        <f ca="1">AND(Tbl_ResidentData[[#This Row],[PRN Med Started]]&lt;&gt;"",Tbl_ResidentData[[#This Row],[PRN Med Started]]&lt;=NOW(),Tbl_ResidentData[[#This Row],[PRN Med Started]]&lt;=BB$4,OR(Tbl_ResidentData[[#This Row],[PRN Med Discontinued]]&gt;BB$4,ISBLANK(Tbl_ResidentData[[#This Row],[PRN Med Discontinued]])))</f>
        <v>0</v>
      </c>
      <c r="CA89" s="121" t="b">
        <f ca="1">AND(Tbl_ResidentData[[#This Row],[PRN Med Started]]&lt;&gt;"",Tbl_ResidentData[[#This Row],[PRN Med Started]]&lt;=NOW(),Tbl_ResidentData[[#This Row],[PRN Med Started]]&lt;=BC$4,OR(Tbl_ResidentData[[#This Row],[PRN Med Discontinued]]&gt;BC$4,ISBLANK(Tbl_ResidentData[[#This Row],[PRN Med Discontinued]])))</f>
        <v>0</v>
      </c>
      <c r="CB89" s="121" t="b">
        <f ca="1">AND(Tbl_ResidentData[[#This Row],[PRN Med Started]]&lt;&gt;"",Tbl_ResidentData[[#This Row],[PRN Med Started]]&lt;=NOW(),Tbl_ResidentData[[#This Row],[PRN Med Started]]&lt;=BD$4,OR(Tbl_ResidentData[[#This Row],[PRN Med Discontinued]]&gt;BD$4,ISBLANK(Tbl_ResidentData[[#This Row],[PRN Med Discontinued]])))</f>
        <v>0</v>
      </c>
      <c r="CC89" s="121" t="b">
        <f ca="1">AND(Tbl_ResidentData[[#This Row],[PRN Med Started]]&lt;&gt;"",Tbl_ResidentData[[#This Row],[PRN Med Started]]&lt;=NOW(),Tbl_ResidentData[[#This Row],[PRN Med Started]]&lt;=BE$4,OR(Tbl_ResidentData[[#This Row],[PRN Med Discontinued]]&gt;BE$4,ISBLANK(Tbl_ResidentData[[#This Row],[PRN Med Discontinued]])))</f>
        <v>0</v>
      </c>
      <c r="CD89" s="121" t="b">
        <f ca="1">AND(Tbl_ResidentData[[#This Row],[PRN Med Started]]&lt;&gt;"",Tbl_ResidentData[[#This Row],[PRN Med Started]]&lt;=NOW(),Tbl_ResidentData[[#This Row],[PRN Med Started]]&lt;=BF$4,OR(Tbl_ResidentData[[#This Row],[PRN Med Discontinued]]&gt;BF$4,ISBLANK(Tbl_ResidentData[[#This Row],[PRN Med Discontinued]])))</f>
        <v>0</v>
      </c>
      <c r="CE89" s="121" t="b">
        <f ca="1">AND(Tbl_ResidentData[[#This Row],[PRN Med Started]]&lt;&gt;"",Tbl_ResidentData[[#This Row],[PRN Med Started]]&lt;=NOW(),Tbl_ResidentData[[#This Row],[PRN Med Started]]&lt;=BG$4,OR(Tbl_ResidentData[[#This Row],[PRN Med Discontinued]]&gt;BG$4,ISBLANK(Tbl_ResidentData[[#This Row],[PRN Med Discontinued]])))</f>
        <v>0</v>
      </c>
      <c r="CF89" s="121" t="b">
        <f ca="1">AND(Tbl_ResidentData[[#This Row],[PRN Med Started]]&lt;&gt;"",Tbl_ResidentData[[#This Row],[PRN Med Started]]&lt;=NOW(),Tbl_ResidentData[[#This Row],[PRN Med Started]]&lt;=BH$4,OR(Tbl_ResidentData[[#This Row],[PRN Med Discontinued]]&gt;BH$4,ISBLANK(Tbl_ResidentData[[#This Row],[PRN Med Discontinued]])))</f>
        <v>0</v>
      </c>
      <c r="CG89" s="121" t="b">
        <f ca="1">AND(Tbl_ResidentData[[#This Row],[PRN Med Started]]&lt;&gt;"",Tbl_ResidentData[[#This Row],[PRN Med Started]]&lt;=NOW(),Tbl_ResidentData[[#This Row],[PRN Med Started]]&lt;=BI$4,OR(Tbl_ResidentData[[#This Row],[PRN Med Discontinued]]&gt;BI$4,ISBLANK(Tbl_ResidentData[[#This Row],[PRN Med Discontinued]])))</f>
        <v>0</v>
      </c>
      <c r="CH89" s="121" t="b">
        <f ca="1">AND(Tbl_ResidentData[[#This Row],[PRN Med Started]]&lt;&gt;"",Tbl_ResidentData[[#This Row],[PRN Med Started]]&lt;=NOW(),Tbl_ResidentData[[#This Row],[PRN Med Started]]&lt;=BJ$4,OR(Tbl_ResidentData[[#This Row],[PRN Med Discontinued]]&gt;BJ$4,ISBLANK(Tbl_ResidentData[[#This Row],[PRN Med Discontinued]])))</f>
        <v>0</v>
      </c>
      <c r="CI89" s="121" t="b">
        <f ca="1">AND(Tbl_ResidentData[[#This Row],[PRN Med Started]]&lt;&gt;"",Tbl_ResidentData[[#This Row],[PRN Med Started]]&lt;=NOW(),Tbl_ResidentData[[#This Row],[PRN Med Started]]&lt;=BK$4,OR(Tbl_ResidentData[[#This Row],[PRN Med Discontinued]]&gt;BK$4,ISBLANK(Tbl_ResidentData[[#This Row],[PRN Med Discontinued]])))</f>
        <v>0</v>
      </c>
      <c r="CJ89" s="121" t="b">
        <f ca="1">AND(Tbl_ResidentData[[#This Row],[PRN Med Started]]&lt;&gt;"",Tbl_ResidentData[[#This Row],[PRN Med Started]]&lt;=NOW(),Tbl_ResidentData[[#This Row],[PRN Med Started]]&lt;=BL$4,OR(Tbl_ResidentData[[#This Row],[PRN Med Discontinued]]&gt;BL$4,ISBLANK(Tbl_ResidentData[[#This Row],[PRN Med Discontinued]])))</f>
        <v>0</v>
      </c>
      <c r="CK89" s="121" t="b">
        <f ca="1">AND(Tbl_ResidentData[[#This Row],[PRN Med Started]]&lt;&gt;"",Tbl_ResidentData[[#This Row],[PRN Med Started]]&lt;=NOW(),Tbl_ResidentData[[#This Row],[PRN Med Started]]&lt;=BM$4,OR(Tbl_ResidentData[[#This Row],[PRN Med Discontinued]]&gt;BM$4,ISBLANK(Tbl_ResidentData[[#This Row],[PRN Med Discontinued]])))</f>
        <v>0</v>
      </c>
      <c r="CL89" s="121" t="b">
        <f ca="1">AND(Tbl_ResidentData[[#This Row],[PRN Med Started]]&lt;&gt;"",Tbl_ResidentData[[#This Row],[PRN Med Started]]&lt;=NOW(),Tbl_ResidentData[[#This Row],[PRN Med Started]]&lt;=BN$4,OR(Tbl_ResidentData[[#This Row],[PRN Med Discontinued]]&gt;BN$4,ISBLANK(Tbl_ResidentData[[#This Row],[PRN Med Discontinued]])))</f>
        <v>0</v>
      </c>
      <c r="CM89" s="121" t="b">
        <f ca="1">AND(Tbl_ResidentData[[#This Row],[PRN Med Started]]&lt;&gt;"",Tbl_ResidentData[[#This Row],[PRN Med Started]]&lt;=NOW(),Tbl_ResidentData[[#This Row],[PRN Med Started]]&lt;=BO$4,OR(Tbl_ResidentData[[#This Row],[PRN Med Discontinued]]&gt;BO$4,ISBLANK(Tbl_ResidentData[[#This Row],[PRN Med Discontinued]])))</f>
        <v>0</v>
      </c>
      <c r="CN89" s="122" t="b">
        <f ca="1">AND(Tbl_ResidentData[[#This Row],[PRN Med Started]]&lt;&gt;"",Tbl_ResidentData[[#This Row],[PRN Med Started]]&lt;=NOW(),Tbl_ResidentData[[#This Row],[PRN Med Started]]&lt;=BP$4,OR(Tbl_ResidentData[[#This Row],[PRN Med Discontinued]]&gt;BP$4,ISBLANK(Tbl_ResidentData[[#This Row],[PRN Med Discontinued]])))</f>
        <v>0</v>
      </c>
      <c r="CO89" s="120">
        <f ca="1">IF(OR(Tbl_ResidentData[[#This Row],[S1]]=TRUE,Tbl_ResidentData[[#This Row],[P1]]=TRUE),1,0)</f>
        <v>0</v>
      </c>
      <c r="CP89" s="121">
        <f ca="1">IF(OR(Tbl_ResidentData[[#This Row],[S2]]=TRUE,Tbl_ResidentData[[#This Row],[P2]]=TRUE),1,0)</f>
        <v>0</v>
      </c>
      <c r="CQ89" s="121">
        <f ca="1">IF(OR(Tbl_ResidentData[[#This Row],[S3]]=TRUE,Tbl_ResidentData[[#This Row],[P3]]=TRUE),1,0)</f>
        <v>0</v>
      </c>
      <c r="CR89" s="120">
        <f ca="1">IF(OR(Tbl_ResidentData[[#This Row],[S4]]=TRUE,Tbl_ResidentData[[#This Row],[P4]]=TRUE),1,0)</f>
        <v>0</v>
      </c>
      <c r="CS89" s="120">
        <f ca="1">IF(OR(Tbl_ResidentData[[#This Row],[S5]]=TRUE,Tbl_ResidentData[[#This Row],[P5]]=TRUE),1,0)</f>
        <v>0</v>
      </c>
      <c r="CT89" s="120">
        <f ca="1">IF(OR(Tbl_ResidentData[[#This Row],[S6]]=TRUE,Tbl_ResidentData[[#This Row],[P6]]=TRUE),1,0)</f>
        <v>0</v>
      </c>
      <c r="CU89" s="120">
        <f ca="1">IF(OR(Tbl_ResidentData[[#This Row],[S7]]=TRUE,Tbl_ResidentData[[#This Row],[P7]]=TRUE),1,0)</f>
        <v>0</v>
      </c>
      <c r="CV89" s="120">
        <f ca="1">IF(OR(Tbl_ResidentData[[#This Row],[S8]]=TRUE,Tbl_ResidentData[[#This Row],[P8]]=TRUE),1,0)</f>
        <v>0</v>
      </c>
      <c r="CW89" s="120">
        <f ca="1">IF(OR(Tbl_ResidentData[[#This Row],[S9]]=TRUE,Tbl_ResidentData[[#This Row],[P9]]=TRUE),1,0)</f>
        <v>0</v>
      </c>
      <c r="CX89" s="120">
        <f ca="1">IF(OR(Tbl_ResidentData[[#This Row],[S10]]=TRUE,Tbl_ResidentData[[#This Row],[P10]]=TRUE),1,0)</f>
        <v>0</v>
      </c>
      <c r="CY89" s="120">
        <f ca="1">IF(OR(Tbl_ResidentData[[#This Row],[S11]]=TRUE,Tbl_ResidentData[[#This Row],[P11]]=TRUE),1,0)</f>
        <v>0</v>
      </c>
      <c r="CZ89" s="120">
        <f ca="1">IF(OR(Tbl_ResidentData[[#This Row],[S12]]=TRUE,Tbl_ResidentData[[#This Row],[P12]]=TRUE),1,0)</f>
        <v>0</v>
      </c>
      <c r="DA89" s="120">
        <f ca="1">IF(OR(Tbl_ResidentData[[#This Row],[S13]]=TRUE,Tbl_ResidentData[[#This Row],[P13]]=TRUE),1,0)</f>
        <v>0</v>
      </c>
      <c r="DB89" s="120">
        <f ca="1">IF(OR(Tbl_ResidentData[[#This Row],[S14]]=TRUE,Tbl_ResidentData[[#This Row],[P14]]=TRUE),1,0)</f>
        <v>0</v>
      </c>
      <c r="DC89" s="120">
        <f ca="1">IF(OR(Tbl_ResidentData[[#This Row],[S15]]=TRUE,Tbl_ResidentData[[#This Row],[P15]]=TRUE),1,0)</f>
        <v>0</v>
      </c>
      <c r="DD89" s="120">
        <f ca="1">IF(OR(Tbl_ResidentData[[#This Row],[S16]]=TRUE,Tbl_ResidentData[[#This Row],[P16]]=TRUE),1,0)</f>
        <v>0</v>
      </c>
      <c r="DE89" s="120">
        <f ca="1">IF(OR(Tbl_ResidentData[[#This Row],[S17]]=TRUE,Tbl_ResidentData[[#This Row],[P17]]=TRUE),1,0)</f>
        <v>0</v>
      </c>
      <c r="DF89" s="120">
        <f ca="1">IF(OR(Tbl_ResidentData[[#This Row],[S18]]=TRUE,Tbl_ResidentData[[#This Row],[P18]]=TRUE),1,0)</f>
        <v>0</v>
      </c>
      <c r="DG89" s="120">
        <f ca="1">IF(OR(Tbl_ResidentData[[#This Row],[S19]]=TRUE,Tbl_ResidentData[[#This Row],[P19]]=TRUE),1,0)</f>
        <v>0</v>
      </c>
      <c r="DH89" s="120">
        <f ca="1">IF(OR(Tbl_ResidentData[[#This Row],[S20]]=TRUE,Tbl_ResidentData[[#This Row],[P20]]=TRUE),1,0)</f>
        <v>0</v>
      </c>
      <c r="DI89" s="120">
        <f ca="1">IF(OR(Tbl_ResidentData[[#This Row],[S21]]=TRUE,Tbl_ResidentData[[#This Row],[P21]]=TRUE),1,0)</f>
        <v>0</v>
      </c>
      <c r="DJ89" s="120">
        <f ca="1">IF(OR(Tbl_ResidentData[[#This Row],[S22]]=TRUE,Tbl_ResidentData[[#This Row],[P22]]=TRUE),1,0)</f>
        <v>0</v>
      </c>
      <c r="DK89" s="120">
        <f ca="1">IF(OR(Tbl_ResidentData[[#This Row],[S23]]=TRUE,Tbl_ResidentData[[#This Row],[P23]]=TRUE),1,0)</f>
        <v>0</v>
      </c>
      <c r="DL89" s="120">
        <f ca="1">IF(OR(Tbl_ResidentData[[#This Row],[S24]]=TRUE,Tbl_ResidentData[[#This Row],[P24]]=TRUE),1,0)</f>
        <v>0</v>
      </c>
      <c r="DM89" s="123" t="str">
        <f ca="1">IFERROR(INDEX($CO$4:$DL$4,MATCH(TRUE,INDEX((Tbl_ResidentData[[#This Row],[Over1]:[Over24]]&lt;&gt;0),0),0)),"")</f>
        <v/>
      </c>
      <c r="DN89" s="133" t="str">
        <f>IFERROR(INDEX(Tbl_PDSAData[Last DRT],MATCH(Tbl_ResidentData[Resident Name '[last, first']],Tbl_PDSAData[Resident Name (last, first)],0)),"")</f>
        <v/>
      </c>
      <c r="DO89" s="222" t="str">
        <f>IFERROR(INDEX(Tbl_PDSAData[Last MR],MATCH(Tbl_ResidentData[Resident Name '[last, first']],Tbl_PDSAData[Resident Name (last, first)],0)),"")</f>
        <v/>
      </c>
    </row>
    <row r="90" spans="1:119" x14ac:dyDescent="0.25">
      <c r="A90" s="179"/>
      <c r="B90" s="180"/>
      <c r="C90" s="180"/>
      <c r="D90" s="218"/>
      <c r="E90" s="179"/>
      <c r="F90" s="181"/>
      <c r="G90" s="181"/>
      <c r="H90" s="182"/>
      <c r="I90" s="185"/>
      <c r="J90" s="387"/>
      <c r="K90" s="178"/>
      <c r="L90" s="388"/>
      <c r="M90" s="185"/>
      <c r="N90" s="386"/>
      <c r="O90" s="178"/>
      <c r="P90" s="388"/>
      <c r="Q90" s="394"/>
      <c r="R90" s="388"/>
      <c r="S90" s="131" t="str">
        <f>IF(ISBLANK(Tbl_ResidentData[[#This Row],[Discharge '[mmm-yyyy']]]),IF(ISBLANK(Tbl_ResidentData[[#This Row],[Enrollment '[mmm-yyyy']]]),"","In Care Home"),"Discharged")</f>
        <v/>
      </c>
      <c r="T90" s="119" t="str">
        <f>IF(ISBLANK(Tbl_ResidentData[[#This Row],[Diagnosis (RAI)]]),IF(ISBLANK(Tbl_ResidentData[[#This Row],[Resident Name '[last, first']]]),"",0),IF(Tbl_ResidentData[[#This Row],[Diagnosis (RAI)]]="Other (see clinical notes)",0,1))</f>
        <v/>
      </c>
      <c r="U90" s="120" t="str">
        <f ca="1">IF(U$4&gt;NOW(),"-",IF(ISBLANK(Tbl_ResidentData[[#This Row],[Enrollment '[mmm-yyyy']]]),"-",AND((Tbl_ResidentData[[#This Row],[Enrollment '[mmm-yyyy']]]&lt;=U$4),IF(ISBLANK(Tbl_ResidentData[[#This Row],[Discharge '[mmm-yyyy']]]),TRUE,(Tbl_ResidentData[[#This Row],[Discharge '[mmm-yyyy']]]&gt;=U$4)))))</f>
        <v>-</v>
      </c>
      <c r="V90" s="121" t="str">
        <f ca="1">IF(V$4&gt;NOW(),"-",IF(ISBLANK(Tbl_ResidentData[[#This Row],[Enrollment '[mmm-yyyy']]]),"-",AND((Tbl_ResidentData[[#This Row],[Enrollment '[mmm-yyyy']]]&lt;=V$4),IF(ISBLANK(Tbl_ResidentData[[#This Row],[Discharge '[mmm-yyyy']]]),TRUE,(Tbl_ResidentData[[#This Row],[Discharge '[mmm-yyyy']]]&gt;=V$4)))))</f>
        <v>-</v>
      </c>
      <c r="W90" s="121" t="str">
        <f ca="1">IF(W$4&gt;NOW(),"-",IF(ISBLANK(Tbl_ResidentData[[#This Row],[Enrollment '[mmm-yyyy']]]),"-",AND((Tbl_ResidentData[[#This Row],[Enrollment '[mmm-yyyy']]]&lt;=W$4),IF(ISBLANK(Tbl_ResidentData[[#This Row],[Discharge '[mmm-yyyy']]]),TRUE,(Tbl_ResidentData[[#This Row],[Discharge '[mmm-yyyy']]]&gt;=W$4)))))</f>
        <v>-</v>
      </c>
      <c r="X90" s="121" t="str">
        <f ca="1">IF(X$4&gt;NOW(),"-",IF(ISBLANK(Tbl_ResidentData[[#This Row],[Enrollment '[mmm-yyyy']]]),"-",AND((Tbl_ResidentData[[#This Row],[Enrollment '[mmm-yyyy']]]&lt;=X$4),IF(ISBLANK(Tbl_ResidentData[[#This Row],[Discharge '[mmm-yyyy']]]),TRUE,(Tbl_ResidentData[[#This Row],[Discharge '[mmm-yyyy']]]&gt;=X$4)))))</f>
        <v>-</v>
      </c>
      <c r="Y90" s="121" t="str">
        <f ca="1">IF(Y$4&gt;NOW(),"-",IF(ISBLANK(Tbl_ResidentData[[#This Row],[Enrollment '[mmm-yyyy']]]),"-",AND((Tbl_ResidentData[[#This Row],[Enrollment '[mmm-yyyy']]]&lt;=Y$4),IF(ISBLANK(Tbl_ResidentData[[#This Row],[Discharge '[mmm-yyyy']]]),TRUE,(Tbl_ResidentData[[#This Row],[Discharge '[mmm-yyyy']]]&gt;=Y$4)))))</f>
        <v>-</v>
      </c>
      <c r="Z90" s="121" t="str">
        <f ca="1">IF(Z$4&gt;NOW(),"-",IF(ISBLANK(Tbl_ResidentData[[#This Row],[Enrollment '[mmm-yyyy']]]),"-",AND((Tbl_ResidentData[[#This Row],[Enrollment '[mmm-yyyy']]]&lt;=Z$4),IF(ISBLANK(Tbl_ResidentData[[#This Row],[Discharge '[mmm-yyyy']]]),TRUE,(Tbl_ResidentData[[#This Row],[Discharge '[mmm-yyyy']]]&gt;=Z$4)))))</f>
        <v>-</v>
      </c>
      <c r="AA90" s="121" t="str">
        <f ca="1">IF(AA$4&gt;NOW(),"-",IF(ISBLANK(Tbl_ResidentData[[#This Row],[Enrollment '[mmm-yyyy']]]),"-",AND((Tbl_ResidentData[[#This Row],[Enrollment '[mmm-yyyy']]]&lt;=AA$4),IF(ISBLANK(Tbl_ResidentData[[#This Row],[Discharge '[mmm-yyyy']]]),TRUE,(Tbl_ResidentData[[#This Row],[Discharge '[mmm-yyyy']]]&gt;=AA$4)))))</f>
        <v>-</v>
      </c>
      <c r="AB90" s="121" t="str">
        <f ca="1">IF(AB$4&gt;NOW(),"-",IF(ISBLANK(Tbl_ResidentData[[#This Row],[Enrollment '[mmm-yyyy']]]),"-",AND((Tbl_ResidentData[[#This Row],[Enrollment '[mmm-yyyy']]]&lt;=AB$4),IF(ISBLANK(Tbl_ResidentData[[#This Row],[Discharge '[mmm-yyyy']]]),TRUE,(Tbl_ResidentData[[#This Row],[Discharge '[mmm-yyyy']]]&gt;=AB$4)))))</f>
        <v>-</v>
      </c>
      <c r="AC90" s="121" t="str">
        <f ca="1">IF(AC$4&gt;NOW(),"-",IF(ISBLANK(Tbl_ResidentData[[#This Row],[Enrollment '[mmm-yyyy']]]),"-",AND((Tbl_ResidentData[[#This Row],[Enrollment '[mmm-yyyy']]]&lt;=AC$4),IF(ISBLANK(Tbl_ResidentData[[#This Row],[Discharge '[mmm-yyyy']]]),TRUE,(Tbl_ResidentData[[#This Row],[Discharge '[mmm-yyyy']]]&gt;=AC$4)))))</f>
        <v>-</v>
      </c>
      <c r="AD90" s="121" t="str">
        <f ca="1">IF(AD$4&gt;NOW(),"-",IF(ISBLANK(Tbl_ResidentData[[#This Row],[Enrollment '[mmm-yyyy']]]),"-",AND((Tbl_ResidentData[[#This Row],[Enrollment '[mmm-yyyy']]]&lt;=AD$4),IF(ISBLANK(Tbl_ResidentData[[#This Row],[Discharge '[mmm-yyyy']]]),TRUE,(Tbl_ResidentData[[#This Row],[Discharge '[mmm-yyyy']]]&gt;=AD$4)))))</f>
        <v>-</v>
      </c>
      <c r="AE90" s="121" t="str">
        <f ca="1">IF(AE$4&gt;NOW(),"-",IF(ISBLANK(Tbl_ResidentData[[#This Row],[Enrollment '[mmm-yyyy']]]),"-",AND((Tbl_ResidentData[[#This Row],[Enrollment '[mmm-yyyy']]]&lt;=AE$4),IF(ISBLANK(Tbl_ResidentData[[#This Row],[Discharge '[mmm-yyyy']]]),TRUE,(Tbl_ResidentData[[#This Row],[Discharge '[mmm-yyyy']]]&gt;=AE$4)))))</f>
        <v>-</v>
      </c>
      <c r="AF90" s="121" t="str">
        <f ca="1">IF(AF$4&gt;NOW(),"-",IF(ISBLANK(Tbl_ResidentData[[#This Row],[Enrollment '[mmm-yyyy']]]),"-",AND((Tbl_ResidentData[[#This Row],[Enrollment '[mmm-yyyy']]]&lt;=AF$4),IF(ISBLANK(Tbl_ResidentData[[#This Row],[Discharge '[mmm-yyyy']]]),TRUE,(Tbl_ResidentData[[#This Row],[Discharge '[mmm-yyyy']]]&gt;=AF$4)))))</f>
        <v>-</v>
      </c>
      <c r="AG90" s="121" t="str">
        <f ca="1">IF(AG$4&gt;NOW(),"-",IF(ISBLANK(Tbl_ResidentData[[#This Row],[Enrollment '[mmm-yyyy']]]),"-",AND((Tbl_ResidentData[[#This Row],[Enrollment '[mmm-yyyy']]]&lt;=AG$4),IF(ISBLANK(Tbl_ResidentData[[#This Row],[Discharge '[mmm-yyyy']]]),TRUE,(Tbl_ResidentData[[#This Row],[Discharge '[mmm-yyyy']]]&gt;=AG$4)))))</f>
        <v>-</v>
      </c>
      <c r="AH90" s="121" t="str">
        <f ca="1">IF(AH$4&gt;NOW(),"-",IF(ISBLANK(Tbl_ResidentData[[#This Row],[Enrollment '[mmm-yyyy']]]),"-",AND((Tbl_ResidentData[[#This Row],[Enrollment '[mmm-yyyy']]]&lt;=AH$4),IF(ISBLANK(Tbl_ResidentData[[#This Row],[Discharge '[mmm-yyyy']]]),TRUE,(Tbl_ResidentData[[#This Row],[Discharge '[mmm-yyyy']]]&gt;=AH$4)))))</f>
        <v>-</v>
      </c>
      <c r="AI90" s="121" t="str">
        <f ca="1">IF(AI$4&gt;NOW(),"-",IF(ISBLANK(Tbl_ResidentData[[#This Row],[Enrollment '[mmm-yyyy']]]),"-",AND((Tbl_ResidentData[[#This Row],[Enrollment '[mmm-yyyy']]]&lt;=AI$4),IF(ISBLANK(Tbl_ResidentData[[#This Row],[Discharge '[mmm-yyyy']]]),TRUE,(Tbl_ResidentData[[#This Row],[Discharge '[mmm-yyyy']]]&gt;=AI$4)))))</f>
        <v>-</v>
      </c>
      <c r="AJ90" s="121" t="str">
        <f ca="1">IF(AJ$4&gt;NOW(),"-",IF(ISBLANK(Tbl_ResidentData[[#This Row],[Enrollment '[mmm-yyyy']]]),"-",AND((Tbl_ResidentData[[#This Row],[Enrollment '[mmm-yyyy']]]&lt;=AJ$4),IF(ISBLANK(Tbl_ResidentData[[#This Row],[Discharge '[mmm-yyyy']]]),TRUE,(Tbl_ResidentData[[#This Row],[Discharge '[mmm-yyyy']]]&gt;=AJ$4)))))</f>
        <v>-</v>
      </c>
      <c r="AK90" s="121" t="str">
        <f ca="1">IF(AK$4&gt;NOW(),"-",IF(ISBLANK(Tbl_ResidentData[[#This Row],[Enrollment '[mmm-yyyy']]]),"-",AND((Tbl_ResidentData[[#This Row],[Enrollment '[mmm-yyyy']]]&lt;=AK$4),IF(ISBLANK(Tbl_ResidentData[[#This Row],[Discharge '[mmm-yyyy']]]),TRUE,(Tbl_ResidentData[[#This Row],[Discharge '[mmm-yyyy']]]&gt;=AK$4)))))</f>
        <v>-</v>
      </c>
      <c r="AL90" s="121" t="str">
        <f ca="1">IF(AL$4&gt;NOW(),"-",IF(ISBLANK(Tbl_ResidentData[[#This Row],[Enrollment '[mmm-yyyy']]]),"-",AND((Tbl_ResidentData[[#This Row],[Enrollment '[mmm-yyyy']]]&lt;=AL$4),IF(ISBLANK(Tbl_ResidentData[[#This Row],[Discharge '[mmm-yyyy']]]),TRUE,(Tbl_ResidentData[[#This Row],[Discharge '[mmm-yyyy']]]&gt;=AL$4)))))</f>
        <v>-</v>
      </c>
      <c r="AM90" s="121" t="str">
        <f ca="1">IF(AM$4&gt;NOW(),"-",IF(ISBLANK(Tbl_ResidentData[[#This Row],[Enrollment '[mmm-yyyy']]]),"-",AND((Tbl_ResidentData[[#This Row],[Enrollment '[mmm-yyyy']]]&lt;=AM$4),IF(ISBLANK(Tbl_ResidentData[[#This Row],[Discharge '[mmm-yyyy']]]),TRUE,(Tbl_ResidentData[[#This Row],[Discharge '[mmm-yyyy']]]&gt;=AM$4)))))</f>
        <v>-</v>
      </c>
      <c r="AN90" s="121" t="str">
        <f ca="1">IF(AN$4&gt;NOW(),"-",IF(ISBLANK(Tbl_ResidentData[[#This Row],[Enrollment '[mmm-yyyy']]]),"-",AND((Tbl_ResidentData[[#This Row],[Enrollment '[mmm-yyyy']]]&lt;=AN$4),IF(ISBLANK(Tbl_ResidentData[[#This Row],[Discharge '[mmm-yyyy']]]),TRUE,(Tbl_ResidentData[[#This Row],[Discharge '[mmm-yyyy']]]&gt;=AN$4)))))</f>
        <v>-</v>
      </c>
      <c r="AO90" s="121" t="str">
        <f ca="1">IF(AO$4&gt;NOW(),"-",IF(ISBLANK(Tbl_ResidentData[[#This Row],[Enrollment '[mmm-yyyy']]]),"-",AND((Tbl_ResidentData[[#This Row],[Enrollment '[mmm-yyyy']]]&lt;=AO$4),IF(ISBLANK(Tbl_ResidentData[[#This Row],[Discharge '[mmm-yyyy']]]),TRUE,(Tbl_ResidentData[[#This Row],[Discharge '[mmm-yyyy']]]&gt;=AO$4)))))</f>
        <v>-</v>
      </c>
      <c r="AP90" s="121" t="str">
        <f ca="1">IF(AP$4&gt;NOW(),"-",IF(ISBLANK(Tbl_ResidentData[[#This Row],[Enrollment '[mmm-yyyy']]]),"-",AND((Tbl_ResidentData[[#This Row],[Enrollment '[mmm-yyyy']]]&lt;=AP$4),IF(ISBLANK(Tbl_ResidentData[[#This Row],[Discharge '[mmm-yyyy']]]),TRUE,(Tbl_ResidentData[[#This Row],[Discharge '[mmm-yyyy']]]&gt;=AP$4)))))</f>
        <v>-</v>
      </c>
      <c r="AQ90" s="121" t="str">
        <f ca="1">IF(AQ$4&gt;NOW(),"-",IF(ISBLANK(Tbl_ResidentData[[#This Row],[Enrollment '[mmm-yyyy']]]),"-",AND((Tbl_ResidentData[[#This Row],[Enrollment '[mmm-yyyy']]]&lt;=AQ$4),IF(ISBLANK(Tbl_ResidentData[[#This Row],[Discharge '[mmm-yyyy']]]),TRUE,(Tbl_ResidentData[[#This Row],[Discharge '[mmm-yyyy']]]&gt;=AQ$4)))))</f>
        <v>-</v>
      </c>
      <c r="AR90" s="122" t="str">
        <f ca="1">IF(AR$4&gt;NOW(),"-",IF(ISBLANK(Tbl_ResidentData[[#This Row],[Enrollment '[mmm-yyyy']]]),"-",AND((Tbl_ResidentData[[#This Row],[Enrollment '[mmm-yyyy']]]&lt;=AR$4),IF(ISBLANK(Tbl_ResidentData[[#This Row],[Discharge '[mmm-yyyy']]]),TRUE,(Tbl_ResidentData[[#This Row],[Discharge '[mmm-yyyy']]]&gt;=AR$4)))))</f>
        <v>-</v>
      </c>
      <c r="AS9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0" s="120" t="b">
        <f ca="1">AND(Tbl_ResidentData[[#This Row],[PRN Med Started]]&lt;&gt;"",Tbl_ResidentData[[#This Row],[PRN Med Started]]&lt;=NOW(),Tbl_ResidentData[[#This Row],[PRN Med Started]]&lt;=AS$4,OR(Tbl_ResidentData[[#This Row],[PRN Med Discontinued]]&gt;AS$4,ISBLANK(Tbl_ResidentData[[#This Row],[PRN Med Discontinued]])))</f>
        <v>0</v>
      </c>
      <c r="BR90" s="121" t="b">
        <f ca="1">AND(Tbl_ResidentData[[#This Row],[PRN Med Started]]&lt;&gt;"",Tbl_ResidentData[[#This Row],[PRN Med Started]]&lt;=NOW(),Tbl_ResidentData[[#This Row],[PRN Med Started]]&lt;=AT$4,OR(Tbl_ResidentData[[#This Row],[PRN Med Discontinued]]&gt;AT$4,ISBLANK(Tbl_ResidentData[[#This Row],[PRN Med Discontinued]])))</f>
        <v>0</v>
      </c>
      <c r="BS90" s="121" t="b">
        <f ca="1">AND(Tbl_ResidentData[[#This Row],[PRN Med Started]]&lt;&gt;"",Tbl_ResidentData[[#This Row],[PRN Med Started]]&lt;=NOW(),Tbl_ResidentData[[#This Row],[PRN Med Started]]&lt;=AU$4,OR(Tbl_ResidentData[[#This Row],[PRN Med Discontinued]]&gt;AU$4,ISBLANK(Tbl_ResidentData[[#This Row],[PRN Med Discontinued]])))</f>
        <v>0</v>
      </c>
      <c r="BT90" s="121" t="b">
        <f ca="1">AND(Tbl_ResidentData[[#This Row],[PRN Med Started]]&lt;&gt;"",Tbl_ResidentData[[#This Row],[PRN Med Started]]&lt;=NOW(),Tbl_ResidentData[[#This Row],[PRN Med Started]]&lt;=AV$4,OR(Tbl_ResidentData[[#This Row],[PRN Med Discontinued]]&gt;AV$4,ISBLANK(Tbl_ResidentData[[#This Row],[PRN Med Discontinued]])))</f>
        <v>0</v>
      </c>
      <c r="BU90" s="121" t="b">
        <f ca="1">AND(Tbl_ResidentData[[#This Row],[PRN Med Started]]&lt;&gt;"",Tbl_ResidentData[[#This Row],[PRN Med Started]]&lt;=NOW(),Tbl_ResidentData[[#This Row],[PRN Med Started]]&lt;=AW$4,OR(Tbl_ResidentData[[#This Row],[PRN Med Discontinued]]&gt;AW$4,ISBLANK(Tbl_ResidentData[[#This Row],[PRN Med Discontinued]])))</f>
        <v>0</v>
      </c>
      <c r="BV90" s="121" t="b">
        <f ca="1">AND(Tbl_ResidentData[[#This Row],[PRN Med Started]]&lt;&gt;"",Tbl_ResidentData[[#This Row],[PRN Med Started]]&lt;=NOW(),Tbl_ResidentData[[#This Row],[PRN Med Started]]&lt;=AX$4,OR(Tbl_ResidentData[[#This Row],[PRN Med Discontinued]]&gt;AX$4,ISBLANK(Tbl_ResidentData[[#This Row],[PRN Med Discontinued]])))</f>
        <v>0</v>
      </c>
      <c r="BW90" s="121" t="b">
        <f ca="1">AND(Tbl_ResidentData[[#This Row],[PRN Med Started]]&lt;&gt;"",Tbl_ResidentData[[#This Row],[PRN Med Started]]&lt;=NOW(),Tbl_ResidentData[[#This Row],[PRN Med Started]]&lt;=AY$4,OR(Tbl_ResidentData[[#This Row],[PRN Med Discontinued]]&gt;AY$4,ISBLANK(Tbl_ResidentData[[#This Row],[PRN Med Discontinued]])))</f>
        <v>0</v>
      </c>
      <c r="BX90" s="121" t="b">
        <f ca="1">AND(Tbl_ResidentData[[#This Row],[PRN Med Started]]&lt;&gt;"",Tbl_ResidentData[[#This Row],[PRN Med Started]]&lt;=NOW(),Tbl_ResidentData[[#This Row],[PRN Med Started]]&lt;=AZ$4,OR(Tbl_ResidentData[[#This Row],[PRN Med Discontinued]]&gt;AZ$4,ISBLANK(Tbl_ResidentData[[#This Row],[PRN Med Discontinued]])))</f>
        <v>0</v>
      </c>
      <c r="BY90" s="121" t="b">
        <f ca="1">AND(Tbl_ResidentData[[#This Row],[PRN Med Started]]&lt;&gt;"",Tbl_ResidentData[[#This Row],[PRN Med Started]]&lt;=NOW(),Tbl_ResidentData[[#This Row],[PRN Med Started]]&lt;=BA$4,OR(Tbl_ResidentData[[#This Row],[PRN Med Discontinued]]&gt;BA$4,ISBLANK(Tbl_ResidentData[[#This Row],[PRN Med Discontinued]])))</f>
        <v>0</v>
      </c>
      <c r="BZ90" s="121" t="b">
        <f ca="1">AND(Tbl_ResidentData[[#This Row],[PRN Med Started]]&lt;&gt;"",Tbl_ResidentData[[#This Row],[PRN Med Started]]&lt;=NOW(),Tbl_ResidentData[[#This Row],[PRN Med Started]]&lt;=BB$4,OR(Tbl_ResidentData[[#This Row],[PRN Med Discontinued]]&gt;BB$4,ISBLANK(Tbl_ResidentData[[#This Row],[PRN Med Discontinued]])))</f>
        <v>0</v>
      </c>
      <c r="CA90" s="121" t="b">
        <f ca="1">AND(Tbl_ResidentData[[#This Row],[PRN Med Started]]&lt;&gt;"",Tbl_ResidentData[[#This Row],[PRN Med Started]]&lt;=NOW(),Tbl_ResidentData[[#This Row],[PRN Med Started]]&lt;=BC$4,OR(Tbl_ResidentData[[#This Row],[PRN Med Discontinued]]&gt;BC$4,ISBLANK(Tbl_ResidentData[[#This Row],[PRN Med Discontinued]])))</f>
        <v>0</v>
      </c>
      <c r="CB90" s="121" t="b">
        <f ca="1">AND(Tbl_ResidentData[[#This Row],[PRN Med Started]]&lt;&gt;"",Tbl_ResidentData[[#This Row],[PRN Med Started]]&lt;=NOW(),Tbl_ResidentData[[#This Row],[PRN Med Started]]&lt;=BD$4,OR(Tbl_ResidentData[[#This Row],[PRN Med Discontinued]]&gt;BD$4,ISBLANK(Tbl_ResidentData[[#This Row],[PRN Med Discontinued]])))</f>
        <v>0</v>
      </c>
      <c r="CC90" s="121" t="b">
        <f ca="1">AND(Tbl_ResidentData[[#This Row],[PRN Med Started]]&lt;&gt;"",Tbl_ResidentData[[#This Row],[PRN Med Started]]&lt;=NOW(),Tbl_ResidentData[[#This Row],[PRN Med Started]]&lt;=BE$4,OR(Tbl_ResidentData[[#This Row],[PRN Med Discontinued]]&gt;BE$4,ISBLANK(Tbl_ResidentData[[#This Row],[PRN Med Discontinued]])))</f>
        <v>0</v>
      </c>
      <c r="CD90" s="121" t="b">
        <f ca="1">AND(Tbl_ResidentData[[#This Row],[PRN Med Started]]&lt;&gt;"",Tbl_ResidentData[[#This Row],[PRN Med Started]]&lt;=NOW(),Tbl_ResidentData[[#This Row],[PRN Med Started]]&lt;=BF$4,OR(Tbl_ResidentData[[#This Row],[PRN Med Discontinued]]&gt;BF$4,ISBLANK(Tbl_ResidentData[[#This Row],[PRN Med Discontinued]])))</f>
        <v>0</v>
      </c>
      <c r="CE90" s="121" t="b">
        <f ca="1">AND(Tbl_ResidentData[[#This Row],[PRN Med Started]]&lt;&gt;"",Tbl_ResidentData[[#This Row],[PRN Med Started]]&lt;=NOW(),Tbl_ResidentData[[#This Row],[PRN Med Started]]&lt;=BG$4,OR(Tbl_ResidentData[[#This Row],[PRN Med Discontinued]]&gt;BG$4,ISBLANK(Tbl_ResidentData[[#This Row],[PRN Med Discontinued]])))</f>
        <v>0</v>
      </c>
      <c r="CF90" s="121" t="b">
        <f ca="1">AND(Tbl_ResidentData[[#This Row],[PRN Med Started]]&lt;&gt;"",Tbl_ResidentData[[#This Row],[PRN Med Started]]&lt;=NOW(),Tbl_ResidentData[[#This Row],[PRN Med Started]]&lt;=BH$4,OR(Tbl_ResidentData[[#This Row],[PRN Med Discontinued]]&gt;BH$4,ISBLANK(Tbl_ResidentData[[#This Row],[PRN Med Discontinued]])))</f>
        <v>0</v>
      </c>
      <c r="CG90" s="121" t="b">
        <f ca="1">AND(Tbl_ResidentData[[#This Row],[PRN Med Started]]&lt;&gt;"",Tbl_ResidentData[[#This Row],[PRN Med Started]]&lt;=NOW(),Tbl_ResidentData[[#This Row],[PRN Med Started]]&lt;=BI$4,OR(Tbl_ResidentData[[#This Row],[PRN Med Discontinued]]&gt;BI$4,ISBLANK(Tbl_ResidentData[[#This Row],[PRN Med Discontinued]])))</f>
        <v>0</v>
      </c>
      <c r="CH90" s="121" t="b">
        <f ca="1">AND(Tbl_ResidentData[[#This Row],[PRN Med Started]]&lt;&gt;"",Tbl_ResidentData[[#This Row],[PRN Med Started]]&lt;=NOW(),Tbl_ResidentData[[#This Row],[PRN Med Started]]&lt;=BJ$4,OR(Tbl_ResidentData[[#This Row],[PRN Med Discontinued]]&gt;BJ$4,ISBLANK(Tbl_ResidentData[[#This Row],[PRN Med Discontinued]])))</f>
        <v>0</v>
      </c>
      <c r="CI90" s="121" t="b">
        <f ca="1">AND(Tbl_ResidentData[[#This Row],[PRN Med Started]]&lt;&gt;"",Tbl_ResidentData[[#This Row],[PRN Med Started]]&lt;=NOW(),Tbl_ResidentData[[#This Row],[PRN Med Started]]&lt;=BK$4,OR(Tbl_ResidentData[[#This Row],[PRN Med Discontinued]]&gt;BK$4,ISBLANK(Tbl_ResidentData[[#This Row],[PRN Med Discontinued]])))</f>
        <v>0</v>
      </c>
      <c r="CJ90" s="121" t="b">
        <f ca="1">AND(Tbl_ResidentData[[#This Row],[PRN Med Started]]&lt;&gt;"",Tbl_ResidentData[[#This Row],[PRN Med Started]]&lt;=NOW(),Tbl_ResidentData[[#This Row],[PRN Med Started]]&lt;=BL$4,OR(Tbl_ResidentData[[#This Row],[PRN Med Discontinued]]&gt;BL$4,ISBLANK(Tbl_ResidentData[[#This Row],[PRN Med Discontinued]])))</f>
        <v>0</v>
      </c>
      <c r="CK90" s="121" t="b">
        <f ca="1">AND(Tbl_ResidentData[[#This Row],[PRN Med Started]]&lt;&gt;"",Tbl_ResidentData[[#This Row],[PRN Med Started]]&lt;=NOW(),Tbl_ResidentData[[#This Row],[PRN Med Started]]&lt;=BM$4,OR(Tbl_ResidentData[[#This Row],[PRN Med Discontinued]]&gt;BM$4,ISBLANK(Tbl_ResidentData[[#This Row],[PRN Med Discontinued]])))</f>
        <v>0</v>
      </c>
      <c r="CL90" s="121" t="b">
        <f ca="1">AND(Tbl_ResidentData[[#This Row],[PRN Med Started]]&lt;&gt;"",Tbl_ResidentData[[#This Row],[PRN Med Started]]&lt;=NOW(),Tbl_ResidentData[[#This Row],[PRN Med Started]]&lt;=BN$4,OR(Tbl_ResidentData[[#This Row],[PRN Med Discontinued]]&gt;BN$4,ISBLANK(Tbl_ResidentData[[#This Row],[PRN Med Discontinued]])))</f>
        <v>0</v>
      </c>
      <c r="CM90" s="121" t="b">
        <f ca="1">AND(Tbl_ResidentData[[#This Row],[PRN Med Started]]&lt;&gt;"",Tbl_ResidentData[[#This Row],[PRN Med Started]]&lt;=NOW(),Tbl_ResidentData[[#This Row],[PRN Med Started]]&lt;=BO$4,OR(Tbl_ResidentData[[#This Row],[PRN Med Discontinued]]&gt;BO$4,ISBLANK(Tbl_ResidentData[[#This Row],[PRN Med Discontinued]])))</f>
        <v>0</v>
      </c>
      <c r="CN90" s="122" t="b">
        <f ca="1">AND(Tbl_ResidentData[[#This Row],[PRN Med Started]]&lt;&gt;"",Tbl_ResidentData[[#This Row],[PRN Med Started]]&lt;=NOW(),Tbl_ResidentData[[#This Row],[PRN Med Started]]&lt;=BP$4,OR(Tbl_ResidentData[[#This Row],[PRN Med Discontinued]]&gt;BP$4,ISBLANK(Tbl_ResidentData[[#This Row],[PRN Med Discontinued]])))</f>
        <v>0</v>
      </c>
      <c r="CO90" s="120">
        <f ca="1">IF(OR(Tbl_ResidentData[[#This Row],[S1]]=TRUE,Tbl_ResidentData[[#This Row],[P1]]=TRUE),1,0)</f>
        <v>0</v>
      </c>
      <c r="CP90" s="121">
        <f ca="1">IF(OR(Tbl_ResidentData[[#This Row],[S2]]=TRUE,Tbl_ResidentData[[#This Row],[P2]]=TRUE),1,0)</f>
        <v>0</v>
      </c>
      <c r="CQ90" s="121">
        <f ca="1">IF(OR(Tbl_ResidentData[[#This Row],[S3]]=TRUE,Tbl_ResidentData[[#This Row],[P3]]=TRUE),1,0)</f>
        <v>0</v>
      </c>
      <c r="CR90" s="120">
        <f ca="1">IF(OR(Tbl_ResidentData[[#This Row],[S4]]=TRUE,Tbl_ResidentData[[#This Row],[P4]]=TRUE),1,0)</f>
        <v>0</v>
      </c>
      <c r="CS90" s="120">
        <f ca="1">IF(OR(Tbl_ResidentData[[#This Row],[S5]]=TRUE,Tbl_ResidentData[[#This Row],[P5]]=TRUE),1,0)</f>
        <v>0</v>
      </c>
      <c r="CT90" s="120">
        <f ca="1">IF(OR(Tbl_ResidentData[[#This Row],[S6]]=TRUE,Tbl_ResidentData[[#This Row],[P6]]=TRUE),1,0)</f>
        <v>0</v>
      </c>
      <c r="CU90" s="120">
        <f ca="1">IF(OR(Tbl_ResidentData[[#This Row],[S7]]=TRUE,Tbl_ResidentData[[#This Row],[P7]]=TRUE),1,0)</f>
        <v>0</v>
      </c>
      <c r="CV90" s="120">
        <f ca="1">IF(OR(Tbl_ResidentData[[#This Row],[S8]]=TRUE,Tbl_ResidentData[[#This Row],[P8]]=TRUE),1,0)</f>
        <v>0</v>
      </c>
      <c r="CW90" s="120">
        <f ca="1">IF(OR(Tbl_ResidentData[[#This Row],[S9]]=TRUE,Tbl_ResidentData[[#This Row],[P9]]=TRUE),1,0)</f>
        <v>0</v>
      </c>
      <c r="CX90" s="120">
        <f ca="1">IF(OR(Tbl_ResidentData[[#This Row],[S10]]=TRUE,Tbl_ResidentData[[#This Row],[P10]]=TRUE),1,0)</f>
        <v>0</v>
      </c>
      <c r="CY90" s="120">
        <f ca="1">IF(OR(Tbl_ResidentData[[#This Row],[S11]]=TRUE,Tbl_ResidentData[[#This Row],[P11]]=TRUE),1,0)</f>
        <v>0</v>
      </c>
      <c r="CZ90" s="120">
        <f ca="1">IF(OR(Tbl_ResidentData[[#This Row],[S12]]=TRUE,Tbl_ResidentData[[#This Row],[P12]]=TRUE),1,0)</f>
        <v>0</v>
      </c>
      <c r="DA90" s="120">
        <f ca="1">IF(OR(Tbl_ResidentData[[#This Row],[S13]]=TRUE,Tbl_ResidentData[[#This Row],[P13]]=TRUE),1,0)</f>
        <v>0</v>
      </c>
      <c r="DB90" s="120">
        <f ca="1">IF(OR(Tbl_ResidentData[[#This Row],[S14]]=TRUE,Tbl_ResidentData[[#This Row],[P14]]=TRUE),1,0)</f>
        <v>0</v>
      </c>
      <c r="DC90" s="120">
        <f ca="1">IF(OR(Tbl_ResidentData[[#This Row],[S15]]=TRUE,Tbl_ResidentData[[#This Row],[P15]]=TRUE),1,0)</f>
        <v>0</v>
      </c>
      <c r="DD90" s="120">
        <f ca="1">IF(OR(Tbl_ResidentData[[#This Row],[S16]]=TRUE,Tbl_ResidentData[[#This Row],[P16]]=TRUE),1,0)</f>
        <v>0</v>
      </c>
      <c r="DE90" s="120">
        <f ca="1">IF(OR(Tbl_ResidentData[[#This Row],[S17]]=TRUE,Tbl_ResidentData[[#This Row],[P17]]=TRUE),1,0)</f>
        <v>0</v>
      </c>
      <c r="DF90" s="120">
        <f ca="1">IF(OR(Tbl_ResidentData[[#This Row],[S18]]=TRUE,Tbl_ResidentData[[#This Row],[P18]]=TRUE),1,0)</f>
        <v>0</v>
      </c>
      <c r="DG90" s="120">
        <f ca="1">IF(OR(Tbl_ResidentData[[#This Row],[S19]]=TRUE,Tbl_ResidentData[[#This Row],[P19]]=TRUE),1,0)</f>
        <v>0</v>
      </c>
      <c r="DH90" s="120">
        <f ca="1">IF(OR(Tbl_ResidentData[[#This Row],[S20]]=TRUE,Tbl_ResidentData[[#This Row],[P20]]=TRUE),1,0)</f>
        <v>0</v>
      </c>
      <c r="DI90" s="120">
        <f ca="1">IF(OR(Tbl_ResidentData[[#This Row],[S21]]=TRUE,Tbl_ResidentData[[#This Row],[P21]]=TRUE),1,0)</f>
        <v>0</v>
      </c>
      <c r="DJ90" s="120">
        <f ca="1">IF(OR(Tbl_ResidentData[[#This Row],[S22]]=TRUE,Tbl_ResidentData[[#This Row],[P22]]=TRUE),1,0)</f>
        <v>0</v>
      </c>
      <c r="DK90" s="120">
        <f ca="1">IF(OR(Tbl_ResidentData[[#This Row],[S23]]=TRUE,Tbl_ResidentData[[#This Row],[P23]]=TRUE),1,0)</f>
        <v>0</v>
      </c>
      <c r="DL90" s="120">
        <f ca="1">IF(OR(Tbl_ResidentData[[#This Row],[S24]]=TRUE,Tbl_ResidentData[[#This Row],[P24]]=TRUE),1,0)</f>
        <v>0</v>
      </c>
      <c r="DM90" s="123" t="str">
        <f ca="1">IFERROR(INDEX($CO$4:$DL$4,MATCH(TRUE,INDEX((Tbl_ResidentData[[#This Row],[Over1]:[Over24]]&lt;&gt;0),0),0)),"")</f>
        <v/>
      </c>
      <c r="DN90" s="133" t="str">
        <f>IFERROR(INDEX(Tbl_PDSAData[Last DRT],MATCH(Tbl_ResidentData[Resident Name '[last, first']],Tbl_PDSAData[Resident Name (last, first)],0)),"")</f>
        <v/>
      </c>
      <c r="DO90" s="222" t="str">
        <f>IFERROR(INDEX(Tbl_PDSAData[Last MR],MATCH(Tbl_ResidentData[Resident Name '[last, first']],Tbl_PDSAData[Resident Name (last, first)],0)),"")</f>
        <v/>
      </c>
    </row>
    <row r="91" spans="1:119" x14ac:dyDescent="0.25">
      <c r="A91" s="179"/>
      <c r="B91" s="180"/>
      <c r="C91" s="180"/>
      <c r="D91" s="218"/>
      <c r="E91" s="179"/>
      <c r="F91" s="181"/>
      <c r="G91" s="181"/>
      <c r="H91" s="375"/>
      <c r="I91" s="185"/>
      <c r="J91" s="387"/>
      <c r="K91" s="178"/>
      <c r="L91" s="388"/>
      <c r="M91" s="185"/>
      <c r="N91" s="386"/>
      <c r="O91" s="178"/>
      <c r="P91" s="388"/>
      <c r="Q91" s="395"/>
      <c r="R91" s="396"/>
      <c r="S91" s="131" t="str">
        <f>IF(ISBLANK(Tbl_ResidentData[[#This Row],[Discharge '[mmm-yyyy']]]),IF(ISBLANK(Tbl_ResidentData[[#This Row],[Enrollment '[mmm-yyyy']]]),"","In Care Home"),"Discharged")</f>
        <v/>
      </c>
      <c r="T91" s="119" t="str">
        <f>IF(ISBLANK(Tbl_ResidentData[[#This Row],[Diagnosis (RAI)]]),IF(ISBLANK(Tbl_ResidentData[[#This Row],[Resident Name '[last, first']]]),"",0),IF(Tbl_ResidentData[[#This Row],[Diagnosis (RAI)]]="Other (see clinical notes)",0,1))</f>
        <v/>
      </c>
      <c r="U91" s="120" t="str">
        <f ca="1">IF(U$4&gt;NOW(),"-",IF(ISBLANK(Tbl_ResidentData[[#This Row],[Enrollment '[mmm-yyyy']]]),"-",AND((Tbl_ResidentData[[#This Row],[Enrollment '[mmm-yyyy']]]&lt;=U$4),IF(ISBLANK(Tbl_ResidentData[[#This Row],[Discharge '[mmm-yyyy']]]),TRUE,(Tbl_ResidentData[[#This Row],[Discharge '[mmm-yyyy']]]&gt;=U$4)))))</f>
        <v>-</v>
      </c>
      <c r="V91" s="121" t="str">
        <f ca="1">IF(V$4&gt;NOW(),"-",IF(ISBLANK(Tbl_ResidentData[[#This Row],[Enrollment '[mmm-yyyy']]]),"-",AND((Tbl_ResidentData[[#This Row],[Enrollment '[mmm-yyyy']]]&lt;=V$4),IF(ISBLANK(Tbl_ResidentData[[#This Row],[Discharge '[mmm-yyyy']]]),TRUE,(Tbl_ResidentData[[#This Row],[Discharge '[mmm-yyyy']]]&gt;=V$4)))))</f>
        <v>-</v>
      </c>
      <c r="W91" s="121" t="str">
        <f ca="1">IF(W$4&gt;NOW(),"-",IF(ISBLANK(Tbl_ResidentData[[#This Row],[Enrollment '[mmm-yyyy']]]),"-",AND((Tbl_ResidentData[[#This Row],[Enrollment '[mmm-yyyy']]]&lt;=W$4),IF(ISBLANK(Tbl_ResidentData[[#This Row],[Discharge '[mmm-yyyy']]]),TRUE,(Tbl_ResidentData[[#This Row],[Discharge '[mmm-yyyy']]]&gt;=W$4)))))</f>
        <v>-</v>
      </c>
      <c r="X91" s="121" t="str">
        <f ca="1">IF(X$4&gt;NOW(),"-",IF(ISBLANK(Tbl_ResidentData[[#This Row],[Enrollment '[mmm-yyyy']]]),"-",AND((Tbl_ResidentData[[#This Row],[Enrollment '[mmm-yyyy']]]&lt;=X$4),IF(ISBLANK(Tbl_ResidentData[[#This Row],[Discharge '[mmm-yyyy']]]),TRUE,(Tbl_ResidentData[[#This Row],[Discharge '[mmm-yyyy']]]&gt;=X$4)))))</f>
        <v>-</v>
      </c>
      <c r="Y91" s="121" t="str">
        <f ca="1">IF(Y$4&gt;NOW(),"-",IF(ISBLANK(Tbl_ResidentData[[#This Row],[Enrollment '[mmm-yyyy']]]),"-",AND((Tbl_ResidentData[[#This Row],[Enrollment '[mmm-yyyy']]]&lt;=Y$4),IF(ISBLANK(Tbl_ResidentData[[#This Row],[Discharge '[mmm-yyyy']]]),TRUE,(Tbl_ResidentData[[#This Row],[Discharge '[mmm-yyyy']]]&gt;=Y$4)))))</f>
        <v>-</v>
      </c>
      <c r="Z91" s="121" t="str">
        <f ca="1">IF(Z$4&gt;NOW(),"-",IF(ISBLANK(Tbl_ResidentData[[#This Row],[Enrollment '[mmm-yyyy']]]),"-",AND((Tbl_ResidentData[[#This Row],[Enrollment '[mmm-yyyy']]]&lt;=Z$4),IF(ISBLANK(Tbl_ResidentData[[#This Row],[Discharge '[mmm-yyyy']]]),TRUE,(Tbl_ResidentData[[#This Row],[Discharge '[mmm-yyyy']]]&gt;=Z$4)))))</f>
        <v>-</v>
      </c>
      <c r="AA91" s="121" t="str">
        <f ca="1">IF(AA$4&gt;NOW(),"-",IF(ISBLANK(Tbl_ResidentData[[#This Row],[Enrollment '[mmm-yyyy']]]),"-",AND((Tbl_ResidentData[[#This Row],[Enrollment '[mmm-yyyy']]]&lt;=AA$4),IF(ISBLANK(Tbl_ResidentData[[#This Row],[Discharge '[mmm-yyyy']]]),TRUE,(Tbl_ResidentData[[#This Row],[Discharge '[mmm-yyyy']]]&gt;=AA$4)))))</f>
        <v>-</v>
      </c>
      <c r="AB91" s="121" t="str">
        <f ca="1">IF(AB$4&gt;NOW(),"-",IF(ISBLANK(Tbl_ResidentData[[#This Row],[Enrollment '[mmm-yyyy']]]),"-",AND((Tbl_ResidentData[[#This Row],[Enrollment '[mmm-yyyy']]]&lt;=AB$4),IF(ISBLANK(Tbl_ResidentData[[#This Row],[Discharge '[mmm-yyyy']]]),TRUE,(Tbl_ResidentData[[#This Row],[Discharge '[mmm-yyyy']]]&gt;=AB$4)))))</f>
        <v>-</v>
      </c>
      <c r="AC91" s="121" t="str">
        <f ca="1">IF(AC$4&gt;NOW(),"-",IF(ISBLANK(Tbl_ResidentData[[#This Row],[Enrollment '[mmm-yyyy']]]),"-",AND((Tbl_ResidentData[[#This Row],[Enrollment '[mmm-yyyy']]]&lt;=AC$4),IF(ISBLANK(Tbl_ResidentData[[#This Row],[Discharge '[mmm-yyyy']]]),TRUE,(Tbl_ResidentData[[#This Row],[Discharge '[mmm-yyyy']]]&gt;=AC$4)))))</f>
        <v>-</v>
      </c>
      <c r="AD91" s="121" t="str">
        <f ca="1">IF(AD$4&gt;NOW(),"-",IF(ISBLANK(Tbl_ResidentData[[#This Row],[Enrollment '[mmm-yyyy']]]),"-",AND((Tbl_ResidentData[[#This Row],[Enrollment '[mmm-yyyy']]]&lt;=AD$4),IF(ISBLANK(Tbl_ResidentData[[#This Row],[Discharge '[mmm-yyyy']]]),TRUE,(Tbl_ResidentData[[#This Row],[Discharge '[mmm-yyyy']]]&gt;=AD$4)))))</f>
        <v>-</v>
      </c>
      <c r="AE91" s="121" t="str">
        <f ca="1">IF(AE$4&gt;NOW(),"-",IF(ISBLANK(Tbl_ResidentData[[#This Row],[Enrollment '[mmm-yyyy']]]),"-",AND((Tbl_ResidentData[[#This Row],[Enrollment '[mmm-yyyy']]]&lt;=AE$4),IF(ISBLANK(Tbl_ResidentData[[#This Row],[Discharge '[mmm-yyyy']]]),TRUE,(Tbl_ResidentData[[#This Row],[Discharge '[mmm-yyyy']]]&gt;=AE$4)))))</f>
        <v>-</v>
      </c>
      <c r="AF91" s="121" t="str">
        <f ca="1">IF(AF$4&gt;NOW(),"-",IF(ISBLANK(Tbl_ResidentData[[#This Row],[Enrollment '[mmm-yyyy']]]),"-",AND((Tbl_ResidentData[[#This Row],[Enrollment '[mmm-yyyy']]]&lt;=AF$4),IF(ISBLANK(Tbl_ResidentData[[#This Row],[Discharge '[mmm-yyyy']]]),TRUE,(Tbl_ResidentData[[#This Row],[Discharge '[mmm-yyyy']]]&gt;=AF$4)))))</f>
        <v>-</v>
      </c>
      <c r="AG91" s="121" t="str">
        <f ca="1">IF(AG$4&gt;NOW(),"-",IF(ISBLANK(Tbl_ResidentData[[#This Row],[Enrollment '[mmm-yyyy']]]),"-",AND((Tbl_ResidentData[[#This Row],[Enrollment '[mmm-yyyy']]]&lt;=AG$4),IF(ISBLANK(Tbl_ResidentData[[#This Row],[Discharge '[mmm-yyyy']]]),TRUE,(Tbl_ResidentData[[#This Row],[Discharge '[mmm-yyyy']]]&gt;=AG$4)))))</f>
        <v>-</v>
      </c>
      <c r="AH91" s="121" t="str">
        <f ca="1">IF(AH$4&gt;NOW(),"-",IF(ISBLANK(Tbl_ResidentData[[#This Row],[Enrollment '[mmm-yyyy']]]),"-",AND((Tbl_ResidentData[[#This Row],[Enrollment '[mmm-yyyy']]]&lt;=AH$4),IF(ISBLANK(Tbl_ResidentData[[#This Row],[Discharge '[mmm-yyyy']]]),TRUE,(Tbl_ResidentData[[#This Row],[Discharge '[mmm-yyyy']]]&gt;=AH$4)))))</f>
        <v>-</v>
      </c>
      <c r="AI91" s="121" t="str">
        <f ca="1">IF(AI$4&gt;NOW(),"-",IF(ISBLANK(Tbl_ResidentData[[#This Row],[Enrollment '[mmm-yyyy']]]),"-",AND((Tbl_ResidentData[[#This Row],[Enrollment '[mmm-yyyy']]]&lt;=AI$4),IF(ISBLANK(Tbl_ResidentData[[#This Row],[Discharge '[mmm-yyyy']]]),TRUE,(Tbl_ResidentData[[#This Row],[Discharge '[mmm-yyyy']]]&gt;=AI$4)))))</f>
        <v>-</v>
      </c>
      <c r="AJ91" s="121" t="str">
        <f ca="1">IF(AJ$4&gt;NOW(),"-",IF(ISBLANK(Tbl_ResidentData[[#This Row],[Enrollment '[mmm-yyyy']]]),"-",AND((Tbl_ResidentData[[#This Row],[Enrollment '[mmm-yyyy']]]&lt;=AJ$4),IF(ISBLANK(Tbl_ResidentData[[#This Row],[Discharge '[mmm-yyyy']]]),TRUE,(Tbl_ResidentData[[#This Row],[Discharge '[mmm-yyyy']]]&gt;=AJ$4)))))</f>
        <v>-</v>
      </c>
      <c r="AK91" s="121" t="str">
        <f ca="1">IF(AK$4&gt;NOW(),"-",IF(ISBLANK(Tbl_ResidentData[[#This Row],[Enrollment '[mmm-yyyy']]]),"-",AND((Tbl_ResidentData[[#This Row],[Enrollment '[mmm-yyyy']]]&lt;=AK$4),IF(ISBLANK(Tbl_ResidentData[[#This Row],[Discharge '[mmm-yyyy']]]),TRUE,(Tbl_ResidentData[[#This Row],[Discharge '[mmm-yyyy']]]&gt;=AK$4)))))</f>
        <v>-</v>
      </c>
      <c r="AL91" s="121" t="str">
        <f ca="1">IF(AL$4&gt;NOW(),"-",IF(ISBLANK(Tbl_ResidentData[[#This Row],[Enrollment '[mmm-yyyy']]]),"-",AND((Tbl_ResidentData[[#This Row],[Enrollment '[mmm-yyyy']]]&lt;=AL$4),IF(ISBLANK(Tbl_ResidentData[[#This Row],[Discharge '[mmm-yyyy']]]),TRUE,(Tbl_ResidentData[[#This Row],[Discharge '[mmm-yyyy']]]&gt;=AL$4)))))</f>
        <v>-</v>
      </c>
      <c r="AM91" s="121" t="str">
        <f ca="1">IF(AM$4&gt;NOW(),"-",IF(ISBLANK(Tbl_ResidentData[[#This Row],[Enrollment '[mmm-yyyy']]]),"-",AND((Tbl_ResidentData[[#This Row],[Enrollment '[mmm-yyyy']]]&lt;=AM$4),IF(ISBLANK(Tbl_ResidentData[[#This Row],[Discharge '[mmm-yyyy']]]),TRUE,(Tbl_ResidentData[[#This Row],[Discharge '[mmm-yyyy']]]&gt;=AM$4)))))</f>
        <v>-</v>
      </c>
      <c r="AN91" s="121" t="str">
        <f ca="1">IF(AN$4&gt;NOW(),"-",IF(ISBLANK(Tbl_ResidentData[[#This Row],[Enrollment '[mmm-yyyy']]]),"-",AND((Tbl_ResidentData[[#This Row],[Enrollment '[mmm-yyyy']]]&lt;=AN$4),IF(ISBLANK(Tbl_ResidentData[[#This Row],[Discharge '[mmm-yyyy']]]),TRUE,(Tbl_ResidentData[[#This Row],[Discharge '[mmm-yyyy']]]&gt;=AN$4)))))</f>
        <v>-</v>
      </c>
      <c r="AO91" s="121" t="str">
        <f ca="1">IF(AO$4&gt;NOW(),"-",IF(ISBLANK(Tbl_ResidentData[[#This Row],[Enrollment '[mmm-yyyy']]]),"-",AND((Tbl_ResidentData[[#This Row],[Enrollment '[mmm-yyyy']]]&lt;=AO$4),IF(ISBLANK(Tbl_ResidentData[[#This Row],[Discharge '[mmm-yyyy']]]),TRUE,(Tbl_ResidentData[[#This Row],[Discharge '[mmm-yyyy']]]&gt;=AO$4)))))</f>
        <v>-</v>
      </c>
      <c r="AP91" s="121" t="str">
        <f ca="1">IF(AP$4&gt;NOW(),"-",IF(ISBLANK(Tbl_ResidentData[[#This Row],[Enrollment '[mmm-yyyy']]]),"-",AND((Tbl_ResidentData[[#This Row],[Enrollment '[mmm-yyyy']]]&lt;=AP$4),IF(ISBLANK(Tbl_ResidentData[[#This Row],[Discharge '[mmm-yyyy']]]),TRUE,(Tbl_ResidentData[[#This Row],[Discharge '[mmm-yyyy']]]&gt;=AP$4)))))</f>
        <v>-</v>
      </c>
      <c r="AQ91" s="121" t="str">
        <f ca="1">IF(AQ$4&gt;NOW(),"-",IF(ISBLANK(Tbl_ResidentData[[#This Row],[Enrollment '[mmm-yyyy']]]),"-",AND((Tbl_ResidentData[[#This Row],[Enrollment '[mmm-yyyy']]]&lt;=AQ$4),IF(ISBLANK(Tbl_ResidentData[[#This Row],[Discharge '[mmm-yyyy']]]),TRUE,(Tbl_ResidentData[[#This Row],[Discharge '[mmm-yyyy']]]&gt;=AQ$4)))))</f>
        <v>-</v>
      </c>
      <c r="AR91" s="122" t="str">
        <f ca="1">IF(AR$4&gt;NOW(),"-",IF(ISBLANK(Tbl_ResidentData[[#This Row],[Enrollment '[mmm-yyyy']]]),"-",AND((Tbl_ResidentData[[#This Row],[Enrollment '[mmm-yyyy']]]&lt;=AR$4),IF(ISBLANK(Tbl_ResidentData[[#This Row],[Discharge '[mmm-yyyy']]]),TRUE,(Tbl_ResidentData[[#This Row],[Discharge '[mmm-yyyy']]]&gt;=AR$4)))))</f>
        <v>-</v>
      </c>
      <c r="AS9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1" s="120" t="b">
        <f ca="1">AND(Tbl_ResidentData[[#This Row],[PRN Med Started]]&lt;&gt;"",Tbl_ResidentData[[#This Row],[PRN Med Started]]&lt;=NOW(),Tbl_ResidentData[[#This Row],[PRN Med Started]]&lt;=AS$4,OR(Tbl_ResidentData[[#This Row],[PRN Med Discontinued]]&gt;AS$4,ISBLANK(Tbl_ResidentData[[#This Row],[PRN Med Discontinued]])))</f>
        <v>0</v>
      </c>
      <c r="BR91" s="121" t="b">
        <f ca="1">AND(Tbl_ResidentData[[#This Row],[PRN Med Started]]&lt;&gt;"",Tbl_ResidentData[[#This Row],[PRN Med Started]]&lt;=NOW(),Tbl_ResidentData[[#This Row],[PRN Med Started]]&lt;=AT$4,OR(Tbl_ResidentData[[#This Row],[PRN Med Discontinued]]&gt;AT$4,ISBLANK(Tbl_ResidentData[[#This Row],[PRN Med Discontinued]])))</f>
        <v>0</v>
      </c>
      <c r="BS91" s="121" t="b">
        <f ca="1">AND(Tbl_ResidentData[[#This Row],[PRN Med Started]]&lt;&gt;"",Tbl_ResidentData[[#This Row],[PRN Med Started]]&lt;=NOW(),Tbl_ResidentData[[#This Row],[PRN Med Started]]&lt;=AU$4,OR(Tbl_ResidentData[[#This Row],[PRN Med Discontinued]]&gt;AU$4,ISBLANK(Tbl_ResidentData[[#This Row],[PRN Med Discontinued]])))</f>
        <v>0</v>
      </c>
      <c r="BT91" s="121" t="b">
        <f ca="1">AND(Tbl_ResidentData[[#This Row],[PRN Med Started]]&lt;&gt;"",Tbl_ResidentData[[#This Row],[PRN Med Started]]&lt;=NOW(),Tbl_ResidentData[[#This Row],[PRN Med Started]]&lt;=AV$4,OR(Tbl_ResidentData[[#This Row],[PRN Med Discontinued]]&gt;AV$4,ISBLANK(Tbl_ResidentData[[#This Row],[PRN Med Discontinued]])))</f>
        <v>0</v>
      </c>
      <c r="BU91" s="121" t="b">
        <f ca="1">AND(Tbl_ResidentData[[#This Row],[PRN Med Started]]&lt;&gt;"",Tbl_ResidentData[[#This Row],[PRN Med Started]]&lt;=NOW(),Tbl_ResidentData[[#This Row],[PRN Med Started]]&lt;=AW$4,OR(Tbl_ResidentData[[#This Row],[PRN Med Discontinued]]&gt;AW$4,ISBLANK(Tbl_ResidentData[[#This Row],[PRN Med Discontinued]])))</f>
        <v>0</v>
      </c>
      <c r="BV91" s="121" t="b">
        <f ca="1">AND(Tbl_ResidentData[[#This Row],[PRN Med Started]]&lt;&gt;"",Tbl_ResidentData[[#This Row],[PRN Med Started]]&lt;=NOW(),Tbl_ResidentData[[#This Row],[PRN Med Started]]&lt;=AX$4,OR(Tbl_ResidentData[[#This Row],[PRN Med Discontinued]]&gt;AX$4,ISBLANK(Tbl_ResidentData[[#This Row],[PRN Med Discontinued]])))</f>
        <v>0</v>
      </c>
      <c r="BW91" s="121" t="b">
        <f ca="1">AND(Tbl_ResidentData[[#This Row],[PRN Med Started]]&lt;&gt;"",Tbl_ResidentData[[#This Row],[PRN Med Started]]&lt;=NOW(),Tbl_ResidentData[[#This Row],[PRN Med Started]]&lt;=AY$4,OR(Tbl_ResidentData[[#This Row],[PRN Med Discontinued]]&gt;AY$4,ISBLANK(Tbl_ResidentData[[#This Row],[PRN Med Discontinued]])))</f>
        <v>0</v>
      </c>
      <c r="BX91" s="121" t="b">
        <f ca="1">AND(Tbl_ResidentData[[#This Row],[PRN Med Started]]&lt;&gt;"",Tbl_ResidentData[[#This Row],[PRN Med Started]]&lt;=NOW(),Tbl_ResidentData[[#This Row],[PRN Med Started]]&lt;=AZ$4,OR(Tbl_ResidentData[[#This Row],[PRN Med Discontinued]]&gt;AZ$4,ISBLANK(Tbl_ResidentData[[#This Row],[PRN Med Discontinued]])))</f>
        <v>0</v>
      </c>
      <c r="BY91" s="121" t="b">
        <f ca="1">AND(Tbl_ResidentData[[#This Row],[PRN Med Started]]&lt;&gt;"",Tbl_ResidentData[[#This Row],[PRN Med Started]]&lt;=NOW(),Tbl_ResidentData[[#This Row],[PRN Med Started]]&lt;=BA$4,OR(Tbl_ResidentData[[#This Row],[PRN Med Discontinued]]&gt;BA$4,ISBLANK(Tbl_ResidentData[[#This Row],[PRN Med Discontinued]])))</f>
        <v>0</v>
      </c>
      <c r="BZ91" s="121" t="b">
        <f ca="1">AND(Tbl_ResidentData[[#This Row],[PRN Med Started]]&lt;&gt;"",Tbl_ResidentData[[#This Row],[PRN Med Started]]&lt;=NOW(),Tbl_ResidentData[[#This Row],[PRN Med Started]]&lt;=BB$4,OR(Tbl_ResidentData[[#This Row],[PRN Med Discontinued]]&gt;BB$4,ISBLANK(Tbl_ResidentData[[#This Row],[PRN Med Discontinued]])))</f>
        <v>0</v>
      </c>
      <c r="CA91" s="121" t="b">
        <f ca="1">AND(Tbl_ResidentData[[#This Row],[PRN Med Started]]&lt;&gt;"",Tbl_ResidentData[[#This Row],[PRN Med Started]]&lt;=NOW(),Tbl_ResidentData[[#This Row],[PRN Med Started]]&lt;=BC$4,OR(Tbl_ResidentData[[#This Row],[PRN Med Discontinued]]&gt;BC$4,ISBLANK(Tbl_ResidentData[[#This Row],[PRN Med Discontinued]])))</f>
        <v>0</v>
      </c>
      <c r="CB91" s="121" t="b">
        <f ca="1">AND(Tbl_ResidentData[[#This Row],[PRN Med Started]]&lt;&gt;"",Tbl_ResidentData[[#This Row],[PRN Med Started]]&lt;=NOW(),Tbl_ResidentData[[#This Row],[PRN Med Started]]&lt;=BD$4,OR(Tbl_ResidentData[[#This Row],[PRN Med Discontinued]]&gt;BD$4,ISBLANK(Tbl_ResidentData[[#This Row],[PRN Med Discontinued]])))</f>
        <v>0</v>
      </c>
      <c r="CC91" s="121" t="b">
        <f ca="1">AND(Tbl_ResidentData[[#This Row],[PRN Med Started]]&lt;&gt;"",Tbl_ResidentData[[#This Row],[PRN Med Started]]&lt;=NOW(),Tbl_ResidentData[[#This Row],[PRN Med Started]]&lt;=BE$4,OR(Tbl_ResidentData[[#This Row],[PRN Med Discontinued]]&gt;BE$4,ISBLANK(Tbl_ResidentData[[#This Row],[PRN Med Discontinued]])))</f>
        <v>0</v>
      </c>
      <c r="CD91" s="121" t="b">
        <f ca="1">AND(Tbl_ResidentData[[#This Row],[PRN Med Started]]&lt;&gt;"",Tbl_ResidentData[[#This Row],[PRN Med Started]]&lt;=NOW(),Tbl_ResidentData[[#This Row],[PRN Med Started]]&lt;=BF$4,OR(Tbl_ResidentData[[#This Row],[PRN Med Discontinued]]&gt;BF$4,ISBLANK(Tbl_ResidentData[[#This Row],[PRN Med Discontinued]])))</f>
        <v>0</v>
      </c>
      <c r="CE91" s="121" t="b">
        <f ca="1">AND(Tbl_ResidentData[[#This Row],[PRN Med Started]]&lt;&gt;"",Tbl_ResidentData[[#This Row],[PRN Med Started]]&lt;=NOW(),Tbl_ResidentData[[#This Row],[PRN Med Started]]&lt;=BG$4,OR(Tbl_ResidentData[[#This Row],[PRN Med Discontinued]]&gt;BG$4,ISBLANK(Tbl_ResidentData[[#This Row],[PRN Med Discontinued]])))</f>
        <v>0</v>
      </c>
      <c r="CF91" s="121" t="b">
        <f ca="1">AND(Tbl_ResidentData[[#This Row],[PRN Med Started]]&lt;&gt;"",Tbl_ResidentData[[#This Row],[PRN Med Started]]&lt;=NOW(),Tbl_ResidentData[[#This Row],[PRN Med Started]]&lt;=BH$4,OR(Tbl_ResidentData[[#This Row],[PRN Med Discontinued]]&gt;BH$4,ISBLANK(Tbl_ResidentData[[#This Row],[PRN Med Discontinued]])))</f>
        <v>0</v>
      </c>
      <c r="CG91" s="121" t="b">
        <f ca="1">AND(Tbl_ResidentData[[#This Row],[PRN Med Started]]&lt;&gt;"",Tbl_ResidentData[[#This Row],[PRN Med Started]]&lt;=NOW(),Tbl_ResidentData[[#This Row],[PRN Med Started]]&lt;=BI$4,OR(Tbl_ResidentData[[#This Row],[PRN Med Discontinued]]&gt;BI$4,ISBLANK(Tbl_ResidentData[[#This Row],[PRN Med Discontinued]])))</f>
        <v>0</v>
      </c>
      <c r="CH91" s="121" t="b">
        <f ca="1">AND(Tbl_ResidentData[[#This Row],[PRN Med Started]]&lt;&gt;"",Tbl_ResidentData[[#This Row],[PRN Med Started]]&lt;=NOW(),Tbl_ResidentData[[#This Row],[PRN Med Started]]&lt;=BJ$4,OR(Tbl_ResidentData[[#This Row],[PRN Med Discontinued]]&gt;BJ$4,ISBLANK(Tbl_ResidentData[[#This Row],[PRN Med Discontinued]])))</f>
        <v>0</v>
      </c>
      <c r="CI91" s="121" t="b">
        <f ca="1">AND(Tbl_ResidentData[[#This Row],[PRN Med Started]]&lt;&gt;"",Tbl_ResidentData[[#This Row],[PRN Med Started]]&lt;=NOW(),Tbl_ResidentData[[#This Row],[PRN Med Started]]&lt;=BK$4,OR(Tbl_ResidentData[[#This Row],[PRN Med Discontinued]]&gt;BK$4,ISBLANK(Tbl_ResidentData[[#This Row],[PRN Med Discontinued]])))</f>
        <v>0</v>
      </c>
      <c r="CJ91" s="121" t="b">
        <f ca="1">AND(Tbl_ResidentData[[#This Row],[PRN Med Started]]&lt;&gt;"",Tbl_ResidentData[[#This Row],[PRN Med Started]]&lt;=NOW(),Tbl_ResidentData[[#This Row],[PRN Med Started]]&lt;=BL$4,OR(Tbl_ResidentData[[#This Row],[PRN Med Discontinued]]&gt;BL$4,ISBLANK(Tbl_ResidentData[[#This Row],[PRN Med Discontinued]])))</f>
        <v>0</v>
      </c>
      <c r="CK91" s="121" t="b">
        <f ca="1">AND(Tbl_ResidentData[[#This Row],[PRN Med Started]]&lt;&gt;"",Tbl_ResidentData[[#This Row],[PRN Med Started]]&lt;=NOW(),Tbl_ResidentData[[#This Row],[PRN Med Started]]&lt;=BM$4,OR(Tbl_ResidentData[[#This Row],[PRN Med Discontinued]]&gt;BM$4,ISBLANK(Tbl_ResidentData[[#This Row],[PRN Med Discontinued]])))</f>
        <v>0</v>
      </c>
      <c r="CL91" s="121" t="b">
        <f ca="1">AND(Tbl_ResidentData[[#This Row],[PRN Med Started]]&lt;&gt;"",Tbl_ResidentData[[#This Row],[PRN Med Started]]&lt;=NOW(),Tbl_ResidentData[[#This Row],[PRN Med Started]]&lt;=BN$4,OR(Tbl_ResidentData[[#This Row],[PRN Med Discontinued]]&gt;BN$4,ISBLANK(Tbl_ResidentData[[#This Row],[PRN Med Discontinued]])))</f>
        <v>0</v>
      </c>
      <c r="CM91" s="121" t="b">
        <f ca="1">AND(Tbl_ResidentData[[#This Row],[PRN Med Started]]&lt;&gt;"",Tbl_ResidentData[[#This Row],[PRN Med Started]]&lt;=NOW(),Tbl_ResidentData[[#This Row],[PRN Med Started]]&lt;=BO$4,OR(Tbl_ResidentData[[#This Row],[PRN Med Discontinued]]&gt;BO$4,ISBLANK(Tbl_ResidentData[[#This Row],[PRN Med Discontinued]])))</f>
        <v>0</v>
      </c>
      <c r="CN91" s="122" t="b">
        <f ca="1">AND(Tbl_ResidentData[[#This Row],[PRN Med Started]]&lt;&gt;"",Tbl_ResidentData[[#This Row],[PRN Med Started]]&lt;=NOW(),Tbl_ResidentData[[#This Row],[PRN Med Started]]&lt;=BP$4,OR(Tbl_ResidentData[[#This Row],[PRN Med Discontinued]]&gt;BP$4,ISBLANK(Tbl_ResidentData[[#This Row],[PRN Med Discontinued]])))</f>
        <v>0</v>
      </c>
      <c r="CO91" s="120">
        <f ca="1">IF(OR(Tbl_ResidentData[[#This Row],[S1]]=TRUE,Tbl_ResidentData[[#This Row],[P1]]=TRUE),1,0)</f>
        <v>0</v>
      </c>
      <c r="CP91" s="121">
        <f ca="1">IF(OR(Tbl_ResidentData[[#This Row],[S2]]=TRUE,Tbl_ResidentData[[#This Row],[P2]]=TRUE),1,0)</f>
        <v>0</v>
      </c>
      <c r="CQ91" s="121">
        <f ca="1">IF(OR(Tbl_ResidentData[[#This Row],[S3]]=TRUE,Tbl_ResidentData[[#This Row],[P3]]=TRUE),1,0)</f>
        <v>0</v>
      </c>
      <c r="CR91" s="120">
        <f ca="1">IF(OR(Tbl_ResidentData[[#This Row],[S4]]=TRUE,Tbl_ResidentData[[#This Row],[P4]]=TRUE),1,0)</f>
        <v>0</v>
      </c>
      <c r="CS91" s="120">
        <f ca="1">IF(OR(Tbl_ResidentData[[#This Row],[S5]]=TRUE,Tbl_ResidentData[[#This Row],[P5]]=TRUE),1,0)</f>
        <v>0</v>
      </c>
      <c r="CT91" s="120">
        <f ca="1">IF(OR(Tbl_ResidentData[[#This Row],[S6]]=TRUE,Tbl_ResidentData[[#This Row],[P6]]=TRUE),1,0)</f>
        <v>0</v>
      </c>
      <c r="CU91" s="120">
        <f ca="1">IF(OR(Tbl_ResidentData[[#This Row],[S7]]=TRUE,Tbl_ResidentData[[#This Row],[P7]]=TRUE),1,0)</f>
        <v>0</v>
      </c>
      <c r="CV91" s="120">
        <f ca="1">IF(OR(Tbl_ResidentData[[#This Row],[S8]]=TRUE,Tbl_ResidentData[[#This Row],[P8]]=TRUE),1,0)</f>
        <v>0</v>
      </c>
      <c r="CW91" s="120">
        <f ca="1">IF(OR(Tbl_ResidentData[[#This Row],[S9]]=TRUE,Tbl_ResidentData[[#This Row],[P9]]=TRUE),1,0)</f>
        <v>0</v>
      </c>
      <c r="CX91" s="120">
        <f ca="1">IF(OR(Tbl_ResidentData[[#This Row],[S10]]=TRUE,Tbl_ResidentData[[#This Row],[P10]]=TRUE),1,0)</f>
        <v>0</v>
      </c>
      <c r="CY91" s="120">
        <f ca="1">IF(OR(Tbl_ResidentData[[#This Row],[S11]]=TRUE,Tbl_ResidentData[[#This Row],[P11]]=TRUE),1,0)</f>
        <v>0</v>
      </c>
      <c r="CZ91" s="120">
        <f ca="1">IF(OR(Tbl_ResidentData[[#This Row],[S12]]=TRUE,Tbl_ResidentData[[#This Row],[P12]]=TRUE),1,0)</f>
        <v>0</v>
      </c>
      <c r="DA91" s="120">
        <f ca="1">IF(OR(Tbl_ResidentData[[#This Row],[S13]]=TRUE,Tbl_ResidentData[[#This Row],[P13]]=TRUE),1,0)</f>
        <v>0</v>
      </c>
      <c r="DB91" s="120">
        <f ca="1">IF(OR(Tbl_ResidentData[[#This Row],[S14]]=TRUE,Tbl_ResidentData[[#This Row],[P14]]=TRUE),1,0)</f>
        <v>0</v>
      </c>
      <c r="DC91" s="120">
        <f ca="1">IF(OR(Tbl_ResidentData[[#This Row],[S15]]=TRUE,Tbl_ResidentData[[#This Row],[P15]]=TRUE),1,0)</f>
        <v>0</v>
      </c>
      <c r="DD91" s="120">
        <f ca="1">IF(OR(Tbl_ResidentData[[#This Row],[S16]]=TRUE,Tbl_ResidentData[[#This Row],[P16]]=TRUE),1,0)</f>
        <v>0</v>
      </c>
      <c r="DE91" s="120">
        <f ca="1">IF(OR(Tbl_ResidentData[[#This Row],[S17]]=TRUE,Tbl_ResidentData[[#This Row],[P17]]=TRUE),1,0)</f>
        <v>0</v>
      </c>
      <c r="DF91" s="120">
        <f ca="1">IF(OR(Tbl_ResidentData[[#This Row],[S18]]=TRUE,Tbl_ResidentData[[#This Row],[P18]]=TRUE),1,0)</f>
        <v>0</v>
      </c>
      <c r="DG91" s="120">
        <f ca="1">IF(OR(Tbl_ResidentData[[#This Row],[S19]]=TRUE,Tbl_ResidentData[[#This Row],[P19]]=TRUE),1,0)</f>
        <v>0</v>
      </c>
      <c r="DH91" s="120">
        <f ca="1">IF(OR(Tbl_ResidentData[[#This Row],[S20]]=TRUE,Tbl_ResidentData[[#This Row],[P20]]=TRUE),1,0)</f>
        <v>0</v>
      </c>
      <c r="DI91" s="120">
        <f ca="1">IF(OR(Tbl_ResidentData[[#This Row],[S21]]=TRUE,Tbl_ResidentData[[#This Row],[P21]]=TRUE),1,0)</f>
        <v>0</v>
      </c>
      <c r="DJ91" s="120">
        <f ca="1">IF(OR(Tbl_ResidentData[[#This Row],[S22]]=TRUE,Tbl_ResidentData[[#This Row],[P22]]=TRUE),1,0)</f>
        <v>0</v>
      </c>
      <c r="DK91" s="120">
        <f ca="1">IF(OR(Tbl_ResidentData[[#This Row],[S23]]=TRUE,Tbl_ResidentData[[#This Row],[P23]]=TRUE),1,0)</f>
        <v>0</v>
      </c>
      <c r="DL91" s="120">
        <f ca="1">IF(OR(Tbl_ResidentData[[#This Row],[S24]]=TRUE,Tbl_ResidentData[[#This Row],[P24]]=TRUE),1,0)</f>
        <v>0</v>
      </c>
      <c r="DM91" s="123" t="str">
        <f ca="1">IFERROR(INDEX($CO$4:$DL$4,MATCH(TRUE,INDEX((Tbl_ResidentData[[#This Row],[Over1]:[Over24]]&lt;&gt;0),0),0)),"")</f>
        <v/>
      </c>
      <c r="DN91" s="133" t="str">
        <f>IFERROR(INDEX(Tbl_PDSAData[Last DRT],MATCH(Tbl_ResidentData[Resident Name '[last, first']],Tbl_PDSAData[Resident Name (last, first)],0)),"")</f>
        <v/>
      </c>
      <c r="DO91" s="222" t="str">
        <f>IFERROR(INDEX(Tbl_PDSAData[Last MR],MATCH(Tbl_ResidentData[Resident Name '[last, first']],Tbl_PDSAData[Resident Name (last, first)],0)),"")</f>
        <v/>
      </c>
    </row>
    <row r="92" spans="1:119" x14ac:dyDescent="0.25">
      <c r="A92" s="179"/>
      <c r="B92" s="180"/>
      <c r="C92" s="180"/>
      <c r="D92" s="218"/>
      <c r="E92" s="179"/>
      <c r="F92" s="181"/>
      <c r="G92" s="181"/>
      <c r="H92" s="375"/>
      <c r="I92" s="185"/>
      <c r="J92" s="387"/>
      <c r="K92" s="178"/>
      <c r="L92" s="388"/>
      <c r="M92" s="185"/>
      <c r="N92" s="386"/>
      <c r="O92" s="178"/>
      <c r="P92" s="388"/>
      <c r="Q92" s="394"/>
      <c r="R92" s="388"/>
      <c r="S92" s="131" t="str">
        <f>IF(ISBLANK(Tbl_ResidentData[[#This Row],[Discharge '[mmm-yyyy']]]),IF(ISBLANK(Tbl_ResidentData[[#This Row],[Enrollment '[mmm-yyyy']]]),"","In Care Home"),"Discharged")</f>
        <v/>
      </c>
      <c r="T92" s="119" t="str">
        <f>IF(ISBLANK(Tbl_ResidentData[[#This Row],[Diagnosis (RAI)]]),IF(ISBLANK(Tbl_ResidentData[[#This Row],[Resident Name '[last, first']]]),"",0),IF(Tbl_ResidentData[[#This Row],[Diagnosis (RAI)]]="Other (see clinical notes)",0,1))</f>
        <v/>
      </c>
      <c r="U92" s="120" t="str">
        <f ca="1">IF(U$4&gt;NOW(),"-",IF(ISBLANK(Tbl_ResidentData[[#This Row],[Enrollment '[mmm-yyyy']]]),"-",AND((Tbl_ResidentData[[#This Row],[Enrollment '[mmm-yyyy']]]&lt;=U$4),IF(ISBLANK(Tbl_ResidentData[[#This Row],[Discharge '[mmm-yyyy']]]),TRUE,(Tbl_ResidentData[[#This Row],[Discharge '[mmm-yyyy']]]&gt;=U$4)))))</f>
        <v>-</v>
      </c>
      <c r="V92" s="121" t="str">
        <f ca="1">IF(V$4&gt;NOW(),"-",IF(ISBLANK(Tbl_ResidentData[[#This Row],[Enrollment '[mmm-yyyy']]]),"-",AND((Tbl_ResidentData[[#This Row],[Enrollment '[mmm-yyyy']]]&lt;=V$4),IF(ISBLANK(Tbl_ResidentData[[#This Row],[Discharge '[mmm-yyyy']]]),TRUE,(Tbl_ResidentData[[#This Row],[Discharge '[mmm-yyyy']]]&gt;=V$4)))))</f>
        <v>-</v>
      </c>
      <c r="W92" s="121" t="str">
        <f ca="1">IF(W$4&gt;NOW(),"-",IF(ISBLANK(Tbl_ResidentData[[#This Row],[Enrollment '[mmm-yyyy']]]),"-",AND((Tbl_ResidentData[[#This Row],[Enrollment '[mmm-yyyy']]]&lt;=W$4),IF(ISBLANK(Tbl_ResidentData[[#This Row],[Discharge '[mmm-yyyy']]]),TRUE,(Tbl_ResidentData[[#This Row],[Discharge '[mmm-yyyy']]]&gt;=W$4)))))</f>
        <v>-</v>
      </c>
      <c r="X92" s="121" t="str">
        <f ca="1">IF(X$4&gt;NOW(),"-",IF(ISBLANK(Tbl_ResidentData[[#This Row],[Enrollment '[mmm-yyyy']]]),"-",AND((Tbl_ResidentData[[#This Row],[Enrollment '[mmm-yyyy']]]&lt;=X$4),IF(ISBLANK(Tbl_ResidentData[[#This Row],[Discharge '[mmm-yyyy']]]),TRUE,(Tbl_ResidentData[[#This Row],[Discharge '[mmm-yyyy']]]&gt;=X$4)))))</f>
        <v>-</v>
      </c>
      <c r="Y92" s="121" t="str">
        <f ca="1">IF(Y$4&gt;NOW(),"-",IF(ISBLANK(Tbl_ResidentData[[#This Row],[Enrollment '[mmm-yyyy']]]),"-",AND((Tbl_ResidentData[[#This Row],[Enrollment '[mmm-yyyy']]]&lt;=Y$4),IF(ISBLANK(Tbl_ResidentData[[#This Row],[Discharge '[mmm-yyyy']]]),TRUE,(Tbl_ResidentData[[#This Row],[Discharge '[mmm-yyyy']]]&gt;=Y$4)))))</f>
        <v>-</v>
      </c>
      <c r="Z92" s="121" t="str">
        <f ca="1">IF(Z$4&gt;NOW(),"-",IF(ISBLANK(Tbl_ResidentData[[#This Row],[Enrollment '[mmm-yyyy']]]),"-",AND((Tbl_ResidentData[[#This Row],[Enrollment '[mmm-yyyy']]]&lt;=Z$4),IF(ISBLANK(Tbl_ResidentData[[#This Row],[Discharge '[mmm-yyyy']]]),TRUE,(Tbl_ResidentData[[#This Row],[Discharge '[mmm-yyyy']]]&gt;=Z$4)))))</f>
        <v>-</v>
      </c>
      <c r="AA92" s="121" t="str">
        <f ca="1">IF(AA$4&gt;NOW(),"-",IF(ISBLANK(Tbl_ResidentData[[#This Row],[Enrollment '[mmm-yyyy']]]),"-",AND((Tbl_ResidentData[[#This Row],[Enrollment '[mmm-yyyy']]]&lt;=AA$4),IF(ISBLANK(Tbl_ResidentData[[#This Row],[Discharge '[mmm-yyyy']]]),TRUE,(Tbl_ResidentData[[#This Row],[Discharge '[mmm-yyyy']]]&gt;=AA$4)))))</f>
        <v>-</v>
      </c>
      <c r="AB92" s="121" t="str">
        <f ca="1">IF(AB$4&gt;NOW(),"-",IF(ISBLANK(Tbl_ResidentData[[#This Row],[Enrollment '[mmm-yyyy']]]),"-",AND((Tbl_ResidentData[[#This Row],[Enrollment '[mmm-yyyy']]]&lt;=AB$4),IF(ISBLANK(Tbl_ResidentData[[#This Row],[Discharge '[mmm-yyyy']]]),TRUE,(Tbl_ResidentData[[#This Row],[Discharge '[mmm-yyyy']]]&gt;=AB$4)))))</f>
        <v>-</v>
      </c>
      <c r="AC92" s="121" t="str">
        <f ca="1">IF(AC$4&gt;NOW(),"-",IF(ISBLANK(Tbl_ResidentData[[#This Row],[Enrollment '[mmm-yyyy']]]),"-",AND((Tbl_ResidentData[[#This Row],[Enrollment '[mmm-yyyy']]]&lt;=AC$4),IF(ISBLANK(Tbl_ResidentData[[#This Row],[Discharge '[mmm-yyyy']]]),TRUE,(Tbl_ResidentData[[#This Row],[Discharge '[mmm-yyyy']]]&gt;=AC$4)))))</f>
        <v>-</v>
      </c>
      <c r="AD92" s="121" t="str">
        <f ca="1">IF(AD$4&gt;NOW(),"-",IF(ISBLANK(Tbl_ResidentData[[#This Row],[Enrollment '[mmm-yyyy']]]),"-",AND((Tbl_ResidentData[[#This Row],[Enrollment '[mmm-yyyy']]]&lt;=AD$4),IF(ISBLANK(Tbl_ResidentData[[#This Row],[Discharge '[mmm-yyyy']]]),TRUE,(Tbl_ResidentData[[#This Row],[Discharge '[mmm-yyyy']]]&gt;=AD$4)))))</f>
        <v>-</v>
      </c>
      <c r="AE92" s="121" t="str">
        <f ca="1">IF(AE$4&gt;NOW(),"-",IF(ISBLANK(Tbl_ResidentData[[#This Row],[Enrollment '[mmm-yyyy']]]),"-",AND((Tbl_ResidentData[[#This Row],[Enrollment '[mmm-yyyy']]]&lt;=AE$4),IF(ISBLANK(Tbl_ResidentData[[#This Row],[Discharge '[mmm-yyyy']]]),TRUE,(Tbl_ResidentData[[#This Row],[Discharge '[mmm-yyyy']]]&gt;=AE$4)))))</f>
        <v>-</v>
      </c>
      <c r="AF92" s="121" t="str">
        <f ca="1">IF(AF$4&gt;NOW(),"-",IF(ISBLANK(Tbl_ResidentData[[#This Row],[Enrollment '[mmm-yyyy']]]),"-",AND((Tbl_ResidentData[[#This Row],[Enrollment '[mmm-yyyy']]]&lt;=AF$4),IF(ISBLANK(Tbl_ResidentData[[#This Row],[Discharge '[mmm-yyyy']]]),TRUE,(Tbl_ResidentData[[#This Row],[Discharge '[mmm-yyyy']]]&gt;=AF$4)))))</f>
        <v>-</v>
      </c>
      <c r="AG92" s="121" t="str">
        <f ca="1">IF(AG$4&gt;NOW(),"-",IF(ISBLANK(Tbl_ResidentData[[#This Row],[Enrollment '[mmm-yyyy']]]),"-",AND((Tbl_ResidentData[[#This Row],[Enrollment '[mmm-yyyy']]]&lt;=AG$4),IF(ISBLANK(Tbl_ResidentData[[#This Row],[Discharge '[mmm-yyyy']]]),TRUE,(Tbl_ResidentData[[#This Row],[Discharge '[mmm-yyyy']]]&gt;=AG$4)))))</f>
        <v>-</v>
      </c>
      <c r="AH92" s="121" t="str">
        <f ca="1">IF(AH$4&gt;NOW(),"-",IF(ISBLANK(Tbl_ResidentData[[#This Row],[Enrollment '[mmm-yyyy']]]),"-",AND((Tbl_ResidentData[[#This Row],[Enrollment '[mmm-yyyy']]]&lt;=AH$4),IF(ISBLANK(Tbl_ResidentData[[#This Row],[Discharge '[mmm-yyyy']]]),TRUE,(Tbl_ResidentData[[#This Row],[Discharge '[mmm-yyyy']]]&gt;=AH$4)))))</f>
        <v>-</v>
      </c>
      <c r="AI92" s="121" t="str">
        <f ca="1">IF(AI$4&gt;NOW(),"-",IF(ISBLANK(Tbl_ResidentData[[#This Row],[Enrollment '[mmm-yyyy']]]),"-",AND((Tbl_ResidentData[[#This Row],[Enrollment '[mmm-yyyy']]]&lt;=AI$4),IF(ISBLANK(Tbl_ResidentData[[#This Row],[Discharge '[mmm-yyyy']]]),TRUE,(Tbl_ResidentData[[#This Row],[Discharge '[mmm-yyyy']]]&gt;=AI$4)))))</f>
        <v>-</v>
      </c>
      <c r="AJ92" s="121" t="str">
        <f ca="1">IF(AJ$4&gt;NOW(),"-",IF(ISBLANK(Tbl_ResidentData[[#This Row],[Enrollment '[mmm-yyyy']]]),"-",AND((Tbl_ResidentData[[#This Row],[Enrollment '[mmm-yyyy']]]&lt;=AJ$4),IF(ISBLANK(Tbl_ResidentData[[#This Row],[Discharge '[mmm-yyyy']]]),TRUE,(Tbl_ResidentData[[#This Row],[Discharge '[mmm-yyyy']]]&gt;=AJ$4)))))</f>
        <v>-</v>
      </c>
      <c r="AK92" s="121" t="str">
        <f ca="1">IF(AK$4&gt;NOW(),"-",IF(ISBLANK(Tbl_ResidentData[[#This Row],[Enrollment '[mmm-yyyy']]]),"-",AND((Tbl_ResidentData[[#This Row],[Enrollment '[mmm-yyyy']]]&lt;=AK$4),IF(ISBLANK(Tbl_ResidentData[[#This Row],[Discharge '[mmm-yyyy']]]),TRUE,(Tbl_ResidentData[[#This Row],[Discharge '[mmm-yyyy']]]&gt;=AK$4)))))</f>
        <v>-</v>
      </c>
      <c r="AL92" s="121" t="str">
        <f ca="1">IF(AL$4&gt;NOW(),"-",IF(ISBLANK(Tbl_ResidentData[[#This Row],[Enrollment '[mmm-yyyy']]]),"-",AND((Tbl_ResidentData[[#This Row],[Enrollment '[mmm-yyyy']]]&lt;=AL$4),IF(ISBLANK(Tbl_ResidentData[[#This Row],[Discharge '[mmm-yyyy']]]),TRUE,(Tbl_ResidentData[[#This Row],[Discharge '[mmm-yyyy']]]&gt;=AL$4)))))</f>
        <v>-</v>
      </c>
      <c r="AM92" s="121" t="str">
        <f ca="1">IF(AM$4&gt;NOW(),"-",IF(ISBLANK(Tbl_ResidentData[[#This Row],[Enrollment '[mmm-yyyy']]]),"-",AND((Tbl_ResidentData[[#This Row],[Enrollment '[mmm-yyyy']]]&lt;=AM$4),IF(ISBLANK(Tbl_ResidentData[[#This Row],[Discharge '[mmm-yyyy']]]),TRUE,(Tbl_ResidentData[[#This Row],[Discharge '[mmm-yyyy']]]&gt;=AM$4)))))</f>
        <v>-</v>
      </c>
      <c r="AN92" s="121" t="str">
        <f ca="1">IF(AN$4&gt;NOW(),"-",IF(ISBLANK(Tbl_ResidentData[[#This Row],[Enrollment '[mmm-yyyy']]]),"-",AND((Tbl_ResidentData[[#This Row],[Enrollment '[mmm-yyyy']]]&lt;=AN$4),IF(ISBLANK(Tbl_ResidentData[[#This Row],[Discharge '[mmm-yyyy']]]),TRUE,(Tbl_ResidentData[[#This Row],[Discharge '[mmm-yyyy']]]&gt;=AN$4)))))</f>
        <v>-</v>
      </c>
      <c r="AO92" s="121" t="str">
        <f ca="1">IF(AO$4&gt;NOW(),"-",IF(ISBLANK(Tbl_ResidentData[[#This Row],[Enrollment '[mmm-yyyy']]]),"-",AND((Tbl_ResidentData[[#This Row],[Enrollment '[mmm-yyyy']]]&lt;=AO$4),IF(ISBLANK(Tbl_ResidentData[[#This Row],[Discharge '[mmm-yyyy']]]),TRUE,(Tbl_ResidentData[[#This Row],[Discharge '[mmm-yyyy']]]&gt;=AO$4)))))</f>
        <v>-</v>
      </c>
      <c r="AP92" s="121" t="str">
        <f ca="1">IF(AP$4&gt;NOW(),"-",IF(ISBLANK(Tbl_ResidentData[[#This Row],[Enrollment '[mmm-yyyy']]]),"-",AND((Tbl_ResidentData[[#This Row],[Enrollment '[mmm-yyyy']]]&lt;=AP$4),IF(ISBLANK(Tbl_ResidentData[[#This Row],[Discharge '[mmm-yyyy']]]),TRUE,(Tbl_ResidentData[[#This Row],[Discharge '[mmm-yyyy']]]&gt;=AP$4)))))</f>
        <v>-</v>
      </c>
      <c r="AQ92" s="121" t="str">
        <f ca="1">IF(AQ$4&gt;NOW(),"-",IF(ISBLANK(Tbl_ResidentData[[#This Row],[Enrollment '[mmm-yyyy']]]),"-",AND((Tbl_ResidentData[[#This Row],[Enrollment '[mmm-yyyy']]]&lt;=AQ$4),IF(ISBLANK(Tbl_ResidentData[[#This Row],[Discharge '[mmm-yyyy']]]),TRUE,(Tbl_ResidentData[[#This Row],[Discharge '[mmm-yyyy']]]&gt;=AQ$4)))))</f>
        <v>-</v>
      </c>
      <c r="AR92" s="122" t="str">
        <f ca="1">IF(AR$4&gt;NOW(),"-",IF(ISBLANK(Tbl_ResidentData[[#This Row],[Enrollment '[mmm-yyyy']]]),"-",AND((Tbl_ResidentData[[#This Row],[Enrollment '[mmm-yyyy']]]&lt;=AR$4),IF(ISBLANK(Tbl_ResidentData[[#This Row],[Discharge '[mmm-yyyy']]]),TRUE,(Tbl_ResidentData[[#This Row],[Discharge '[mmm-yyyy']]]&gt;=AR$4)))))</f>
        <v>-</v>
      </c>
      <c r="AS9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2" s="120" t="b">
        <f ca="1">AND(Tbl_ResidentData[[#This Row],[PRN Med Started]]&lt;&gt;"",Tbl_ResidentData[[#This Row],[PRN Med Started]]&lt;=NOW(),Tbl_ResidentData[[#This Row],[PRN Med Started]]&lt;=AS$4,OR(Tbl_ResidentData[[#This Row],[PRN Med Discontinued]]&gt;AS$4,ISBLANK(Tbl_ResidentData[[#This Row],[PRN Med Discontinued]])))</f>
        <v>0</v>
      </c>
      <c r="BR92" s="121" t="b">
        <f ca="1">AND(Tbl_ResidentData[[#This Row],[PRN Med Started]]&lt;&gt;"",Tbl_ResidentData[[#This Row],[PRN Med Started]]&lt;=NOW(),Tbl_ResidentData[[#This Row],[PRN Med Started]]&lt;=AT$4,OR(Tbl_ResidentData[[#This Row],[PRN Med Discontinued]]&gt;AT$4,ISBLANK(Tbl_ResidentData[[#This Row],[PRN Med Discontinued]])))</f>
        <v>0</v>
      </c>
      <c r="BS92" s="121" t="b">
        <f ca="1">AND(Tbl_ResidentData[[#This Row],[PRN Med Started]]&lt;&gt;"",Tbl_ResidentData[[#This Row],[PRN Med Started]]&lt;=NOW(),Tbl_ResidentData[[#This Row],[PRN Med Started]]&lt;=AU$4,OR(Tbl_ResidentData[[#This Row],[PRN Med Discontinued]]&gt;AU$4,ISBLANK(Tbl_ResidentData[[#This Row],[PRN Med Discontinued]])))</f>
        <v>0</v>
      </c>
      <c r="BT92" s="121" t="b">
        <f ca="1">AND(Tbl_ResidentData[[#This Row],[PRN Med Started]]&lt;&gt;"",Tbl_ResidentData[[#This Row],[PRN Med Started]]&lt;=NOW(),Tbl_ResidentData[[#This Row],[PRN Med Started]]&lt;=AV$4,OR(Tbl_ResidentData[[#This Row],[PRN Med Discontinued]]&gt;AV$4,ISBLANK(Tbl_ResidentData[[#This Row],[PRN Med Discontinued]])))</f>
        <v>0</v>
      </c>
      <c r="BU92" s="121" t="b">
        <f ca="1">AND(Tbl_ResidentData[[#This Row],[PRN Med Started]]&lt;&gt;"",Tbl_ResidentData[[#This Row],[PRN Med Started]]&lt;=NOW(),Tbl_ResidentData[[#This Row],[PRN Med Started]]&lt;=AW$4,OR(Tbl_ResidentData[[#This Row],[PRN Med Discontinued]]&gt;AW$4,ISBLANK(Tbl_ResidentData[[#This Row],[PRN Med Discontinued]])))</f>
        <v>0</v>
      </c>
      <c r="BV92" s="121" t="b">
        <f ca="1">AND(Tbl_ResidentData[[#This Row],[PRN Med Started]]&lt;&gt;"",Tbl_ResidentData[[#This Row],[PRN Med Started]]&lt;=NOW(),Tbl_ResidentData[[#This Row],[PRN Med Started]]&lt;=AX$4,OR(Tbl_ResidentData[[#This Row],[PRN Med Discontinued]]&gt;AX$4,ISBLANK(Tbl_ResidentData[[#This Row],[PRN Med Discontinued]])))</f>
        <v>0</v>
      </c>
      <c r="BW92" s="121" t="b">
        <f ca="1">AND(Tbl_ResidentData[[#This Row],[PRN Med Started]]&lt;&gt;"",Tbl_ResidentData[[#This Row],[PRN Med Started]]&lt;=NOW(),Tbl_ResidentData[[#This Row],[PRN Med Started]]&lt;=AY$4,OR(Tbl_ResidentData[[#This Row],[PRN Med Discontinued]]&gt;AY$4,ISBLANK(Tbl_ResidentData[[#This Row],[PRN Med Discontinued]])))</f>
        <v>0</v>
      </c>
      <c r="BX92" s="121" t="b">
        <f ca="1">AND(Tbl_ResidentData[[#This Row],[PRN Med Started]]&lt;&gt;"",Tbl_ResidentData[[#This Row],[PRN Med Started]]&lt;=NOW(),Tbl_ResidentData[[#This Row],[PRN Med Started]]&lt;=AZ$4,OR(Tbl_ResidentData[[#This Row],[PRN Med Discontinued]]&gt;AZ$4,ISBLANK(Tbl_ResidentData[[#This Row],[PRN Med Discontinued]])))</f>
        <v>0</v>
      </c>
      <c r="BY92" s="121" t="b">
        <f ca="1">AND(Tbl_ResidentData[[#This Row],[PRN Med Started]]&lt;&gt;"",Tbl_ResidentData[[#This Row],[PRN Med Started]]&lt;=NOW(),Tbl_ResidentData[[#This Row],[PRN Med Started]]&lt;=BA$4,OR(Tbl_ResidentData[[#This Row],[PRN Med Discontinued]]&gt;BA$4,ISBLANK(Tbl_ResidentData[[#This Row],[PRN Med Discontinued]])))</f>
        <v>0</v>
      </c>
      <c r="BZ92" s="121" t="b">
        <f ca="1">AND(Tbl_ResidentData[[#This Row],[PRN Med Started]]&lt;&gt;"",Tbl_ResidentData[[#This Row],[PRN Med Started]]&lt;=NOW(),Tbl_ResidentData[[#This Row],[PRN Med Started]]&lt;=BB$4,OR(Tbl_ResidentData[[#This Row],[PRN Med Discontinued]]&gt;BB$4,ISBLANK(Tbl_ResidentData[[#This Row],[PRN Med Discontinued]])))</f>
        <v>0</v>
      </c>
      <c r="CA92" s="121" t="b">
        <f ca="1">AND(Tbl_ResidentData[[#This Row],[PRN Med Started]]&lt;&gt;"",Tbl_ResidentData[[#This Row],[PRN Med Started]]&lt;=NOW(),Tbl_ResidentData[[#This Row],[PRN Med Started]]&lt;=BC$4,OR(Tbl_ResidentData[[#This Row],[PRN Med Discontinued]]&gt;BC$4,ISBLANK(Tbl_ResidentData[[#This Row],[PRN Med Discontinued]])))</f>
        <v>0</v>
      </c>
      <c r="CB92" s="121" t="b">
        <f ca="1">AND(Tbl_ResidentData[[#This Row],[PRN Med Started]]&lt;&gt;"",Tbl_ResidentData[[#This Row],[PRN Med Started]]&lt;=NOW(),Tbl_ResidentData[[#This Row],[PRN Med Started]]&lt;=BD$4,OR(Tbl_ResidentData[[#This Row],[PRN Med Discontinued]]&gt;BD$4,ISBLANK(Tbl_ResidentData[[#This Row],[PRN Med Discontinued]])))</f>
        <v>0</v>
      </c>
      <c r="CC92" s="121" t="b">
        <f ca="1">AND(Tbl_ResidentData[[#This Row],[PRN Med Started]]&lt;&gt;"",Tbl_ResidentData[[#This Row],[PRN Med Started]]&lt;=NOW(),Tbl_ResidentData[[#This Row],[PRN Med Started]]&lt;=BE$4,OR(Tbl_ResidentData[[#This Row],[PRN Med Discontinued]]&gt;BE$4,ISBLANK(Tbl_ResidentData[[#This Row],[PRN Med Discontinued]])))</f>
        <v>0</v>
      </c>
      <c r="CD92" s="121" t="b">
        <f ca="1">AND(Tbl_ResidentData[[#This Row],[PRN Med Started]]&lt;&gt;"",Tbl_ResidentData[[#This Row],[PRN Med Started]]&lt;=NOW(),Tbl_ResidentData[[#This Row],[PRN Med Started]]&lt;=BF$4,OR(Tbl_ResidentData[[#This Row],[PRN Med Discontinued]]&gt;BF$4,ISBLANK(Tbl_ResidentData[[#This Row],[PRN Med Discontinued]])))</f>
        <v>0</v>
      </c>
      <c r="CE92" s="121" t="b">
        <f ca="1">AND(Tbl_ResidentData[[#This Row],[PRN Med Started]]&lt;&gt;"",Tbl_ResidentData[[#This Row],[PRN Med Started]]&lt;=NOW(),Tbl_ResidentData[[#This Row],[PRN Med Started]]&lt;=BG$4,OR(Tbl_ResidentData[[#This Row],[PRN Med Discontinued]]&gt;BG$4,ISBLANK(Tbl_ResidentData[[#This Row],[PRN Med Discontinued]])))</f>
        <v>0</v>
      </c>
      <c r="CF92" s="121" t="b">
        <f ca="1">AND(Tbl_ResidentData[[#This Row],[PRN Med Started]]&lt;&gt;"",Tbl_ResidentData[[#This Row],[PRN Med Started]]&lt;=NOW(),Tbl_ResidentData[[#This Row],[PRN Med Started]]&lt;=BH$4,OR(Tbl_ResidentData[[#This Row],[PRN Med Discontinued]]&gt;BH$4,ISBLANK(Tbl_ResidentData[[#This Row],[PRN Med Discontinued]])))</f>
        <v>0</v>
      </c>
      <c r="CG92" s="121" t="b">
        <f ca="1">AND(Tbl_ResidentData[[#This Row],[PRN Med Started]]&lt;&gt;"",Tbl_ResidentData[[#This Row],[PRN Med Started]]&lt;=NOW(),Tbl_ResidentData[[#This Row],[PRN Med Started]]&lt;=BI$4,OR(Tbl_ResidentData[[#This Row],[PRN Med Discontinued]]&gt;BI$4,ISBLANK(Tbl_ResidentData[[#This Row],[PRN Med Discontinued]])))</f>
        <v>0</v>
      </c>
      <c r="CH92" s="121" t="b">
        <f ca="1">AND(Tbl_ResidentData[[#This Row],[PRN Med Started]]&lt;&gt;"",Tbl_ResidentData[[#This Row],[PRN Med Started]]&lt;=NOW(),Tbl_ResidentData[[#This Row],[PRN Med Started]]&lt;=BJ$4,OR(Tbl_ResidentData[[#This Row],[PRN Med Discontinued]]&gt;BJ$4,ISBLANK(Tbl_ResidentData[[#This Row],[PRN Med Discontinued]])))</f>
        <v>0</v>
      </c>
      <c r="CI92" s="121" t="b">
        <f ca="1">AND(Tbl_ResidentData[[#This Row],[PRN Med Started]]&lt;&gt;"",Tbl_ResidentData[[#This Row],[PRN Med Started]]&lt;=NOW(),Tbl_ResidentData[[#This Row],[PRN Med Started]]&lt;=BK$4,OR(Tbl_ResidentData[[#This Row],[PRN Med Discontinued]]&gt;BK$4,ISBLANK(Tbl_ResidentData[[#This Row],[PRN Med Discontinued]])))</f>
        <v>0</v>
      </c>
      <c r="CJ92" s="121" t="b">
        <f ca="1">AND(Tbl_ResidentData[[#This Row],[PRN Med Started]]&lt;&gt;"",Tbl_ResidentData[[#This Row],[PRN Med Started]]&lt;=NOW(),Tbl_ResidentData[[#This Row],[PRN Med Started]]&lt;=BL$4,OR(Tbl_ResidentData[[#This Row],[PRN Med Discontinued]]&gt;BL$4,ISBLANK(Tbl_ResidentData[[#This Row],[PRN Med Discontinued]])))</f>
        <v>0</v>
      </c>
      <c r="CK92" s="121" t="b">
        <f ca="1">AND(Tbl_ResidentData[[#This Row],[PRN Med Started]]&lt;&gt;"",Tbl_ResidentData[[#This Row],[PRN Med Started]]&lt;=NOW(),Tbl_ResidentData[[#This Row],[PRN Med Started]]&lt;=BM$4,OR(Tbl_ResidentData[[#This Row],[PRN Med Discontinued]]&gt;BM$4,ISBLANK(Tbl_ResidentData[[#This Row],[PRN Med Discontinued]])))</f>
        <v>0</v>
      </c>
      <c r="CL92" s="121" t="b">
        <f ca="1">AND(Tbl_ResidentData[[#This Row],[PRN Med Started]]&lt;&gt;"",Tbl_ResidentData[[#This Row],[PRN Med Started]]&lt;=NOW(),Tbl_ResidentData[[#This Row],[PRN Med Started]]&lt;=BN$4,OR(Tbl_ResidentData[[#This Row],[PRN Med Discontinued]]&gt;BN$4,ISBLANK(Tbl_ResidentData[[#This Row],[PRN Med Discontinued]])))</f>
        <v>0</v>
      </c>
      <c r="CM92" s="121" t="b">
        <f ca="1">AND(Tbl_ResidentData[[#This Row],[PRN Med Started]]&lt;&gt;"",Tbl_ResidentData[[#This Row],[PRN Med Started]]&lt;=NOW(),Tbl_ResidentData[[#This Row],[PRN Med Started]]&lt;=BO$4,OR(Tbl_ResidentData[[#This Row],[PRN Med Discontinued]]&gt;BO$4,ISBLANK(Tbl_ResidentData[[#This Row],[PRN Med Discontinued]])))</f>
        <v>0</v>
      </c>
      <c r="CN92" s="122" t="b">
        <f ca="1">AND(Tbl_ResidentData[[#This Row],[PRN Med Started]]&lt;&gt;"",Tbl_ResidentData[[#This Row],[PRN Med Started]]&lt;=NOW(),Tbl_ResidentData[[#This Row],[PRN Med Started]]&lt;=BP$4,OR(Tbl_ResidentData[[#This Row],[PRN Med Discontinued]]&gt;BP$4,ISBLANK(Tbl_ResidentData[[#This Row],[PRN Med Discontinued]])))</f>
        <v>0</v>
      </c>
      <c r="CO92" s="120">
        <f ca="1">IF(OR(Tbl_ResidentData[[#This Row],[S1]]=TRUE,Tbl_ResidentData[[#This Row],[P1]]=TRUE),1,0)</f>
        <v>0</v>
      </c>
      <c r="CP92" s="121">
        <f ca="1">IF(OR(Tbl_ResidentData[[#This Row],[S2]]=TRUE,Tbl_ResidentData[[#This Row],[P2]]=TRUE),1,0)</f>
        <v>0</v>
      </c>
      <c r="CQ92" s="121">
        <f ca="1">IF(OR(Tbl_ResidentData[[#This Row],[S3]]=TRUE,Tbl_ResidentData[[#This Row],[P3]]=TRUE),1,0)</f>
        <v>0</v>
      </c>
      <c r="CR92" s="120">
        <f ca="1">IF(OR(Tbl_ResidentData[[#This Row],[S4]]=TRUE,Tbl_ResidentData[[#This Row],[P4]]=TRUE),1,0)</f>
        <v>0</v>
      </c>
      <c r="CS92" s="120">
        <f ca="1">IF(OR(Tbl_ResidentData[[#This Row],[S5]]=TRUE,Tbl_ResidentData[[#This Row],[P5]]=TRUE),1,0)</f>
        <v>0</v>
      </c>
      <c r="CT92" s="120">
        <f ca="1">IF(OR(Tbl_ResidentData[[#This Row],[S6]]=TRUE,Tbl_ResidentData[[#This Row],[P6]]=TRUE),1,0)</f>
        <v>0</v>
      </c>
      <c r="CU92" s="120">
        <f ca="1">IF(OR(Tbl_ResidentData[[#This Row],[S7]]=TRUE,Tbl_ResidentData[[#This Row],[P7]]=TRUE),1,0)</f>
        <v>0</v>
      </c>
      <c r="CV92" s="120">
        <f ca="1">IF(OR(Tbl_ResidentData[[#This Row],[S8]]=TRUE,Tbl_ResidentData[[#This Row],[P8]]=TRUE),1,0)</f>
        <v>0</v>
      </c>
      <c r="CW92" s="120">
        <f ca="1">IF(OR(Tbl_ResidentData[[#This Row],[S9]]=TRUE,Tbl_ResidentData[[#This Row],[P9]]=TRUE),1,0)</f>
        <v>0</v>
      </c>
      <c r="CX92" s="120">
        <f ca="1">IF(OR(Tbl_ResidentData[[#This Row],[S10]]=TRUE,Tbl_ResidentData[[#This Row],[P10]]=TRUE),1,0)</f>
        <v>0</v>
      </c>
      <c r="CY92" s="120">
        <f ca="1">IF(OR(Tbl_ResidentData[[#This Row],[S11]]=TRUE,Tbl_ResidentData[[#This Row],[P11]]=TRUE),1,0)</f>
        <v>0</v>
      </c>
      <c r="CZ92" s="120">
        <f ca="1">IF(OR(Tbl_ResidentData[[#This Row],[S12]]=TRUE,Tbl_ResidentData[[#This Row],[P12]]=TRUE),1,0)</f>
        <v>0</v>
      </c>
      <c r="DA92" s="120">
        <f ca="1">IF(OR(Tbl_ResidentData[[#This Row],[S13]]=TRUE,Tbl_ResidentData[[#This Row],[P13]]=TRUE),1,0)</f>
        <v>0</v>
      </c>
      <c r="DB92" s="120">
        <f ca="1">IF(OR(Tbl_ResidentData[[#This Row],[S14]]=TRUE,Tbl_ResidentData[[#This Row],[P14]]=TRUE),1,0)</f>
        <v>0</v>
      </c>
      <c r="DC92" s="120">
        <f ca="1">IF(OR(Tbl_ResidentData[[#This Row],[S15]]=TRUE,Tbl_ResidentData[[#This Row],[P15]]=TRUE),1,0)</f>
        <v>0</v>
      </c>
      <c r="DD92" s="120">
        <f ca="1">IF(OR(Tbl_ResidentData[[#This Row],[S16]]=TRUE,Tbl_ResidentData[[#This Row],[P16]]=TRUE),1,0)</f>
        <v>0</v>
      </c>
      <c r="DE92" s="120">
        <f ca="1">IF(OR(Tbl_ResidentData[[#This Row],[S17]]=TRUE,Tbl_ResidentData[[#This Row],[P17]]=TRUE),1,0)</f>
        <v>0</v>
      </c>
      <c r="DF92" s="120">
        <f ca="1">IF(OR(Tbl_ResidentData[[#This Row],[S18]]=TRUE,Tbl_ResidentData[[#This Row],[P18]]=TRUE),1,0)</f>
        <v>0</v>
      </c>
      <c r="DG92" s="120">
        <f ca="1">IF(OR(Tbl_ResidentData[[#This Row],[S19]]=TRUE,Tbl_ResidentData[[#This Row],[P19]]=TRUE),1,0)</f>
        <v>0</v>
      </c>
      <c r="DH92" s="120">
        <f ca="1">IF(OR(Tbl_ResidentData[[#This Row],[S20]]=TRUE,Tbl_ResidentData[[#This Row],[P20]]=TRUE),1,0)</f>
        <v>0</v>
      </c>
      <c r="DI92" s="120">
        <f ca="1">IF(OR(Tbl_ResidentData[[#This Row],[S21]]=TRUE,Tbl_ResidentData[[#This Row],[P21]]=TRUE),1,0)</f>
        <v>0</v>
      </c>
      <c r="DJ92" s="120">
        <f ca="1">IF(OR(Tbl_ResidentData[[#This Row],[S22]]=TRUE,Tbl_ResidentData[[#This Row],[P22]]=TRUE),1,0)</f>
        <v>0</v>
      </c>
      <c r="DK92" s="120">
        <f ca="1">IF(OR(Tbl_ResidentData[[#This Row],[S23]]=TRUE,Tbl_ResidentData[[#This Row],[P23]]=TRUE),1,0)</f>
        <v>0</v>
      </c>
      <c r="DL92" s="120">
        <f ca="1">IF(OR(Tbl_ResidentData[[#This Row],[S24]]=TRUE,Tbl_ResidentData[[#This Row],[P24]]=TRUE),1,0)</f>
        <v>0</v>
      </c>
      <c r="DM92" s="123" t="str">
        <f ca="1">IFERROR(INDEX($CO$4:$DL$4,MATCH(TRUE,INDEX((Tbl_ResidentData[[#This Row],[Over1]:[Over24]]&lt;&gt;0),0),0)),"")</f>
        <v/>
      </c>
      <c r="DN92" s="133" t="str">
        <f>IFERROR(INDEX(Tbl_PDSAData[Last DRT],MATCH(Tbl_ResidentData[Resident Name '[last, first']],Tbl_PDSAData[Resident Name (last, first)],0)),"")</f>
        <v/>
      </c>
      <c r="DO92" s="222" t="str">
        <f>IFERROR(INDEX(Tbl_PDSAData[Last MR],MATCH(Tbl_ResidentData[Resident Name '[last, first']],Tbl_PDSAData[Resident Name (last, first)],0)),"")</f>
        <v/>
      </c>
    </row>
    <row r="93" spans="1:119" x14ac:dyDescent="0.25">
      <c r="A93" s="179"/>
      <c r="B93" s="180"/>
      <c r="C93" s="180"/>
      <c r="D93" s="218"/>
      <c r="E93" s="179"/>
      <c r="F93" s="181"/>
      <c r="G93" s="181"/>
      <c r="H93" s="182"/>
      <c r="I93" s="185"/>
      <c r="J93" s="387"/>
      <c r="K93" s="178"/>
      <c r="L93" s="388"/>
      <c r="M93" s="185"/>
      <c r="N93" s="386"/>
      <c r="O93" s="178"/>
      <c r="P93" s="388"/>
      <c r="Q93" s="395"/>
      <c r="R93" s="396"/>
      <c r="S93" s="131" t="str">
        <f>IF(ISBLANK(Tbl_ResidentData[[#This Row],[Discharge '[mmm-yyyy']]]),IF(ISBLANK(Tbl_ResidentData[[#This Row],[Enrollment '[mmm-yyyy']]]),"","In Care Home"),"Discharged")</f>
        <v/>
      </c>
      <c r="T93" s="119" t="str">
        <f>IF(ISBLANK(Tbl_ResidentData[[#This Row],[Diagnosis (RAI)]]),IF(ISBLANK(Tbl_ResidentData[[#This Row],[Resident Name '[last, first']]]),"",0),IF(Tbl_ResidentData[[#This Row],[Diagnosis (RAI)]]="Other (see clinical notes)",0,1))</f>
        <v/>
      </c>
      <c r="U93" s="120" t="str">
        <f ca="1">IF(U$4&gt;NOW(),"-",IF(ISBLANK(Tbl_ResidentData[[#This Row],[Enrollment '[mmm-yyyy']]]),"-",AND((Tbl_ResidentData[[#This Row],[Enrollment '[mmm-yyyy']]]&lt;=U$4),IF(ISBLANK(Tbl_ResidentData[[#This Row],[Discharge '[mmm-yyyy']]]),TRUE,(Tbl_ResidentData[[#This Row],[Discharge '[mmm-yyyy']]]&gt;=U$4)))))</f>
        <v>-</v>
      </c>
      <c r="V93" s="121" t="str">
        <f ca="1">IF(V$4&gt;NOW(),"-",IF(ISBLANK(Tbl_ResidentData[[#This Row],[Enrollment '[mmm-yyyy']]]),"-",AND((Tbl_ResidentData[[#This Row],[Enrollment '[mmm-yyyy']]]&lt;=V$4),IF(ISBLANK(Tbl_ResidentData[[#This Row],[Discharge '[mmm-yyyy']]]),TRUE,(Tbl_ResidentData[[#This Row],[Discharge '[mmm-yyyy']]]&gt;=V$4)))))</f>
        <v>-</v>
      </c>
      <c r="W93" s="121" t="str">
        <f ca="1">IF(W$4&gt;NOW(),"-",IF(ISBLANK(Tbl_ResidentData[[#This Row],[Enrollment '[mmm-yyyy']]]),"-",AND((Tbl_ResidentData[[#This Row],[Enrollment '[mmm-yyyy']]]&lt;=W$4),IF(ISBLANK(Tbl_ResidentData[[#This Row],[Discharge '[mmm-yyyy']]]),TRUE,(Tbl_ResidentData[[#This Row],[Discharge '[mmm-yyyy']]]&gt;=W$4)))))</f>
        <v>-</v>
      </c>
      <c r="X93" s="121" t="str">
        <f ca="1">IF(X$4&gt;NOW(),"-",IF(ISBLANK(Tbl_ResidentData[[#This Row],[Enrollment '[mmm-yyyy']]]),"-",AND((Tbl_ResidentData[[#This Row],[Enrollment '[mmm-yyyy']]]&lt;=X$4),IF(ISBLANK(Tbl_ResidentData[[#This Row],[Discharge '[mmm-yyyy']]]),TRUE,(Tbl_ResidentData[[#This Row],[Discharge '[mmm-yyyy']]]&gt;=X$4)))))</f>
        <v>-</v>
      </c>
      <c r="Y93" s="121" t="str">
        <f ca="1">IF(Y$4&gt;NOW(),"-",IF(ISBLANK(Tbl_ResidentData[[#This Row],[Enrollment '[mmm-yyyy']]]),"-",AND((Tbl_ResidentData[[#This Row],[Enrollment '[mmm-yyyy']]]&lt;=Y$4),IF(ISBLANK(Tbl_ResidentData[[#This Row],[Discharge '[mmm-yyyy']]]),TRUE,(Tbl_ResidentData[[#This Row],[Discharge '[mmm-yyyy']]]&gt;=Y$4)))))</f>
        <v>-</v>
      </c>
      <c r="Z93" s="121" t="str">
        <f ca="1">IF(Z$4&gt;NOW(),"-",IF(ISBLANK(Tbl_ResidentData[[#This Row],[Enrollment '[mmm-yyyy']]]),"-",AND((Tbl_ResidentData[[#This Row],[Enrollment '[mmm-yyyy']]]&lt;=Z$4),IF(ISBLANK(Tbl_ResidentData[[#This Row],[Discharge '[mmm-yyyy']]]),TRUE,(Tbl_ResidentData[[#This Row],[Discharge '[mmm-yyyy']]]&gt;=Z$4)))))</f>
        <v>-</v>
      </c>
      <c r="AA93" s="121" t="str">
        <f ca="1">IF(AA$4&gt;NOW(),"-",IF(ISBLANK(Tbl_ResidentData[[#This Row],[Enrollment '[mmm-yyyy']]]),"-",AND((Tbl_ResidentData[[#This Row],[Enrollment '[mmm-yyyy']]]&lt;=AA$4),IF(ISBLANK(Tbl_ResidentData[[#This Row],[Discharge '[mmm-yyyy']]]),TRUE,(Tbl_ResidentData[[#This Row],[Discharge '[mmm-yyyy']]]&gt;=AA$4)))))</f>
        <v>-</v>
      </c>
      <c r="AB93" s="121" t="str">
        <f ca="1">IF(AB$4&gt;NOW(),"-",IF(ISBLANK(Tbl_ResidentData[[#This Row],[Enrollment '[mmm-yyyy']]]),"-",AND((Tbl_ResidentData[[#This Row],[Enrollment '[mmm-yyyy']]]&lt;=AB$4),IF(ISBLANK(Tbl_ResidentData[[#This Row],[Discharge '[mmm-yyyy']]]),TRUE,(Tbl_ResidentData[[#This Row],[Discharge '[mmm-yyyy']]]&gt;=AB$4)))))</f>
        <v>-</v>
      </c>
      <c r="AC93" s="121" t="str">
        <f ca="1">IF(AC$4&gt;NOW(),"-",IF(ISBLANK(Tbl_ResidentData[[#This Row],[Enrollment '[mmm-yyyy']]]),"-",AND((Tbl_ResidentData[[#This Row],[Enrollment '[mmm-yyyy']]]&lt;=AC$4),IF(ISBLANK(Tbl_ResidentData[[#This Row],[Discharge '[mmm-yyyy']]]),TRUE,(Tbl_ResidentData[[#This Row],[Discharge '[mmm-yyyy']]]&gt;=AC$4)))))</f>
        <v>-</v>
      </c>
      <c r="AD93" s="121" t="str">
        <f ca="1">IF(AD$4&gt;NOW(),"-",IF(ISBLANK(Tbl_ResidentData[[#This Row],[Enrollment '[mmm-yyyy']]]),"-",AND((Tbl_ResidentData[[#This Row],[Enrollment '[mmm-yyyy']]]&lt;=AD$4),IF(ISBLANK(Tbl_ResidentData[[#This Row],[Discharge '[mmm-yyyy']]]),TRUE,(Tbl_ResidentData[[#This Row],[Discharge '[mmm-yyyy']]]&gt;=AD$4)))))</f>
        <v>-</v>
      </c>
      <c r="AE93" s="121" t="str">
        <f ca="1">IF(AE$4&gt;NOW(),"-",IF(ISBLANK(Tbl_ResidentData[[#This Row],[Enrollment '[mmm-yyyy']]]),"-",AND((Tbl_ResidentData[[#This Row],[Enrollment '[mmm-yyyy']]]&lt;=AE$4),IF(ISBLANK(Tbl_ResidentData[[#This Row],[Discharge '[mmm-yyyy']]]),TRUE,(Tbl_ResidentData[[#This Row],[Discharge '[mmm-yyyy']]]&gt;=AE$4)))))</f>
        <v>-</v>
      </c>
      <c r="AF93" s="121" t="str">
        <f ca="1">IF(AF$4&gt;NOW(),"-",IF(ISBLANK(Tbl_ResidentData[[#This Row],[Enrollment '[mmm-yyyy']]]),"-",AND((Tbl_ResidentData[[#This Row],[Enrollment '[mmm-yyyy']]]&lt;=AF$4),IF(ISBLANK(Tbl_ResidentData[[#This Row],[Discharge '[mmm-yyyy']]]),TRUE,(Tbl_ResidentData[[#This Row],[Discharge '[mmm-yyyy']]]&gt;=AF$4)))))</f>
        <v>-</v>
      </c>
      <c r="AG93" s="121" t="str">
        <f ca="1">IF(AG$4&gt;NOW(),"-",IF(ISBLANK(Tbl_ResidentData[[#This Row],[Enrollment '[mmm-yyyy']]]),"-",AND((Tbl_ResidentData[[#This Row],[Enrollment '[mmm-yyyy']]]&lt;=AG$4),IF(ISBLANK(Tbl_ResidentData[[#This Row],[Discharge '[mmm-yyyy']]]),TRUE,(Tbl_ResidentData[[#This Row],[Discharge '[mmm-yyyy']]]&gt;=AG$4)))))</f>
        <v>-</v>
      </c>
      <c r="AH93" s="121" t="str">
        <f ca="1">IF(AH$4&gt;NOW(),"-",IF(ISBLANK(Tbl_ResidentData[[#This Row],[Enrollment '[mmm-yyyy']]]),"-",AND((Tbl_ResidentData[[#This Row],[Enrollment '[mmm-yyyy']]]&lt;=AH$4),IF(ISBLANK(Tbl_ResidentData[[#This Row],[Discharge '[mmm-yyyy']]]),TRUE,(Tbl_ResidentData[[#This Row],[Discharge '[mmm-yyyy']]]&gt;=AH$4)))))</f>
        <v>-</v>
      </c>
      <c r="AI93" s="121" t="str">
        <f ca="1">IF(AI$4&gt;NOW(),"-",IF(ISBLANK(Tbl_ResidentData[[#This Row],[Enrollment '[mmm-yyyy']]]),"-",AND((Tbl_ResidentData[[#This Row],[Enrollment '[mmm-yyyy']]]&lt;=AI$4),IF(ISBLANK(Tbl_ResidentData[[#This Row],[Discharge '[mmm-yyyy']]]),TRUE,(Tbl_ResidentData[[#This Row],[Discharge '[mmm-yyyy']]]&gt;=AI$4)))))</f>
        <v>-</v>
      </c>
      <c r="AJ93" s="121" t="str">
        <f ca="1">IF(AJ$4&gt;NOW(),"-",IF(ISBLANK(Tbl_ResidentData[[#This Row],[Enrollment '[mmm-yyyy']]]),"-",AND((Tbl_ResidentData[[#This Row],[Enrollment '[mmm-yyyy']]]&lt;=AJ$4),IF(ISBLANK(Tbl_ResidentData[[#This Row],[Discharge '[mmm-yyyy']]]),TRUE,(Tbl_ResidentData[[#This Row],[Discharge '[mmm-yyyy']]]&gt;=AJ$4)))))</f>
        <v>-</v>
      </c>
      <c r="AK93" s="121" t="str">
        <f ca="1">IF(AK$4&gt;NOW(),"-",IF(ISBLANK(Tbl_ResidentData[[#This Row],[Enrollment '[mmm-yyyy']]]),"-",AND((Tbl_ResidentData[[#This Row],[Enrollment '[mmm-yyyy']]]&lt;=AK$4),IF(ISBLANK(Tbl_ResidentData[[#This Row],[Discharge '[mmm-yyyy']]]),TRUE,(Tbl_ResidentData[[#This Row],[Discharge '[mmm-yyyy']]]&gt;=AK$4)))))</f>
        <v>-</v>
      </c>
      <c r="AL93" s="121" t="str">
        <f ca="1">IF(AL$4&gt;NOW(),"-",IF(ISBLANK(Tbl_ResidentData[[#This Row],[Enrollment '[mmm-yyyy']]]),"-",AND((Tbl_ResidentData[[#This Row],[Enrollment '[mmm-yyyy']]]&lt;=AL$4),IF(ISBLANK(Tbl_ResidentData[[#This Row],[Discharge '[mmm-yyyy']]]),TRUE,(Tbl_ResidentData[[#This Row],[Discharge '[mmm-yyyy']]]&gt;=AL$4)))))</f>
        <v>-</v>
      </c>
      <c r="AM93" s="121" t="str">
        <f ca="1">IF(AM$4&gt;NOW(),"-",IF(ISBLANK(Tbl_ResidentData[[#This Row],[Enrollment '[mmm-yyyy']]]),"-",AND((Tbl_ResidentData[[#This Row],[Enrollment '[mmm-yyyy']]]&lt;=AM$4),IF(ISBLANK(Tbl_ResidentData[[#This Row],[Discharge '[mmm-yyyy']]]),TRUE,(Tbl_ResidentData[[#This Row],[Discharge '[mmm-yyyy']]]&gt;=AM$4)))))</f>
        <v>-</v>
      </c>
      <c r="AN93" s="121" t="str">
        <f ca="1">IF(AN$4&gt;NOW(),"-",IF(ISBLANK(Tbl_ResidentData[[#This Row],[Enrollment '[mmm-yyyy']]]),"-",AND((Tbl_ResidentData[[#This Row],[Enrollment '[mmm-yyyy']]]&lt;=AN$4),IF(ISBLANK(Tbl_ResidentData[[#This Row],[Discharge '[mmm-yyyy']]]),TRUE,(Tbl_ResidentData[[#This Row],[Discharge '[mmm-yyyy']]]&gt;=AN$4)))))</f>
        <v>-</v>
      </c>
      <c r="AO93" s="121" t="str">
        <f ca="1">IF(AO$4&gt;NOW(),"-",IF(ISBLANK(Tbl_ResidentData[[#This Row],[Enrollment '[mmm-yyyy']]]),"-",AND((Tbl_ResidentData[[#This Row],[Enrollment '[mmm-yyyy']]]&lt;=AO$4),IF(ISBLANK(Tbl_ResidentData[[#This Row],[Discharge '[mmm-yyyy']]]),TRUE,(Tbl_ResidentData[[#This Row],[Discharge '[mmm-yyyy']]]&gt;=AO$4)))))</f>
        <v>-</v>
      </c>
      <c r="AP93" s="121" t="str">
        <f ca="1">IF(AP$4&gt;NOW(),"-",IF(ISBLANK(Tbl_ResidentData[[#This Row],[Enrollment '[mmm-yyyy']]]),"-",AND((Tbl_ResidentData[[#This Row],[Enrollment '[mmm-yyyy']]]&lt;=AP$4),IF(ISBLANK(Tbl_ResidentData[[#This Row],[Discharge '[mmm-yyyy']]]),TRUE,(Tbl_ResidentData[[#This Row],[Discharge '[mmm-yyyy']]]&gt;=AP$4)))))</f>
        <v>-</v>
      </c>
      <c r="AQ93" s="121" t="str">
        <f ca="1">IF(AQ$4&gt;NOW(),"-",IF(ISBLANK(Tbl_ResidentData[[#This Row],[Enrollment '[mmm-yyyy']]]),"-",AND((Tbl_ResidentData[[#This Row],[Enrollment '[mmm-yyyy']]]&lt;=AQ$4),IF(ISBLANK(Tbl_ResidentData[[#This Row],[Discharge '[mmm-yyyy']]]),TRUE,(Tbl_ResidentData[[#This Row],[Discharge '[mmm-yyyy']]]&gt;=AQ$4)))))</f>
        <v>-</v>
      </c>
      <c r="AR93" s="122" t="str">
        <f ca="1">IF(AR$4&gt;NOW(),"-",IF(ISBLANK(Tbl_ResidentData[[#This Row],[Enrollment '[mmm-yyyy']]]),"-",AND((Tbl_ResidentData[[#This Row],[Enrollment '[mmm-yyyy']]]&lt;=AR$4),IF(ISBLANK(Tbl_ResidentData[[#This Row],[Discharge '[mmm-yyyy']]]),TRUE,(Tbl_ResidentData[[#This Row],[Discharge '[mmm-yyyy']]]&gt;=AR$4)))))</f>
        <v>-</v>
      </c>
      <c r="AS9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3" s="120" t="b">
        <f ca="1">AND(Tbl_ResidentData[[#This Row],[PRN Med Started]]&lt;&gt;"",Tbl_ResidentData[[#This Row],[PRN Med Started]]&lt;=NOW(),Tbl_ResidentData[[#This Row],[PRN Med Started]]&lt;=AS$4,OR(Tbl_ResidentData[[#This Row],[PRN Med Discontinued]]&gt;AS$4,ISBLANK(Tbl_ResidentData[[#This Row],[PRN Med Discontinued]])))</f>
        <v>0</v>
      </c>
      <c r="BR93" s="121" t="b">
        <f ca="1">AND(Tbl_ResidentData[[#This Row],[PRN Med Started]]&lt;&gt;"",Tbl_ResidentData[[#This Row],[PRN Med Started]]&lt;=NOW(),Tbl_ResidentData[[#This Row],[PRN Med Started]]&lt;=AT$4,OR(Tbl_ResidentData[[#This Row],[PRN Med Discontinued]]&gt;AT$4,ISBLANK(Tbl_ResidentData[[#This Row],[PRN Med Discontinued]])))</f>
        <v>0</v>
      </c>
      <c r="BS93" s="121" t="b">
        <f ca="1">AND(Tbl_ResidentData[[#This Row],[PRN Med Started]]&lt;&gt;"",Tbl_ResidentData[[#This Row],[PRN Med Started]]&lt;=NOW(),Tbl_ResidentData[[#This Row],[PRN Med Started]]&lt;=AU$4,OR(Tbl_ResidentData[[#This Row],[PRN Med Discontinued]]&gt;AU$4,ISBLANK(Tbl_ResidentData[[#This Row],[PRN Med Discontinued]])))</f>
        <v>0</v>
      </c>
      <c r="BT93" s="121" t="b">
        <f ca="1">AND(Tbl_ResidentData[[#This Row],[PRN Med Started]]&lt;&gt;"",Tbl_ResidentData[[#This Row],[PRN Med Started]]&lt;=NOW(),Tbl_ResidentData[[#This Row],[PRN Med Started]]&lt;=AV$4,OR(Tbl_ResidentData[[#This Row],[PRN Med Discontinued]]&gt;AV$4,ISBLANK(Tbl_ResidentData[[#This Row],[PRN Med Discontinued]])))</f>
        <v>0</v>
      </c>
      <c r="BU93" s="121" t="b">
        <f ca="1">AND(Tbl_ResidentData[[#This Row],[PRN Med Started]]&lt;&gt;"",Tbl_ResidentData[[#This Row],[PRN Med Started]]&lt;=NOW(),Tbl_ResidentData[[#This Row],[PRN Med Started]]&lt;=AW$4,OR(Tbl_ResidentData[[#This Row],[PRN Med Discontinued]]&gt;AW$4,ISBLANK(Tbl_ResidentData[[#This Row],[PRN Med Discontinued]])))</f>
        <v>0</v>
      </c>
      <c r="BV93" s="121" t="b">
        <f ca="1">AND(Tbl_ResidentData[[#This Row],[PRN Med Started]]&lt;&gt;"",Tbl_ResidentData[[#This Row],[PRN Med Started]]&lt;=NOW(),Tbl_ResidentData[[#This Row],[PRN Med Started]]&lt;=AX$4,OR(Tbl_ResidentData[[#This Row],[PRN Med Discontinued]]&gt;AX$4,ISBLANK(Tbl_ResidentData[[#This Row],[PRN Med Discontinued]])))</f>
        <v>0</v>
      </c>
      <c r="BW93" s="121" t="b">
        <f ca="1">AND(Tbl_ResidentData[[#This Row],[PRN Med Started]]&lt;&gt;"",Tbl_ResidentData[[#This Row],[PRN Med Started]]&lt;=NOW(),Tbl_ResidentData[[#This Row],[PRN Med Started]]&lt;=AY$4,OR(Tbl_ResidentData[[#This Row],[PRN Med Discontinued]]&gt;AY$4,ISBLANK(Tbl_ResidentData[[#This Row],[PRN Med Discontinued]])))</f>
        <v>0</v>
      </c>
      <c r="BX93" s="121" t="b">
        <f ca="1">AND(Tbl_ResidentData[[#This Row],[PRN Med Started]]&lt;&gt;"",Tbl_ResidentData[[#This Row],[PRN Med Started]]&lt;=NOW(),Tbl_ResidentData[[#This Row],[PRN Med Started]]&lt;=AZ$4,OR(Tbl_ResidentData[[#This Row],[PRN Med Discontinued]]&gt;AZ$4,ISBLANK(Tbl_ResidentData[[#This Row],[PRN Med Discontinued]])))</f>
        <v>0</v>
      </c>
      <c r="BY93" s="121" t="b">
        <f ca="1">AND(Tbl_ResidentData[[#This Row],[PRN Med Started]]&lt;&gt;"",Tbl_ResidentData[[#This Row],[PRN Med Started]]&lt;=NOW(),Tbl_ResidentData[[#This Row],[PRN Med Started]]&lt;=BA$4,OR(Tbl_ResidentData[[#This Row],[PRN Med Discontinued]]&gt;BA$4,ISBLANK(Tbl_ResidentData[[#This Row],[PRN Med Discontinued]])))</f>
        <v>0</v>
      </c>
      <c r="BZ93" s="121" t="b">
        <f ca="1">AND(Tbl_ResidentData[[#This Row],[PRN Med Started]]&lt;&gt;"",Tbl_ResidentData[[#This Row],[PRN Med Started]]&lt;=NOW(),Tbl_ResidentData[[#This Row],[PRN Med Started]]&lt;=BB$4,OR(Tbl_ResidentData[[#This Row],[PRN Med Discontinued]]&gt;BB$4,ISBLANK(Tbl_ResidentData[[#This Row],[PRN Med Discontinued]])))</f>
        <v>0</v>
      </c>
      <c r="CA93" s="121" t="b">
        <f ca="1">AND(Tbl_ResidentData[[#This Row],[PRN Med Started]]&lt;&gt;"",Tbl_ResidentData[[#This Row],[PRN Med Started]]&lt;=NOW(),Tbl_ResidentData[[#This Row],[PRN Med Started]]&lt;=BC$4,OR(Tbl_ResidentData[[#This Row],[PRN Med Discontinued]]&gt;BC$4,ISBLANK(Tbl_ResidentData[[#This Row],[PRN Med Discontinued]])))</f>
        <v>0</v>
      </c>
      <c r="CB93" s="121" t="b">
        <f ca="1">AND(Tbl_ResidentData[[#This Row],[PRN Med Started]]&lt;&gt;"",Tbl_ResidentData[[#This Row],[PRN Med Started]]&lt;=NOW(),Tbl_ResidentData[[#This Row],[PRN Med Started]]&lt;=BD$4,OR(Tbl_ResidentData[[#This Row],[PRN Med Discontinued]]&gt;BD$4,ISBLANK(Tbl_ResidentData[[#This Row],[PRN Med Discontinued]])))</f>
        <v>0</v>
      </c>
      <c r="CC93" s="121" t="b">
        <f ca="1">AND(Tbl_ResidentData[[#This Row],[PRN Med Started]]&lt;&gt;"",Tbl_ResidentData[[#This Row],[PRN Med Started]]&lt;=NOW(),Tbl_ResidentData[[#This Row],[PRN Med Started]]&lt;=BE$4,OR(Tbl_ResidentData[[#This Row],[PRN Med Discontinued]]&gt;BE$4,ISBLANK(Tbl_ResidentData[[#This Row],[PRN Med Discontinued]])))</f>
        <v>0</v>
      </c>
      <c r="CD93" s="121" t="b">
        <f ca="1">AND(Tbl_ResidentData[[#This Row],[PRN Med Started]]&lt;&gt;"",Tbl_ResidentData[[#This Row],[PRN Med Started]]&lt;=NOW(),Tbl_ResidentData[[#This Row],[PRN Med Started]]&lt;=BF$4,OR(Tbl_ResidentData[[#This Row],[PRN Med Discontinued]]&gt;BF$4,ISBLANK(Tbl_ResidentData[[#This Row],[PRN Med Discontinued]])))</f>
        <v>0</v>
      </c>
      <c r="CE93" s="121" t="b">
        <f ca="1">AND(Tbl_ResidentData[[#This Row],[PRN Med Started]]&lt;&gt;"",Tbl_ResidentData[[#This Row],[PRN Med Started]]&lt;=NOW(),Tbl_ResidentData[[#This Row],[PRN Med Started]]&lt;=BG$4,OR(Tbl_ResidentData[[#This Row],[PRN Med Discontinued]]&gt;BG$4,ISBLANK(Tbl_ResidentData[[#This Row],[PRN Med Discontinued]])))</f>
        <v>0</v>
      </c>
      <c r="CF93" s="121" t="b">
        <f ca="1">AND(Tbl_ResidentData[[#This Row],[PRN Med Started]]&lt;&gt;"",Tbl_ResidentData[[#This Row],[PRN Med Started]]&lt;=NOW(),Tbl_ResidentData[[#This Row],[PRN Med Started]]&lt;=BH$4,OR(Tbl_ResidentData[[#This Row],[PRN Med Discontinued]]&gt;BH$4,ISBLANK(Tbl_ResidentData[[#This Row],[PRN Med Discontinued]])))</f>
        <v>0</v>
      </c>
      <c r="CG93" s="121" t="b">
        <f ca="1">AND(Tbl_ResidentData[[#This Row],[PRN Med Started]]&lt;&gt;"",Tbl_ResidentData[[#This Row],[PRN Med Started]]&lt;=NOW(),Tbl_ResidentData[[#This Row],[PRN Med Started]]&lt;=BI$4,OR(Tbl_ResidentData[[#This Row],[PRN Med Discontinued]]&gt;BI$4,ISBLANK(Tbl_ResidentData[[#This Row],[PRN Med Discontinued]])))</f>
        <v>0</v>
      </c>
      <c r="CH93" s="121" t="b">
        <f ca="1">AND(Tbl_ResidentData[[#This Row],[PRN Med Started]]&lt;&gt;"",Tbl_ResidentData[[#This Row],[PRN Med Started]]&lt;=NOW(),Tbl_ResidentData[[#This Row],[PRN Med Started]]&lt;=BJ$4,OR(Tbl_ResidentData[[#This Row],[PRN Med Discontinued]]&gt;BJ$4,ISBLANK(Tbl_ResidentData[[#This Row],[PRN Med Discontinued]])))</f>
        <v>0</v>
      </c>
      <c r="CI93" s="121" t="b">
        <f ca="1">AND(Tbl_ResidentData[[#This Row],[PRN Med Started]]&lt;&gt;"",Tbl_ResidentData[[#This Row],[PRN Med Started]]&lt;=NOW(),Tbl_ResidentData[[#This Row],[PRN Med Started]]&lt;=BK$4,OR(Tbl_ResidentData[[#This Row],[PRN Med Discontinued]]&gt;BK$4,ISBLANK(Tbl_ResidentData[[#This Row],[PRN Med Discontinued]])))</f>
        <v>0</v>
      </c>
      <c r="CJ93" s="121" t="b">
        <f ca="1">AND(Tbl_ResidentData[[#This Row],[PRN Med Started]]&lt;&gt;"",Tbl_ResidentData[[#This Row],[PRN Med Started]]&lt;=NOW(),Tbl_ResidentData[[#This Row],[PRN Med Started]]&lt;=BL$4,OR(Tbl_ResidentData[[#This Row],[PRN Med Discontinued]]&gt;BL$4,ISBLANK(Tbl_ResidentData[[#This Row],[PRN Med Discontinued]])))</f>
        <v>0</v>
      </c>
      <c r="CK93" s="121" t="b">
        <f ca="1">AND(Tbl_ResidentData[[#This Row],[PRN Med Started]]&lt;&gt;"",Tbl_ResidentData[[#This Row],[PRN Med Started]]&lt;=NOW(),Tbl_ResidentData[[#This Row],[PRN Med Started]]&lt;=BM$4,OR(Tbl_ResidentData[[#This Row],[PRN Med Discontinued]]&gt;BM$4,ISBLANK(Tbl_ResidentData[[#This Row],[PRN Med Discontinued]])))</f>
        <v>0</v>
      </c>
      <c r="CL93" s="121" t="b">
        <f ca="1">AND(Tbl_ResidentData[[#This Row],[PRN Med Started]]&lt;&gt;"",Tbl_ResidentData[[#This Row],[PRN Med Started]]&lt;=NOW(),Tbl_ResidentData[[#This Row],[PRN Med Started]]&lt;=BN$4,OR(Tbl_ResidentData[[#This Row],[PRN Med Discontinued]]&gt;BN$4,ISBLANK(Tbl_ResidentData[[#This Row],[PRN Med Discontinued]])))</f>
        <v>0</v>
      </c>
      <c r="CM93" s="121" t="b">
        <f ca="1">AND(Tbl_ResidentData[[#This Row],[PRN Med Started]]&lt;&gt;"",Tbl_ResidentData[[#This Row],[PRN Med Started]]&lt;=NOW(),Tbl_ResidentData[[#This Row],[PRN Med Started]]&lt;=BO$4,OR(Tbl_ResidentData[[#This Row],[PRN Med Discontinued]]&gt;BO$4,ISBLANK(Tbl_ResidentData[[#This Row],[PRN Med Discontinued]])))</f>
        <v>0</v>
      </c>
      <c r="CN93" s="122" t="b">
        <f ca="1">AND(Tbl_ResidentData[[#This Row],[PRN Med Started]]&lt;&gt;"",Tbl_ResidentData[[#This Row],[PRN Med Started]]&lt;=NOW(),Tbl_ResidentData[[#This Row],[PRN Med Started]]&lt;=BP$4,OR(Tbl_ResidentData[[#This Row],[PRN Med Discontinued]]&gt;BP$4,ISBLANK(Tbl_ResidentData[[#This Row],[PRN Med Discontinued]])))</f>
        <v>0</v>
      </c>
      <c r="CO93" s="120">
        <f ca="1">IF(OR(Tbl_ResidentData[[#This Row],[S1]]=TRUE,Tbl_ResidentData[[#This Row],[P1]]=TRUE),1,0)</f>
        <v>0</v>
      </c>
      <c r="CP93" s="121">
        <f ca="1">IF(OR(Tbl_ResidentData[[#This Row],[S2]]=TRUE,Tbl_ResidentData[[#This Row],[P2]]=TRUE),1,0)</f>
        <v>0</v>
      </c>
      <c r="CQ93" s="121">
        <f ca="1">IF(OR(Tbl_ResidentData[[#This Row],[S3]]=TRUE,Tbl_ResidentData[[#This Row],[P3]]=TRUE),1,0)</f>
        <v>0</v>
      </c>
      <c r="CR93" s="120">
        <f ca="1">IF(OR(Tbl_ResidentData[[#This Row],[S4]]=TRUE,Tbl_ResidentData[[#This Row],[P4]]=TRUE),1,0)</f>
        <v>0</v>
      </c>
      <c r="CS93" s="120">
        <f ca="1">IF(OR(Tbl_ResidentData[[#This Row],[S5]]=TRUE,Tbl_ResidentData[[#This Row],[P5]]=TRUE),1,0)</f>
        <v>0</v>
      </c>
      <c r="CT93" s="120">
        <f ca="1">IF(OR(Tbl_ResidentData[[#This Row],[S6]]=TRUE,Tbl_ResidentData[[#This Row],[P6]]=TRUE),1,0)</f>
        <v>0</v>
      </c>
      <c r="CU93" s="120">
        <f ca="1">IF(OR(Tbl_ResidentData[[#This Row],[S7]]=TRUE,Tbl_ResidentData[[#This Row],[P7]]=TRUE),1,0)</f>
        <v>0</v>
      </c>
      <c r="CV93" s="120">
        <f ca="1">IF(OR(Tbl_ResidentData[[#This Row],[S8]]=TRUE,Tbl_ResidentData[[#This Row],[P8]]=TRUE),1,0)</f>
        <v>0</v>
      </c>
      <c r="CW93" s="120">
        <f ca="1">IF(OR(Tbl_ResidentData[[#This Row],[S9]]=TRUE,Tbl_ResidentData[[#This Row],[P9]]=TRUE),1,0)</f>
        <v>0</v>
      </c>
      <c r="CX93" s="120">
        <f ca="1">IF(OR(Tbl_ResidentData[[#This Row],[S10]]=TRUE,Tbl_ResidentData[[#This Row],[P10]]=TRUE),1,0)</f>
        <v>0</v>
      </c>
      <c r="CY93" s="120">
        <f ca="1">IF(OR(Tbl_ResidentData[[#This Row],[S11]]=TRUE,Tbl_ResidentData[[#This Row],[P11]]=TRUE),1,0)</f>
        <v>0</v>
      </c>
      <c r="CZ93" s="120">
        <f ca="1">IF(OR(Tbl_ResidentData[[#This Row],[S12]]=TRUE,Tbl_ResidentData[[#This Row],[P12]]=TRUE),1,0)</f>
        <v>0</v>
      </c>
      <c r="DA93" s="120">
        <f ca="1">IF(OR(Tbl_ResidentData[[#This Row],[S13]]=TRUE,Tbl_ResidentData[[#This Row],[P13]]=TRUE),1,0)</f>
        <v>0</v>
      </c>
      <c r="DB93" s="120">
        <f ca="1">IF(OR(Tbl_ResidentData[[#This Row],[S14]]=TRUE,Tbl_ResidentData[[#This Row],[P14]]=TRUE),1,0)</f>
        <v>0</v>
      </c>
      <c r="DC93" s="120">
        <f ca="1">IF(OR(Tbl_ResidentData[[#This Row],[S15]]=TRUE,Tbl_ResidentData[[#This Row],[P15]]=TRUE),1,0)</f>
        <v>0</v>
      </c>
      <c r="DD93" s="120">
        <f ca="1">IF(OR(Tbl_ResidentData[[#This Row],[S16]]=TRUE,Tbl_ResidentData[[#This Row],[P16]]=TRUE),1,0)</f>
        <v>0</v>
      </c>
      <c r="DE93" s="120">
        <f ca="1">IF(OR(Tbl_ResidentData[[#This Row],[S17]]=TRUE,Tbl_ResidentData[[#This Row],[P17]]=TRUE),1,0)</f>
        <v>0</v>
      </c>
      <c r="DF93" s="120">
        <f ca="1">IF(OR(Tbl_ResidentData[[#This Row],[S18]]=TRUE,Tbl_ResidentData[[#This Row],[P18]]=TRUE),1,0)</f>
        <v>0</v>
      </c>
      <c r="DG93" s="120">
        <f ca="1">IF(OR(Tbl_ResidentData[[#This Row],[S19]]=TRUE,Tbl_ResidentData[[#This Row],[P19]]=TRUE),1,0)</f>
        <v>0</v>
      </c>
      <c r="DH93" s="120">
        <f ca="1">IF(OR(Tbl_ResidentData[[#This Row],[S20]]=TRUE,Tbl_ResidentData[[#This Row],[P20]]=TRUE),1,0)</f>
        <v>0</v>
      </c>
      <c r="DI93" s="120">
        <f ca="1">IF(OR(Tbl_ResidentData[[#This Row],[S21]]=TRUE,Tbl_ResidentData[[#This Row],[P21]]=TRUE),1,0)</f>
        <v>0</v>
      </c>
      <c r="DJ93" s="120">
        <f ca="1">IF(OR(Tbl_ResidentData[[#This Row],[S22]]=TRUE,Tbl_ResidentData[[#This Row],[P22]]=TRUE),1,0)</f>
        <v>0</v>
      </c>
      <c r="DK93" s="120">
        <f ca="1">IF(OR(Tbl_ResidentData[[#This Row],[S23]]=TRUE,Tbl_ResidentData[[#This Row],[P23]]=TRUE),1,0)</f>
        <v>0</v>
      </c>
      <c r="DL93" s="120">
        <f ca="1">IF(OR(Tbl_ResidentData[[#This Row],[S24]]=TRUE,Tbl_ResidentData[[#This Row],[P24]]=TRUE),1,0)</f>
        <v>0</v>
      </c>
      <c r="DM93" s="123" t="str">
        <f ca="1">IFERROR(INDEX($CO$4:$DL$4,MATCH(TRUE,INDEX((Tbl_ResidentData[[#This Row],[Over1]:[Over24]]&lt;&gt;0),0),0)),"")</f>
        <v/>
      </c>
      <c r="DN93" s="133" t="str">
        <f>IFERROR(INDEX(Tbl_PDSAData[Last DRT],MATCH(Tbl_ResidentData[Resident Name '[last, first']],Tbl_PDSAData[Resident Name (last, first)],0)),"")</f>
        <v/>
      </c>
      <c r="DO93" s="222" t="str">
        <f>IFERROR(INDEX(Tbl_PDSAData[Last MR],MATCH(Tbl_ResidentData[Resident Name '[last, first']],Tbl_PDSAData[Resident Name (last, first)],0)),"")</f>
        <v/>
      </c>
    </row>
    <row r="94" spans="1:119" x14ac:dyDescent="0.25">
      <c r="A94" s="179"/>
      <c r="B94" s="180"/>
      <c r="C94" s="180"/>
      <c r="D94" s="217"/>
      <c r="E94" s="179"/>
      <c r="F94" s="181"/>
      <c r="G94" s="181"/>
      <c r="H94" s="375"/>
      <c r="I94" s="185"/>
      <c r="J94" s="387"/>
      <c r="K94" s="178"/>
      <c r="L94" s="388"/>
      <c r="M94" s="185"/>
      <c r="N94" s="386"/>
      <c r="O94" s="178"/>
      <c r="P94" s="388"/>
      <c r="Q94" s="394"/>
      <c r="R94" s="388"/>
      <c r="S94" s="131" t="str">
        <f>IF(ISBLANK(Tbl_ResidentData[[#This Row],[Discharge '[mmm-yyyy']]]),IF(ISBLANK(Tbl_ResidentData[[#This Row],[Enrollment '[mmm-yyyy']]]),"","In Care Home"),"Discharged")</f>
        <v/>
      </c>
      <c r="T94" s="119" t="str">
        <f>IF(ISBLANK(Tbl_ResidentData[[#This Row],[Diagnosis (RAI)]]),IF(ISBLANK(Tbl_ResidentData[[#This Row],[Resident Name '[last, first']]]),"",0),IF(Tbl_ResidentData[[#This Row],[Diagnosis (RAI)]]="Other (see clinical notes)",0,1))</f>
        <v/>
      </c>
      <c r="U94" s="120" t="str">
        <f ca="1">IF(U$4&gt;NOW(),"-",IF(ISBLANK(Tbl_ResidentData[[#This Row],[Enrollment '[mmm-yyyy']]]),"-",AND((Tbl_ResidentData[[#This Row],[Enrollment '[mmm-yyyy']]]&lt;=U$4),IF(ISBLANK(Tbl_ResidentData[[#This Row],[Discharge '[mmm-yyyy']]]),TRUE,(Tbl_ResidentData[[#This Row],[Discharge '[mmm-yyyy']]]&gt;=U$4)))))</f>
        <v>-</v>
      </c>
      <c r="V94" s="121" t="str">
        <f ca="1">IF(V$4&gt;NOW(),"-",IF(ISBLANK(Tbl_ResidentData[[#This Row],[Enrollment '[mmm-yyyy']]]),"-",AND((Tbl_ResidentData[[#This Row],[Enrollment '[mmm-yyyy']]]&lt;=V$4),IF(ISBLANK(Tbl_ResidentData[[#This Row],[Discharge '[mmm-yyyy']]]),TRUE,(Tbl_ResidentData[[#This Row],[Discharge '[mmm-yyyy']]]&gt;=V$4)))))</f>
        <v>-</v>
      </c>
      <c r="W94" s="121" t="str">
        <f ca="1">IF(W$4&gt;NOW(),"-",IF(ISBLANK(Tbl_ResidentData[[#This Row],[Enrollment '[mmm-yyyy']]]),"-",AND((Tbl_ResidentData[[#This Row],[Enrollment '[mmm-yyyy']]]&lt;=W$4),IF(ISBLANK(Tbl_ResidentData[[#This Row],[Discharge '[mmm-yyyy']]]),TRUE,(Tbl_ResidentData[[#This Row],[Discharge '[mmm-yyyy']]]&gt;=W$4)))))</f>
        <v>-</v>
      </c>
      <c r="X94" s="121" t="str">
        <f ca="1">IF(X$4&gt;NOW(),"-",IF(ISBLANK(Tbl_ResidentData[[#This Row],[Enrollment '[mmm-yyyy']]]),"-",AND((Tbl_ResidentData[[#This Row],[Enrollment '[mmm-yyyy']]]&lt;=X$4),IF(ISBLANK(Tbl_ResidentData[[#This Row],[Discharge '[mmm-yyyy']]]),TRUE,(Tbl_ResidentData[[#This Row],[Discharge '[mmm-yyyy']]]&gt;=X$4)))))</f>
        <v>-</v>
      </c>
      <c r="Y94" s="121" t="str">
        <f ca="1">IF(Y$4&gt;NOW(),"-",IF(ISBLANK(Tbl_ResidentData[[#This Row],[Enrollment '[mmm-yyyy']]]),"-",AND((Tbl_ResidentData[[#This Row],[Enrollment '[mmm-yyyy']]]&lt;=Y$4),IF(ISBLANK(Tbl_ResidentData[[#This Row],[Discharge '[mmm-yyyy']]]),TRUE,(Tbl_ResidentData[[#This Row],[Discharge '[mmm-yyyy']]]&gt;=Y$4)))))</f>
        <v>-</v>
      </c>
      <c r="Z94" s="121" t="str">
        <f ca="1">IF(Z$4&gt;NOW(),"-",IF(ISBLANK(Tbl_ResidentData[[#This Row],[Enrollment '[mmm-yyyy']]]),"-",AND((Tbl_ResidentData[[#This Row],[Enrollment '[mmm-yyyy']]]&lt;=Z$4),IF(ISBLANK(Tbl_ResidentData[[#This Row],[Discharge '[mmm-yyyy']]]),TRUE,(Tbl_ResidentData[[#This Row],[Discharge '[mmm-yyyy']]]&gt;=Z$4)))))</f>
        <v>-</v>
      </c>
      <c r="AA94" s="121" t="str">
        <f ca="1">IF(AA$4&gt;NOW(),"-",IF(ISBLANK(Tbl_ResidentData[[#This Row],[Enrollment '[mmm-yyyy']]]),"-",AND((Tbl_ResidentData[[#This Row],[Enrollment '[mmm-yyyy']]]&lt;=AA$4),IF(ISBLANK(Tbl_ResidentData[[#This Row],[Discharge '[mmm-yyyy']]]),TRUE,(Tbl_ResidentData[[#This Row],[Discharge '[mmm-yyyy']]]&gt;=AA$4)))))</f>
        <v>-</v>
      </c>
      <c r="AB94" s="121" t="str">
        <f ca="1">IF(AB$4&gt;NOW(),"-",IF(ISBLANK(Tbl_ResidentData[[#This Row],[Enrollment '[mmm-yyyy']]]),"-",AND((Tbl_ResidentData[[#This Row],[Enrollment '[mmm-yyyy']]]&lt;=AB$4),IF(ISBLANK(Tbl_ResidentData[[#This Row],[Discharge '[mmm-yyyy']]]),TRUE,(Tbl_ResidentData[[#This Row],[Discharge '[mmm-yyyy']]]&gt;=AB$4)))))</f>
        <v>-</v>
      </c>
      <c r="AC94" s="121" t="str">
        <f ca="1">IF(AC$4&gt;NOW(),"-",IF(ISBLANK(Tbl_ResidentData[[#This Row],[Enrollment '[mmm-yyyy']]]),"-",AND((Tbl_ResidentData[[#This Row],[Enrollment '[mmm-yyyy']]]&lt;=AC$4),IF(ISBLANK(Tbl_ResidentData[[#This Row],[Discharge '[mmm-yyyy']]]),TRUE,(Tbl_ResidentData[[#This Row],[Discharge '[mmm-yyyy']]]&gt;=AC$4)))))</f>
        <v>-</v>
      </c>
      <c r="AD94" s="121" t="str">
        <f ca="1">IF(AD$4&gt;NOW(),"-",IF(ISBLANK(Tbl_ResidentData[[#This Row],[Enrollment '[mmm-yyyy']]]),"-",AND((Tbl_ResidentData[[#This Row],[Enrollment '[mmm-yyyy']]]&lt;=AD$4),IF(ISBLANK(Tbl_ResidentData[[#This Row],[Discharge '[mmm-yyyy']]]),TRUE,(Tbl_ResidentData[[#This Row],[Discharge '[mmm-yyyy']]]&gt;=AD$4)))))</f>
        <v>-</v>
      </c>
      <c r="AE94" s="121" t="str">
        <f ca="1">IF(AE$4&gt;NOW(),"-",IF(ISBLANK(Tbl_ResidentData[[#This Row],[Enrollment '[mmm-yyyy']]]),"-",AND((Tbl_ResidentData[[#This Row],[Enrollment '[mmm-yyyy']]]&lt;=AE$4),IF(ISBLANK(Tbl_ResidentData[[#This Row],[Discharge '[mmm-yyyy']]]),TRUE,(Tbl_ResidentData[[#This Row],[Discharge '[mmm-yyyy']]]&gt;=AE$4)))))</f>
        <v>-</v>
      </c>
      <c r="AF94" s="121" t="str">
        <f ca="1">IF(AF$4&gt;NOW(),"-",IF(ISBLANK(Tbl_ResidentData[[#This Row],[Enrollment '[mmm-yyyy']]]),"-",AND((Tbl_ResidentData[[#This Row],[Enrollment '[mmm-yyyy']]]&lt;=AF$4),IF(ISBLANK(Tbl_ResidentData[[#This Row],[Discharge '[mmm-yyyy']]]),TRUE,(Tbl_ResidentData[[#This Row],[Discharge '[mmm-yyyy']]]&gt;=AF$4)))))</f>
        <v>-</v>
      </c>
      <c r="AG94" s="121" t="str">
        <f ca="1">IF(AG$4&gt;NOW(),"-",IF(ISBLANK(Tbl_ResidentData[[#This Row],[Enrollment '[mmm-yyyy']]]),"-",AND((Tbl_ResidentData[[#This Row],[Enrollment '[mmm-yyyy']]]&lt;=AG$4),IF(ISBLANK(Tbl_ResidentData[[#This Row],[Discharge '[mmm-yyyy']]]),TRUE,(Tbl_ResidentData[[#This Row],[Discharge '[mmm-yyyy']]]&gt;=AG$4)))))</f>
        <v>-</v>
      </c>
      <c r="AH94" s="121" t="str">
        <f ca="1">IF(AH$4&gt;NOW(),"-",IF(ISBLANK(Tbl_ResidentData[[#This Row],[Enrollment '[mmm-yyyy']]]),"-",AND((Tbl_ResidentData[[#This Row],[Enrollment '[mmm-yyyy']]]&lt;=AH$4),IF(ISBLANK(Tbl_ResidentData[[#This Row],[Discharge '[mmm-yyyy']]]),TRUE,(Tbl_ResidentData[[#This Row],[Discharge '[mmm-yyyy']]]&gt;=AH$4)))))</f>
        <v>-</v>
      </c>
      <c r="AI94" s="121" t="str">
        <f ca="1">IF(AI$4&gt;NOW(),"-",IF(ISBLANK(Tbl_ResidentData[[#This Row],[Enrollment '[mmm-yyyy']]]),"-",AND((Tbl_ResidentData[[#This Row],[Enrollment '[mmm-yyyy']]]&lt;=AI$4),IF(ISBLANK(Tbl_ResidentData[[#This Row],[Discharge '[mmm-yyyy']]]),TRUE,(Tbl_ResidentData[[#This Row],[Discharge '[mmm-yyyy']]]&gt;=AI$4)))))</f>
        <v>-</v>
      </c>
      <c r="AJ94" s="121" t="str">
        <f ca="1">IF(AJ$4&gt;NOW(),"-",IF(ISBLANK(Tbl_ResidentData[[#This Row],[Enrollment '[mmm-yyyy']]]),"-",AND((Tbl_ResidentData[[#This Row],[Enrollment '[mmm-yyyy']]]&lt;=AJ$4),IF(ISBLANK(Tbl_ResidentData[[#This Row],[Discharge '[mmm-yyyy']]]),TRUE,(Tbl_ResidentData[[#This Row],[Discharge '[mmm-yyyy']]]&gt;=AJ$4)))))</f>
        <v>-</v>
      </c>
      <c r="AK94" s="121" t="str">
        <f ca="1">IF(AK$4&gt;NOW(),"-",IF(ISBLANK(Tbl_ResidentData[[#This Row],[Enrollment '[mmm-yyyy']]]),"-",AND((Tbl_ResidentData[[#This Row],[Enrollment '[mmm-yyyy']]]&lt;=AK$4),IF(ISBLANK(Tbl_ResidentData[[#This Row],[Discharge '[mmm-yyyy']]]),TRUE,(Tbl_ResidentData[[#This Row],[Discharge '[mmm-yyyy']]]&gt;=AK$4)))))</f>
        <v>-</v>
      </c>
      <c r="AL94" s="121" t="str">
        <f ca="1">IF(AL$4&gt;NOW(),"-",IF(ISBLANK(Tbl_ResidentData[[#This Row],[Enrollment '[mmm-yyyy']]]),"-",AND((Tbl_ResidentData[[#This Row],[Enrollment '[mmm-yyyy']]]&lt;=AL$4),IF(ISBLANK(Tbl_ResidentData[[#This Row],[Discharge '[mmm-yyyy']]]),TRUE,(Tbl_ResidentData[[#This Row],[Discharge '[mmm-yyyy']]]&gt;=AL$4)))))</f>
        <v>-</v>
      </c>
      <c r="AM94" s="121" t="str">
        <f ca="1">IF(AM$4&gt;NOW(),"-",IF(ISBLANK(Tbl_ResidentData[[#This Row],[Enrollment '[mmm-yyyy']]]),"-",AND((Tbl_ResidentData[[#This Row],[Enrollment '[mmm-yyyy']]]&lt;=AM$4),IF(ISBLANK(Tbl_ResidentData[[#This Row],[Discharge '[mmm-yyyy']]]),TRUE,(Tbl_ResidentData[[#This Row],[Discharge '[mmm-yyyy']]]&gt;=AM$4)))))</f>
        <v>-</v>
      </c>
      <c r="AN94" s="121" t="str">
        <f ca="1">IF(AN$4&gt;NOW(),"-",IF(ISBLANK(Tbl_ResidentData[[#This Row],[Enrollment '[mmm-yyyy']]]),"-",AND((Tbl_ResidentData[[#This Row],[Enrollment '[mmm-yyyy']]]&lt;=AN$4),IF(ISBLANK(Tbl_ResidentData[[#This Row],[Discharge '[mmm-yyyy']]]),TRUE,(Tbl_ResidentData[[#This Row],[Discharge '[mmm-yyyy']]]&gt;=AN$4)))))</f>
        <v>-</v>
      </c>
      <c r="AO94" s="121" t="str">
        <f ca="1">IF(AO$4&gt;NOW(),"-",IF(ISBLANK(Tbl_ResidentData[[#This Row],[Enrollment '[mmm-yyyy']]]),"-",AND((Tbl_ResidentData[[#This Row],[Enrollment '[mmm-yyyy']]]&lt;=AO$4),IF(ISBLANK(Tbl_ResidentData[[#This Row],[Discharge '[mmm-yyyy']]]),TRUE,(Tbl_ResidentData[[#This Row],[Discharge '[mmm-yyyy']]]&gt;=AO$4)))))</f>
        <v>-</v>
      </c>
      <c r="AP94" s="121" t="str">
        <f ca="1">IF(AP$4&gt;NOW(),"-",IF(ISBLANK(Tbl_ResidentData[[#This Row],[Enrollment '[mmm-yyyy']]]),"-",AND((Tbl_ResidentData[[#This Row],[Enrollment '[mmm-yyyy']]]&lt;=AP$4),IF(ISBLANK(Tbl_ResidentData[[#This Row],[Discharge '[mmm-yyyy']]]),TRUE,(Tbl_ResidentData[[#This Row],[Discharge '[mmm-yyyy']]]&gt;=AP$4)))))</f>
        <v>-</v>
      </c>
      <c r="AQ94" s="121" t="str">
        <f ca="1">IF(AQ$4&gt;NOW(),"-",IF(ISBLANK(Tbl_ResidentData[[#This Row],[Enrollment '[mmm-yyyy']]]),"-",AND((Tbl_ResidentData[[#This Row],[Enrollment '[mmm-yyyy']]]&lt;=AQ$4),IF(ISBLANK(Tbl_ResidentData[[#This Row],[Discharge '[mmm-yyyy']]]),TRUE,(Tbl_ResidentData[[#This Row],[Discharge '[mmm-yyyy']]]&gt;=AQ$4)))))</f>
        <v>-</v>
      </c>
      <c r="AR94" s="122" t="str">
        <f ca="1">IF(AR$4&gt;NOW(),"-",IF(ISBLANK(Tbl_ResidentData[[#This Row],[Enrollment '[mmm-yyyy']]]),"-",AND((Tbl_ResidentData[[#This Row],[Enrollment '[mmm-yyyy']]]&lt;=AR$4),IF(ISBLANK(Tbl_ResidentData[[#This Row],[Discharge '[mmm-yyyy']]]),TRUE,(Tbl_ResidentData[[#This Row],[Discharge '[mmm-yyyy']]]&gt;=AR$4)))))</f>
        <v>-</v>
      </c>
      <c r="AS9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4" s="120" t="b">
        <f ca="1">AND(Tbl_ResidentData[[#This Row],[PRN Med Started]]&lt;&gt;"",Tbl_ResidentData[[#This Row],[PRN Med Started]]&lt;=NOW(),Tbl_ResidentData[[#This Row],[PRN Med Started]]&lt;=AS$4,OR(Tbl_ResidentData[[#This Row],[PRN Med Discontinued]]&gt;AS$4,ISBLANK(Tbl_ResidentData[[#This Row],[PRN Med Discontinued]])))</f>
        <v>0</v>
      </c>
      <c r="BR94" s="121" t="b">
        <f ca="1">AND(Tbl_ResidentData[[#This Row],[PRN Med Started]]&lt;&gt;"",Tbl_ResidentData[[#This Row],[PRN Med Started]]&lt;=NOW(),Tbl_ResidentData[[#This Row],[PRN Med Started]]&lt;=AT$4,OR(Tbl_ResidentData[[#This Row],[PRN Med Discontinued]]&gt;AT$4,ISBLANK(Tbl_ResidentData[[#This Row],[PRN Med Discontinued]])))</f>
        <v>0</v>
      </c>
      <c r="BS94" s="121" t="b">
        <f ca="1">AND(Tbl_ResidentData[[#This Row],[PRN Med Started]]&lt;&gt;"",Tbl_ResidentData[[#This Row],[PRN Med Started]]&lt;=NOW(),Tbl_ResidentData[[#This Row],[PRN Med Started]]&lt;=AU$4,OR(Tbl_ResidentData[[#This Row],[PRN Med Discontinued]]&gt;AU$4,ISBLANK(Tbl_ResidentData[[#This Row],[PRN Med Discontinued]])))</f>
        <v>0</v>
      </c>
      <c r="BT94" s="121" t="b">
        <f ca="1">AND(Tbl_ResidentData[[#This Row],[PRN Med Started]]&lt;&gt;"",Tbl_ResidentData[[#This Row],[PRN Med Started]]&lt;=NOW(),Tbl_ResidentData[[#This Row],[PRN Med Started]]&lt;=AV$4,OR(Tbl_ResidentData[[#This Row],[PRN Med Discontinued]]&gt;AV$4,ISBLANK(Tbl_ResidentData[[#This Row],[PRN Med Discontinued]])))</f>
        <v>0</v>
      </c>
      <c r="BU94" s="121" t="b">
        <f ca="1">AND(Tbl_ResidentData[[#This Row],[PRN Med Started]]&lt;&gt;"",Tbl_ResidentData[[#This Row],[PRN Med Started]]&lt;=NOW(),Tbl_ResidentData[[#This Row],[PRN Med Started]]&lt;=AW$4,OR(Tbl_ResidentData[[#This Row],[PRN Med Discontinued]]&gt;AW$4,ISBLANK(Tbl_ResidentData[[#This Row],[PRN Med Discontinued]])))</f>
        <v>0</v>
      </c>
      <c r="BV94" s="121" t="b">
        <f ca="1">AND(Tbl_ResidentData[[#This Row],[PRN Med Started]]&lt;&gt;"",Tbl_ResidentData[[#This Row],[PRN Med Started]]&lt;=NOW(),Tbl_ResidentData[[#This Row],[PRN Med Started]]&lt;=AX$4,OR(Tbl_ResidentData[[#This Row],[PRN Med Discontinued]]&gt;AX$4,ISBLANK(Tbl_ResidentData[[#This Row],[PRN Med Discontinued]])))</f>
        <v>0</v>
      </c>
      <c r="BW94" s="121" t="b">
        <f ca="1">AND(Tbl_ResidentData[[#This Row],[PRN Med Started]]&lt;&gt;"",Tbl_ResidentData[[#This Row],[PRN Med Started]]&lt;=NOW(),Tbl_ResidentData[[#This Row],[PRN Med Started]]&lt;=AY$4,OR(Tbl_ResidentData[[#This Row],[PRN Med Discontinued]]&gt;AY$4,ISBLANK(Tbl_ResidentData[[#This Row],[PRN Med Discontinued]])))</f>
        <v>0</v>
      </c>
      <c r="BX94" s="121" t="b">
        <f ca="1">AND(Tbl_ResidentData[[#This Row],[PRN Med Started]]&lt;&gt;"",Tbl_ResidentData[[#This Row],[PRN Med Started]]&lt;=NOW(),Tbl_ResidentData[[#This Row],[PRN Med Started]]&lt;=AZ$4,OR(Tbl_ResidentData[[#This Row],[PRN Med Discontinued]]&gt;AZ$4,ISBLANK(Tbl_ResidentData[[#This Row],[PRN Med Discontinued]])))</f>
        <v>0</v>
      </c>
      <c r="BY94" s="121" t="b">
        <f ca="1">AND(Tbl_ResidentData[[#This Row],[PRN Med Started]]&lt;&gt;"",Tbl_ResidentData[[#This Row],[PRN Med Started]]&lt;=NOW(),Tbl_ResidentData[[#This Row],[PRN Med Started]]&lt;=BA$4,OR(Tbl_ResidentData[[#This Row],[PRN Med Discontinued]]&gt;BA$4,ISBLANK(Tbl_ResidentData[[#This Row],[PRN Med Discontinued]])))</f>
        <v>0</v>
      </c>
      <c r="BZ94" s="121" t="b">
        <f ca="1">AND(Tbl_ResidentData[[#This Row],[PRN Med Started]]&lt;&gt;"",Tbl_ResidentData[[#This Row],[PRN Med Started]]&lt;=NOW(),Tbl_ResidentData[[#This Row],[PRN Med Started]]&lt;=BB$4,OR(Tbl_ResidentData[[#This Row],[PRN Med Discontinued]]&gt;BB$4,ISBLANK(Tbl_ResidentData[[#This Row],[PRN Med Discontinued]])))</f>
        <v>0</v>
      </c>
      <c r="CA94" s="121" t="b">
        <f ca="1">AND(Tbl_ResidentData[[#This Row],[PRN Med Started]]&lt;&gt;"",Tbl_ResidentData[[#This Row],[PRN Med Started]]&lt;=NOW(),Tbl_ResidentData[[#This Row],[PRN Med Started]]&lt;=BC$4,OR(Tbl_ResidentData[[#This Row],[PRN Med Discontinued]]&gt;BC$4,ISBLANK(Tbl_ResidentData[[#This Row],[PRN Med Discontinued]])))</f>
        <v>0</v>
      </c>
      <c r="CB94" s="121" t="b">
        <f ca="1">AND(Tbl_ResidentData[[#This Row],[PRN Med Started]]&lt;&gt;"",Tbl_ResidentData[[#This Row],[PRN Med Started]]&lt;=NOW(),Tbl_ResidentData[[#This Row],[PRN Med Started]]&lt;=BD$4,OR(Tbl_ResidentData[[#This Row],[PRN Med Discontinued]]&gt;BD$4,ISBLANK(Tbl_ResidentData[[#This Row],[PRN Med Discontinued]])))</f>
        <v>0</v>
      </c>
      <c r="CC94" s="121" t="b">
        <f ca="1">AND(Tbl_ResidentData[[#This Row],[PRN Med Started]]&lt;&gt;"",Tbl_ResidentData[[#This Row],[PRN Med Started]]&lt;=NOW(),Tbl_ResidentData[[#This Row],[PRN Med Started]]&lt;=BE$4,OR(Tbl_ResidentData[[#This Row],[PRN Med Discontinued]]&gt;BE$4,ISBLANK(Tbl_ResidentData[[#This Row],[PRN Med Discontinued]])))</f>
        <v>0</v>
      </c>
      <c r="CD94" s="121" t="b">
        <f ca="1">AND(Tbl_ResidentData[[#This Row],[PRN Med Started]]&lt;&gt;"",Tbl_ResidentData[[#This Row],[PRN Med Started]]&lt;=NOW(),Tbl_ResidentData[[#This Row],[PRN Med Started]]&lt;=BF$4,OR(Tbl_ResidentData[[#This Row],[PRN Med Discontinued]]&gt;BF$4,ISBLANK(Tbl_ResidentData[[#This Row],[PRN Med Discontinued]])))</f>
        <v>0</v>
      </c>
      <c r="CE94" s="121" t="b">
        <f ca="1">AND(Tbl_ResidentData[[#This Row],[PRN Med Started]]&lt;&gt;"",Tbl_ResidentData[[#This Row],[PRN Med Started]]&lt;=NOW(),Tbl_ResidentData[[#This Row],[PRN Med Started]]&lt;=BG$4,OR(Tbl_ResidentData[[#This Row],[PRN Med Discontinued]]&gt;BG$4,ISBLANK(Tbl_ResidentData[[#This Row],[PRN Med Discontinued]])))</f>
        <v>0</v>
      </c>
      <c r="CF94" s="121" t="b">
        <f ca="1">AND(Tbl_ResidentData[[#This Row],[PRN Med Started]]&lt;&gt;"",Tbl_ResidentData[[#This Row],[PRN Med Started]]&lt;=NOW(),Tbl_ResidentData[[#This Row],[PRN Med Started]]&lt;=BH$4,OR(Tbl_ResidentData[[#This Row],[PRN Med Discontinued]]&gt;BH$4,ISBLANK(Tbl_ResidentData[[#This Row],[PRN Med Discontinued]])))</f>
        <v>0</v>
      </c>
      <c r="CG94" s="121" t="b">
        <f ca="1">AND(Tbl_ResidentData[[#This Row],[PRN Med Started]]&lt;&gt;"",Tbl_ResidentData[[#This Row],[PRN Med Started]]&lt;=NOW(),Tbl_ResidentData[[#This Row],[PRN Med Started]]&lt;=BI$4,OR(Tbl_ResidentData[[#This Row],[PRN Med Discontinued]]&gt;BI$4,ISBLANK(Tbl_ResidentData[[#This Row],[PRN Med Discontinued]])))</f>
        <v>0</v>
      </c>
      <c r="CH94" s="121" t="b">
        <f ca="1">AND(Tbl_ResidentData[[#This Row],[PRN Med Started]]&lt;&gt;"",Tbl_ResidentData[[#This Row],[PRN Med Started]]&lt;=NOW(),Tbl_ResidentData[[#This Row],[PRN Med Started]]&lt;=BJ$4,OR(Tbl_ResidentData[[#This Row],[PRN Med Discontinued]]&gt;BJ$4,ISBLANK(Tbl_ResidentData[[#This Row],[PRN Med Discontinued]])))</f>
        <v>0</v>
      </c>
      <c r="CI94" s="121" t="b">
        <f ca="1">AND(Tbl_ResidentData[[#This Row],[PRN Med Started]]&lt;&gt;"",Tbl_ResidentData[[#This Row],[PRN Med Started]]&lt;=NOW(),Tbl_ResidentData[[#This Row],[PRN Med Started]]&lt;=BK$4,OR(Tbl_ResidentData[[#This Row],[PRN Med Discontinued]]&gt;BK$4,ISBLANK(Tbl_ResidentData[[#This Row],[PRN Med Discontinued]])))</f>
        <v>0</v>
      </c>
      <c r="CJ94" s="121" t="b">
        <f ca="1">AND(Tbl_ResidentData[[#This Row],[PRN Med Started]]&lt;&gt;"",Tbl_ResidentData[[#This Row],[PRN Med Started]]&lt;=NOW(),Tbl_ResidentData[[#This Row],[PRN Med Started]]&lt;=BL$4,OR(Tbl_ResidentData[[#This Row],[PRN Med Discontinued]]&gt;BL$4,ISBLANK(Tbl_ResidentData[[#This Row],[PRN Med Discontinued]])))</f>
        <v>0</v>
      </c>
      <c r="CK94" s="121" t="b">
        <f ca="1">AND(Tbl_ResidentData[[#This Row],[PRN Med Started]]&lt;&gt;"",Tbl_ResidentData[[#This Row],[PRN Med Started]]&lt;=NOW(),Tbl_ResidentData[[#This Row],[PRN Med Started]]&lt;=BM$4,OR(Tbl_ResidentData[[#This Row],[PRN Med Discontinued]]&gt;BM$4,ISBLANK(Tbl_ResidentData[[#This Row],[PRN Med Discontinued]])))</f>
        <v>0</v>
      </c>
      <c r="CL94" s="121" t="b">
        <f ca="1">AND(Tbl_ResidentData[[#This Row],[PRN Med Started]]&lt;&gt;"",Tbl_ResidentData[[#This Row],[PRN Med Started]]&lt;=NOW(),Tbl_ResidentData[[#This Row],[PRN Med Started]]&lt;=BN$4,OR(Tbl_ResidentData[[#This Row],[PRN Med Discontinued]]&gt;BN$4,ISBLANK(Tbl_ResidentData[[#This Row],[PRN Med Discontinued]])))</f>
        <v>0</v>
      </c>
      <c r="CM94" s="121" t="b">
        <f ca="1">AND(Tbl_ResidentData[[#This Row],[PRN Med Started]]&lt;&gt;"",Tbl_ResidentData[[#This Row],[PRN Med Started]]&lt;=NOW(),Tbl_ResidentData[[#This Row],[PRN Med Started]]&lt;=BO$4,OR(Tbl_ResidentData[[#This Row],[PRN Med Discontinued]]&gt;BO$4,ISBLANK(Tbl_ResidentData[[#This Row],[PRN Med Discontinued]])))</f>
        <v>0</v>
      </c>
      <c r="CN94" s="122" t="b">
        <f ca="1">AND(Tbl_ResidentData[[#This Row],[PRN Med Started]]&lt;&gt;"",Tbl_ResidentData[[#This Row],[PRN Med Started]]&lt;=NOW(),Tbl_ResidentData[[#This Row],[PRN Med Started]]&lt;=BP$4,OR(Tbl_ResidentData[[#This Row],[PRN Med Discontinued]]&gt;BP$4,ISBLANK(Tbl_ResidentData[[#This Row],[PRN Med Discontinued]])))</f>
        <v>0</v>
      </c>
      <c r="CO94" s="120">
        <f ca="1">IF(OR(Tbl_ResidentData[[#This Row],[S1]]=TRUE,Tbl_ResidentData[[#This Row],[P1]]=TRUE),1,0)</f>
        <v>0</v>
      </c>
      <c r="CP94" s="121">
        <f ca="1">IF(OR(Tbl_ResidentData[[#This Row],[S2]]=TRUE,Tbl_ResidentData[[#This Row],[P2]]=TRUE),1,0)</f>
        <v>0</v>
      </c>
      <c r="CQ94" s="121">
        <f ca="1">IF(OR(Tbl_ResidentData[[#This Row],[S3]]=TRUE,Tbl_ResidentData[[#This Row],[P3]]=TRUE),1,0)</f>
        <v>0</v>
      </c>
      <c r="CR94" s="120">
        <f ca="1">IF(OR(Tbl_ResidentData[[#This Row],[S4]]=TRUE,Tbl_ResidentData[[#This Row],[P4]]=TRUE),1,0)</f>
        <v>0</v>
      </c>
      <c r="CS94" s="120">
        <f ca="1">IF(OR(Tbl_ResidentData[[#This Row],[S5]]=TRUE,Tbl_ResidentData[[#This Row],[P5]]=TRUE),1,0)</f>
        <v>0</v>
      </c>
      <c r="CT94" s="120">
        <f ca="1">IF(OR(Tbl_ResidentData[[#This Row],[S6]]=TRUE,Tbl_ResidentData[[#This Row],[P6]]=TRUE),1,0)</f>
        <v>0</v>
      </c>
      <c r="CU94" s="120">
        <f ca="1">IF(OR(Tbl_ResidentData[[#This Row],[S7]]=TRUE,Tbl_ResidentData[[#This Row],[P7]]=TRUE),1,0)</f>
        <v>0</v>
      </c>
      <c r="CV94" s="120">
        <f ca="1">IF(OR(Tbl_ResidentData[[#This Row],[S8]]=TRUE,Tbl_ResidentData[[#This Row],[P8]]=TRUE),1,0)</f>
        <v>0</v>
      </c>
      <c r="CW94" s="120">
        <f ca="1">IF(OR(Tbl_ResidentData[[#This Row],[S9]]=TRUE,Tbl_ResidentData[[#This Row],[P9]]=TRUE),1,0)</f>
        <v>0</v>
      </c>
      <c r="CX94" s="120">
        <f ca="1">IF(OR(Tbl_ResidentData[[#This Row],[S10]]=TRUE,Tbl_ResidentData[[#This Row],[P10]]=TRUE),1,0)</f>
        <v>0</v>
      </c>
      <c r="CY94" s="120">
        <f ca="1">IF(OR(Tbl_ResidentData[[#This Row],[S11]]=TRUE,Tbl_ResidentData[[#This Row],[P11]]=TRUE),1,0)</f>
        <v>0</v>
      </c>
      <c r="CZ94" s="120">
        <f ca="1">IF(OR(Tbl_ResidentData[[#This Row],[S12]]=TRUE,Tbl_ResidentData[[#This Row],[P12]]=TRUE),1,0)</f>
        <v>0</v>
      </c>
      <c r="DA94" s="120">
        <f ca="1">IF(OR(Tbl_ResidentData[[#This Row],[S13]]=TRUE,Tbl_ResidentData[[#This Row],[P13]]=TRUE),1,0)</f>
        <v>0</v>
      </c>
      <c r="DB94" s="120">
        <f ca="1">IF(OR(Tbl_ResidentData[[#This Row],[S14]]=TRUE,Tbl_ResidentData[[#This Row],[P14]]=TRUE),1,0)</f>
        <v>0</v>
      </c>
      <c r="DC94" s="120">
        <f ca="1">IF(OR(Tbl_ResidentData[[#This Row],[S15]]=TRUE,Tbl_ResidentData[[#This Row],[P15]]=TRUE),1,0)</f>
        <v>0</v>
      </c>
      <c r="DD94" s="120">
        <f ca="1">IF(OR(Tbl_ResidentData[[#This Row],[S16]]=TRUE,Tbl_ResidentData[[#This Row],[P16]]=TRUE),1,0)</f>
        <v>0</v>
      </c>
      <c r="DE94" s="120">
        <f ca="1">IF(OR(Tbl_ResidentData[[#This Row],[S17]]=TRUE,Tbl_ResidentData[[#This Row],[P17]]=TRUE),1,0)</f>
        <v>0</v>
      </c>
      <c r="DF94" s="120">
        <f ca="1">IF(OR(Tbl_ResidentData[[#This Row],[S18]]=TRUE,Tbl_ResidentData[[#This Row],[P18]]=TRUE),1,0)</f>
        <v>0</v>
      </c>
      <c r="DG94" s="120">
        <f ca="1">IF(OR(Tbl_ResidentData[[#This Row],[S19]]=TRUE,Tbl_ResidentData[[#This Row],[P19]]=TRUE),1,0)</f>
        <v>0</v>
      </c>
      <c r="DH94" s="120">
        <f ca="1">IF(OR(Tbl_ResidentData[[#This Row],[S20]]=TRUE,Tbl_ResidentData[[#This Row],[P20]]=TRUE),1,0)</f>
        <v>0</v>
      </c>
      <c r="DI94" s="120">
        <f ca="1">IF(OR(Tbl_ResidentData[[#This Row],[S21]]=TRUE,Tbl_ResidentData[[#This Row],[P21]]=TRUE),1,0)</f>
        <v>0</v>
      </c>
      <c r="DJ94" s="120">
        <f ca="1">IF(OR(Tbl_ResidentData[[#This Row],[S22]]=TRUE,Tbl_ResidentData[[#This Row],[P22]]=TRUE),1,0)</f>
        <v>0</v>
      </c>
      <c r="DK94" s="120">
        <f ca="1">IF(OR(Tbl_ResidentData[[#This Row],[S23]]=TRUE,Tbl_ResidentData[[#This Row],[P23]]=TRUE),1,0)</f>
        <v>0</v>
      </c>
      <c r="DL94" s="120">
        <f ca="1">IF(OR(Tbl_ResidentData[[#This Row],[S24]]=TRUE,Tbl_ResidentData[[#This Row],[P24]]=TRUE),1,0)</f>
        <v>0</v>
      </c>
      <c r="DM94" s="123" t="str">
        <f ca="1">IFERROR(INDEX($CO$4:$DL$4,MATCH(TRUE,INDEX((Tbl_ResidentData[[#This Row],[Over1]:[Over24]]&lt;&gt;0),0),0)),"")</f>
        <v/>
      </c>
      <c r="DN94" s="133" t="str">
        <f>IFERROR(INDEX(Tbl_PDSAData[Last DRT],MATCH(Tbl_ResidentData[Resident Name '[last, first']],Tbl_PDSAData[Resident Name (last, first)],0)),"")</f>
        <v/>
      </c>
      <c r="DO94" s="222" t="str">
        <f>IFERROR(INDEX(Tbl_PDSAData[Last MR],MATCH(Tbl_ResidentData[Resident Name '[last, first']],Tbl_PDSAData[Resident Name (last, first)],0)),"")</f>
        <v/>
      </c>
    </row>
    <row r="95" spans="1:119" x14ac:dyDescent="0.25">
      <c r="A95" s="179"/>
      <c r="B95" s="180"/>
      <c r="C95" s="180"/>
      <c r="D95" s="218"/>
      <c r="E95" s="179"/>
      <c r="F95" s="181"/>
      <c r="G95" s="181"/>
      <c r="H95" s="375"/>
      <c r="I95" s="185"/>
      <c r="J95" s="387"/>
      <c r="K95" s="178"/>
      <c r="L95" s="388"/>
      <c r="M95" s="185"/>
      <c r="N95" s="386"/>
      <c r="O95" s="178"/>
      <c r="P95" s="388"/>
      <c r="Q95" s="395"/>
      <c r="R95" s="396"/>
      <c r="S95" s="131" t="str">
        <f>IF(ISBLANK(Tbl_ResidentData[[#This Row],[Discharge '[mmm-yyyy']]]),IF(ISBLANK(Tbl_ResidentData[[#This Row],[Enrollment '[mmm-yyyy']]]),"","In Care Home"),"Discharged")</f>
        <v/>
      </c>
      <c r="T95" s="119" t="str">
        <f>IF(ISBLANK(Tbl_ResidentData[[#This Row],[Diagnosis (RAI)]]),IF(ISBLANK(Tbl_ResidentData[[#This Row],[Resident Name '[last, first']]]),"",0),IF(Tbl_ResidentData[[#This Row],[Diagnosis (RAI)]]="Other (see clinical notes)",0,1))</f>
        <v/>
      </c>
      <c r="U95" s="120" t="str">
        <f ca="1">IF(U$4&gt;NOW(),"-",IF(ISBLANK(Tbl_ResidentData[[#This Row],[Enrollment '[mmm-yyyy']]]),"-",AND((Tbl_ResidentData[[#This Row],[Enrollment '[mmm-yyyy']]]&lt;=U$4),IF(ISBLANK(Tbl_ResidentData[[#This Row],[Discharge '[mmm-yyyy']]]),TRUE,(Tbl_ResidentData[[#This Row],[Discharge '[mmm-yyyy']]]&gt;=U$4)))))</f>
        <v>-</v>
      </c>
      <c r="V95" s="121" t="str">
        <f ca="1">IF(V$4&gt;NOW(),"-",IF(ISBLANK(Tbl_ResidentData[[#This Row],[Enrollment '[mmm-yyyy']]]),"-",AND((Tbl_ResidentData[[#This Row],[Enrollment '[mmm-yyyy']]]&lt;=V$4),IF(ISBLANK(Tbl_ResidentData[[#This Row],[Discharge '[mmm-yyyy']]]),TRUE,(Tbl_ResidentData[[#This Row],[Discharge '[mmm-yyyy']]]&gt;=V$4)))))</f>
        <v>-</v>
      </c>
      <c r="W95" s="121" t="str">
        <f ca="1">IF(W$4&gt;NOW(),"-",IF(ISBLANK(Tbl_ResidentData[[#This Row],[Enrollment '[mmm-yyyy']]]),"-",AND((Tbl_ResidentData[[#This Row],[Enrollment '[mmm-yyyy']]]&lt;=W$4),IF(ISBLANK(Tbl_ResidentData[[#This Row],[Discharge '[mmm-yyyy']]]),TRUE,(Tbl_ResidentData[[#This Row],[Discharge '[mmm-yyyy']]]&gt;=W$4)))))</f>
        <v>-</v>
      </c>
      <c r="X95" s="121" t="str">
        <f ca="1">IF(X$4&gt;NOW(),"-",IF(ISBLANK(Tbl_ResidentData[[#This Row],[Enrollment '[mmm-yyyy']]]),"-",AND((Tbl_ResidentData[[#This Row],[Enrollment '[mmm-yyyy']]]&lt;=X$4),IF(ISBLANK(Tbl_ResidentData[[#This Row],[Discharge '[mmm-yyyy']]]),TRUE,(Tbl_ResidentData[[#This Row],[Discharge '[mmm-yyyy']]]&gt;=X$4)))))</f>
        <v>-</v>
      </c>
      <c r="Y95" s="121" t="str">
        <f ca="1">IF(Y$4&gt;NOW(),"-",IF(ISBLANK(Tbl_ResidentData[[#This Row],[Enrollment '[mmm-yyyy']]]),"-",AND((Tbl_ResidentData[[#This Row],[Enrollment '[mmm-yyyy']]]&lt;=Y$4),IF(ISBLANK(Tbl_ResidentData[[#This Row],[Discharge '[mmm-yyyy']]]),TRUE,(Tbl_ResidentData[[#This Row],[Discharge '[mmm-yyyy']]]&gt;=Y$4)))))</f>
        <v>-</v>
      </c>
      <c r="Z95" s="121" t="str">
        <f ca="1">IF(Z$4&gt;NOW(),"-",IF(ISBLANK(Tbl_ResidentData[[#This Row],[Enrollment '[mmm-yyyy']]]),"-",AND((Tbl_ResidentData[[#This Row],[Enrollment '[mmm-yyyy']]]&lt;=Z$4),IF(ISBLANK(Tbl_ResidentData[[#This Row],[Discharge '[mmm-yyyy']]]),TRUE,(Tbl_ResidentData[[#This Row],[Discharge '[mmm-yyyy']]]&gt;=Z$4)))))</f>
        <v>-</v>
      </c>
      <c r="AA95" s="121" t="str">
        <f ca="1">IF(AA$4&gt;NOW(),"-",IF(ISBLANK(Tbl_ResidentData[[#This Row],[Enrollment '[mmm-yyyy']]]),"-",AND((Tbl_ResidentData[[#This Row],[Enrollment '[mmm-yyyy']]]&lt;=AA$4),IF(ISBLANK(Tbl_ResidentData[[#This Row],[Discharge '[mmm-yyyy']]]),TRUE,(Tbl_ResidentData[[#This Row],[Discharge '[mmm-yyyy']]]&gt;=AA$4)))))</f>
        <v>-</v>
      </c>
      <c r="AB95" s="121" t="str">
        <f ca="1">IF(AB$4&gt;NOW(),"-",IF(ISBLANK(Tbl_ResidentData[[#This Row],[Enrollment '[mmm-yyyy']]]),"-",AND((Tbl_ResidentData[[#This Row],[Enrollment '[mmm-yyyy']]]&lt;=AB$4),IF(ISBLANK(Tbl_ResidentData[[#This Row],[Discharge '[mmm-yyyy']]]),TRUE,(Tbl_ResidentData[[#This Row],[Discharge '[mmm-yyyy']]]&gt;=AB$4)))))</f>
        <v>-</v>
      </c>
      <c r="AC95" s="121" t="str">
        <f ca="1">IF(AC$4&gt;NOW(),"-",IF(ISBLANK(Tbl_ResidentData[[#This Row],[Enrollment '[mmm-yyyy']]]),"-",AND((Tbl_ResidentData[[#This Row],[Enrollment '[mmm-yyyy']]]&lt;=AC$4),IF(ISBLANK(Tbl_ResidentData[[#This Row],[Discharge '[mmm-yyyy']]]),TRUE,(Tbl_ResidentData[[#This Row],[Discharge '[mmm-yyyy']]]&gt;=AC$4)))))</f>
        <v>-</v>
      </c>
      <c r="AD95" s="121" t="str">
        <f ca="1">IF(AD$4&gt;NOW(),"-",IF(ISBLANK(Tbl_ResidentData[[#This Row],[Enrollment '[mmm-yyyy']]]),"-",AND((Tbl_ResidentData[[#This Row],[Enrollment '[mmm-yyyy']]]&lt;=AD$4),IF(ISBLANK(Tbl_ResidentData[[#This Row],[Discharge '[mmm-yyyy']]]),TRUE,(Tbl_ResidentData[[#This Row],[Discharge '[mmm-yyyy']]]&gt;=AD$4)))))</f>
        <v>-</v>
      </c>
      <c r="AE95" s="121" t="str">
        <f ca="1">IF(AE$4&gt;NOW(),"-",IF(ISBLANK(Tbl_ResidentData[[#This Row],[Enrollment '[mmm-yyyy']]]),"-",AND((Tbl_ResidentData[[#This Row],[Enrollment '[mmm-yyyy']]]&lt;=AE$4),IF(ISBLANK(Tbl_ResidentData[[#This Row],[Discharge '[mmm-yyyy']]]),TRUE,(Tbl_ResidentData[[#This Row],[Discharge '[mmm-yyyy']]]&gt;=AE$4)))))</f>
        <v>-</v>
      </c>
      <c r="AF95" s="121" t="str">
        <f ca="1">IF(AF$4&gt;NOW(),"-",IF(ISBLANK(Tbl_ResidentData[[#This Row],[Enrollment '[mmm-yyyy']]]),"-",AND((Tbl_ResidentData[[#This Row],[Enrollment '[mmm-yyyy']]]&lt;=AF$4),IF(ISBLANK(Tbl_ResidentData[[#This Row],[Discharge '[mmm-yyyy']]]),TRUE,(Tbl_ResidentData[[#This Row],[Discharge '[mmm-yyyy']]]&gt;=AF$4)))))</f>
        <v>-</v>
      </c>
      <c r="AG95" s="121" t="str">
        <f ca="1">IF(AG$4&gt;NOW(),"-",IF(ISBLANK(Tbl_ResidentData[[#This Row],[Enrollment '[mmm-yyyy']]]),"-",AND((Tbl_ResidentData[[#This Row],[Enrollment '[mmm-yyyy']]]&lt;=AG$4),IF(ISBLANK(Tbl_ResidentData[[#This Row],[Discharge '[mmm-yyyy']]]),TRUE,(Tbl_ResidentData[[#This Row],[Discharge '[mmm-yyyy']]]&gt;=AG$4)))))</f>
        <v>-</v>
      </c>
      <c r="AH95" s="121" t="str">
        <f ca="1">IF(AH$4&gt;NOW(),"-",IF(ISBLANK(Tbl_ResidentData[[#This Row],[Enrollment '[mmm-yyyy']]]),"-",AND((Tbl_ResidentData[[#This Row],[Enrollment '[mmm-yyyy']]]&lt;=AH$4),IF(ISBLANK(Tbl_ResidentData[[#This Row],[Discharge '[mmm-yyyy']]]),TRUE,(Tbl_ResidentData[[#This Row],[Discharge '[mmm-yyyy']]]&gt;=AH$4)))))</f>
        <v>-</v>
      </c>
      <c r="AI95" s="121" t="str">
        <f ca="1">IF(AI$4&gt;NOW(),"-",IF(ISBLANK(Tbl_ResidentData[[#This Row],[Enrollment '[mmm-yyyy']]]),"-",AND((Tbl_ResidentData[[#This Row],[Enrollment '[mmm-yyyy']]]&lt;=AI$4),IF(ISBLANK(Tbl_ResidentData[[#This Row],[Discharge '[mmm-yyyy']]]),TRUE,(Tbl_ResidentData[[#This Row],[Discharge '[mmm-yyyy']]]&gt;=AI$4)))))</f>
        <v>-</v>
      </c>
      <c r="AJ95" s="121" t="str">
        <f ca="1">IF(AJ$4&gt;NOW(),"-",IF(ISBLANK(Tbl_ResidentData[[#This Row],[Enrollment '[mmm-yyyy']]]),"-",AND((Tbl_ResidentData[[#This Row],[Enrollment '[mmm-yyyy']]]&lt;=AJ$4),IF(ISBLANK(Tbl_ResidentData[[#This Row],[Discharge '[mmm-yyyy']]]),TRUE,(Tbl_ResidentData[[#This Row],[Discharge '[mmm-yyyy']]]&gt;=AJ$4)))))</f>
        <v>-</v>
      </c>
      <c r="AK95" s="121" t="str">
        <f ca="1">IF(AK$4&gt;NOW(),"-",IF(ISBLANK(Tbl_ResidentData[[#This Row],[Enrollment '[mmm-yyyy']]]),"-",AND((Tbl_ResidentData[[#This Row],[Enrollment '[mmm-yyyy']]]&lt;=AK$4),IF(ISBLANK(Tbl_ResidentData[[#This Row],[Discharge '[mmm-yyyy']]]),TRUE,(Tbl_ResidentData[[#This Row],[Discharge '[mmm-yyyy']]]&gt;=AK$4)))))</f>
        <v>-</v>
      </c>
      <c r="AL95" s="121" t="str">
        <f ca="1">IF(AL$4&gt;NOW(),"-",IF(ISBLANK(Tbl_ResidentData[[#This Row],[Enrollment '[mmm-yyyy']]]),"-",AND((Tbl_ResidentData[[#This Row],[Enrollment '[mmm-yyyy']]]&lt;=AL$4),IF(ISBLANK(Tbl_ResidentData[[#This Row],[Discharge '[mmm-yyyy']]]),TRUE,(Tbl_ResidentData[[#This Row],[Discharge '[mmm-yyyy']]]&gt;=AL$4)))))</f>
        <v>-</v>
      </c>
      <c r="AM95" s="121" t="str">
        <f ca="1">IF(AM$4&gt;NOW(),"-",IF(ISBLANK(Tbl_ResidentData[[#This Row],[Enrollment '[mmm-yyyy']]]),"-",AND((Tbl_ResidentData[[#This Row],[Enrollment '[mmm-yyyy']]]&lt;=AM$4),IF(ISBLANK(Tbl_ResidentData[[#This Row],[Discharge '[mmm-yyyy']]]),TRUE,(Tbl_ResidentData[[#This Row],[Discharge '[mmm-yyyy']]]&gt;=AM$4)))))</f>
        <v>-</v>
      </c>
      <c r="AN95" s="121" t="str">
        <f ca="1">IF(AN$4&gt;NOW(),"-",IF(ISBLANK(Tbl_ResidentData[[#This Row],[Enrollment '[mmm-yyyy']]]),"-",AND((Tbl_ResidentData[[#This Row],[Enrollment '[mmm-yyyy']]]&lt;=AN$4),IF(ISBLANK(Tbl_ResidentData[[#This Row],[Discharge '[mmm-yyyy']]]),TRUE,(Tbl_ResidentData[[#This Row],[Discharge '[mmm-yyyy']]]&gt;=AN$4)))))</f>
        <v>-</v>
      </c>
      <c r="AO95" s="121" t="str">
        <f ca="1">IF(AO$4&gt;NOW(),"-",IF(ISBLANK(Tbl_ResidentData[[#This Row],[Enrollment '[mmm-yyyy']]]),"-",AND((Tbl_ResidentData[[#This Row],[Enrollment '[mmm-yyyy']]]&lt;=AO$4),IF(ISBLANK(Tbl_ResidentData[[#This Row],[Discharge '[mmm-yyyy']]]),TRUE,(Tbl_ResidentData[[#This Row],[Discharge '[mmm-yyyy']]]&gt;=AO$4)))))</f>
        <v>-</v>
      </c>
      <c r="AP95" s="121" t="str">
        <f ca="1">IF(AP$4&gt;NOW(),"-",IF(ISBLANK(Tbl_ResidentData[[#This Row],[Enrollment '[mmm-yyyy']]]),"-",AND((Tbl_ResidentData[[#This Row],[Enrollment '[mmm-yyyy']]]&lt;=AP$4),IF(ISBLANK(Tbl_ResidentData[[#This Row],[Discharge '[mmm-yyyy']]]),TRUE,(Tbl_ResidentData[[#This Row],[Discharge '[mmm-yyyy']]]&gt;=AP$4)))))</f>
        <v>-</v>
      </c>
      <c r="AQ95" s="121" t="str">
        <f ca="1">IF(AQ$4&gt;NOW(),"-",IF(ISBLANK(Tbl_ResidentData[[#This Row],[Enrollment '[mmm-yyyy']]]),"-",AND((Tbl_ResidentData[[#This Row],[Enrollment '[mmm-yyyy']]]&lt;=AQ$4),IF(ISBLANK(Tbl_ResidentData[[#This Row],[Discharge '[mmm-yyyy']]]),TRUE,(Tbl_ResidentData[[#This Row],[Discharge '[mmm-yyyy']]]&gt;=AQ$4)))))</f>
        <v>-</v>
      </c>
      <c r="AR95" s="122" t="str">
        <f ca="1">IF(AR$4&gt;NOW(),"-",IF(ISBLANK(Tbl_ResidentData[[#This Row],[Enrollment '[mmm-yyyy']]]),"-",AND((Tbl_ResidentData[[#This Row],[Enrollment '[mmm-yyyy']]]&lt;=AR$4),IF(ISBLANK(Tbl_ResidentData[[#This Row],[Discharge '[mmm-yyyy']]]),TRUE,(Tbl_ResidentData[[#This Row],[Discharge '[mmm-yyyy']]]&gt;=AR$4)))))</f>
        <v>-</v>
      </c>
      <c r="AS9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5" s="120" t="b">
        <f ca="1">AND(Tbl_ResidentData[[#This Row],[PRN Med Started]]&lt;&gt;"",Tbl_ResidentData[[#This Row],[PRN Med Started]]&lt;=NOW(),Tbl_ResidentData[[#This Row],[PRN Med Started]]&lt;=AS$4,OR(Tbl_ResidentData[[#This Row],[PRN Med Discontinued]]&gt;AS$4,ISBLANK(Tbl_ResidentData[[#This Row],[PRN Med Discontinued]])))</f>
        <v>0</v>
      </c>
      <c r="BR95" s="121" t="b">
        <f ca="1">AND(Tbl_ResidentData[[#This Row],[PRN Med Started]]&lt;&gt;"",Tbl_ResidentData[[#This Row],[PRN Med Started]]&lt;=NOW(),Tbl_ResidentData[[#This Row],[PRN Med Started]]&lt;=AT$4,OR(Tbl_ResidentData[[#This Row],[PRN Med Discontinued]]&gt;AT$4,ISBLANK(Tbl_ResidentData[[#This Row],[PRN Med Discontinued]])))</f>
        <v>0</v>
      </c>
      <c r="BS95" s="121" t="b">
        <f ca="1">AND(Tbl_ResidentData[[#This Row],[PRN Med Started]]&lt;&gt;"",Tbl_ResidentData[[#This Row],[PRN Med Started]]&lt;=NOW(),Tbl_ResidentData[[#This Row],[PRN Med Started]]&lt;=AU$4,OR(Tbl_ResidentData[[#This Row],[PRN Med Discontinued]]&gt;AU$4,ISBLANK(Tbl_ResidentData[[#This Row],[PRN Med Discontinued]])))</f>
        <v>0</v>
      </c>
      <c r="BT95" s="121" t="b">
        <f ca="1">AND(Tbl_ResidentData[[#This Row],[PRN Med Started]]&lt;&gt;"",Tbl_ResidentData[[#This Row],[PRN Med Started]]&lt;=NOW(),Tbl_ResidentData[[#This Row],[PRN Med Started]]&lt;=AV$4,OR(Tbl_ResidentData[[#This Row],[PRN Med Discontinued]]&gt;AV$4,ISBLANK(Tbl_ResidentData[[#This Row],[PRN Med Discontinued]])))</f>
        <v>0</v>
      </c>
      <c r="BU95" s="121" t="b">
        <f ca="1">AND(Tbl_ResidentData[[#This Row],[PRN Med Started]]&lt;&gt;"",Tbl_ResidentData[[#This Row],[PRN Med Started]]&lt;=NOW(),Tbl_ResidentData[[#This Row],[PRN Med Started]]&lt;=AW$4,OR(Tbl_ResidentData[[#This Row],[PRN Med Discontinued]]&gt;AW$4,ISBLANK(Tbl_ResidentData[[#This Row],[PRN Med Discontinued]])))</f>
        <v>0</v>
      </c>
      <c r="BV95" s="121" t="b">
        <f ca="1">AND(Tbl_ResidentData[[#This Row],[PRN Med Started]]&lt;&gt;"",Tbl_ResidentData[[#This Row],[PRN Med Started]]&lt;=NOW(),Tbl_ResidentData[[#This Row],[PRN Med Started]]&lt;=AX$4,OR(Tbl_ResidentData[[#This Row],[PRN Med Discontinued]]&gt;AX$4,ISBLANK(Tbl_ResidentData[[#This Row],[PRN Med Discontinued]])))</f>
        <v>0</v>
      </c>
      <c r="BW95" s="121" t="b">
        <f ca="1">AND(Tbl_ResidentData[[#This Row],[PRN Med Started]]&lt;&gt;"",Tbl_ResidentData[[#This Row],[PRN Med Started]]&lt;=NOW(),Tbl_ResidentData[[#This Row],[PRN Med Started]]&lt;=AY$4,OR(Tbl_ResidentData[[#This Row],[PRN Med Discontinued]]&gt;AY$4,ISBLANK(Tbl_ResidentData[[#This Row],[PRN Med Discontinued]])))</f>
        <v>0</v>
      </c>
      <c r="BX95" s="121" t="b">
        <f ca="1">AND(Tbl_ResidentData[[#This Row],[PRN Med Started]]&lt;&gt;"",Tbl_ResidentData[[#This Row],[PRN Med Started]]&lt;=NOW(),Tbl_ResidentData[[#This Row],[PRN Med Started]]&lt;=AZ$4,OR(Tbl_ResidentData[[#This Row],[PRN Med Discontinued]]&gt;AZ$4,ISBLANK(Tbl_ResidentData[[#This Row],[PRN Med Discontinued]])))</f>
        <v>0</v>
      </c>
      <c r="BY95" s="121" t="b">
        <f ca="1">AND(Tbl_ResidentData[[#This Row],[PRN Med Started]]&lt;&gt;"",Tbl_ResidentData[[#This Row],[PRN Med Started]]&lt;=NOW(),Tbl_ResidentData[[#This Row],[PRN Med Started]]&lt;=BA$4,OR(Tbl_ResidentData[[#This Row],[PRN Med Discontinued]]&gt;BA$4,ISBLANK(Tbl_ResidentData[[#This Row],[PRN Med Discontinued]])))</f>
        <v>0</v>
      </c>
      <c r="BZ95" s="121" t="b">
        <f ca="1">AND(Tbl_ResidentData[[#This Row],[PRN Med Started]]&lt;&gt;"",Tbl_ResidentData[[#This Row],[PRN Med Started]]&lt;=NOW(),Tbl_ResidentData[[#This Row],[PRN Med Started]]&lt;=BB$4,OR(Tbl_ResidentData[[#This Row],[PRN Med Discontinued]]&gt;BB$4,ISBLANK(Tbl_ResidentData[[#This Row],[PRN Med Discontinued]])))</f>
        <v>0</v>
      </c>
      <c r="CA95" s="121" t="b">
        <f ca="1">AND(Tbl_ResidentData[[#This Row],[PRN Med Started]]&lt;&gt;"",Tbl_ResidentData[[#This Row],[PRN Med Started]]&lt;=NOW(),Tbl_ResidentData[[#This Row],[PRN Med Started]]&lt;=BC$4,OR(Tbl_ResidentData[[#This Row],[PRN Med Discontinued]]&gt;BC$4,ISBLANK(Tbl_ResidentData[[#This Row],[PRN Med Discontinued]])))</f>
        <v>0</v>
      </c>
      <c r="CB95" s="121" t="b">
        <f ca="1">AND(Tbl_ResidentData[[#This Row],[PRN Med Started]]&lt;&gt;"",Tbl_ResidentData[[#This Row],[PRN Med Started]]&lt;=NOW(),Tbl_ResidentData[[#This Row],[PRN Med Started]]&lt;=BD$4,OR(Tbl_ResidentData[[#This Row],[PRN Med Discontinued]]&gt;BD$4,ISBLANK(Tbl_ResidentData[[#This Row],[PRN Med Discontinued]])))</f>
        <v>0</v>
      </c>
      <c r="CC95" s="121" t="b">
        <f ca="1">AND(Tbl_ResidentData[[#This Row],[PRN Med Started]]&lt;&gt;"",Tbl_ResidentData[[#This Row],[PRN Med Started]]&lt;=NOW(),Tbl_ResidentData[[#This Row],[PRN Med Started]]&lt;=BE$4,OR(Tbl_ResidentData[[#This Row],[PRN Med Discontinued]]&gt;BE$4,ISBLANK(Tbl_ResidentData[[#This Row],[PRN Med Discontinued]])))</f>
        <v>0</v>
      </c>
      <c r="CD95" s="121" t="b">
        <f ca="1">AND(Tbl_ResidentData[[#This Row],[PRN Med Started]]&lt;&gt;"",Tbl_ResidentData[[#This Row],[PRN Med Started]]&lt;=NOW(),Tbl_ResidentData[[#This Row],[PRN Med Started]]&lt;=BF$4,OR(Tbl_ResidentData[[#This Row],[PRN Med Discontinued]]&gt;BF$4,ISBLANK(Tbl_ResidentData[[#This Row],[PRN Med Discontinued]])))</f>
        <v>0</v>
      </c>
      <c r="CE95" s="121" t="b">
        <f ca="1">AND(Tbl_ResidentData[[#This Row],[PRN Med Started]]&lt;&gt;"",Tbl_ResidentData[[#This Row],[PRN Med Started]]&lt;=NOW(),Tbl_ResidentData[[#This Row],[PRN Med Started]]&lt;=BG$4,OR(Tbl_ResidentData[[#This Row],[PRN Med Discontinued]]&gt;BG$4,ISBLANK(Tbl_ResidentData[[#This Row],[PRN Med Discontinued]])))</f>
        <v>0</v>
      </c>
      <c r="CF95" s="121" t="b">
        <f ca="1">AND(Tbl_ResidentData[[#This Row],[PRN Med Started]]&lt;&gt;"",Tbl_ResidentData[[#This Row],[PRN Med Started]]&lt;=NOW(),Tbl_ResidentData[[#This Row],[PRN Med Started]]&lt;=BH$4,OR(Tbl_ResidentData[[#This Row],[PRN Med Discontinued]]&gt;BH$4,ISBLANK(Tbl_ResidentData[[#This Row],[PRN Med Discontinued]])))</f>
        <v>0</v>
      </c>
      <c r="CG95" s="121" t="b">
        <f ca="1">AND(Tbl_ResidentData[[#This Row],[PRN Med Started]]&lt;&gt;"",Tbl_ResidentData[[#This Row],[PRN Med Started]]&lt;=NOW(),Tbl_ResidentData[[#This Row],[PRN Med Started]]&lt;=BI$4,OR(Tbl_ResidentData[[#This Row],[PRN Med Discontinued]]&gt;BI$4,ISBLANK(Tbl_ResidentData[[#This Row],[PRN Med Discontinued]])))</f>
        <v>0</v>
      </c>
      <c r="CH95" s="121" t="b">
        <f ca="1">AND(Tbl_ResidentData[[#This Row],[PRN Med Started]]&lt;&gt;"",Tbl_ResidentData[[#This Row],[PRN Med Started]]&lt;=NOW(),Tbl_ResidentData[[#This Row],[PRN Med Started]]&lt;=BJ$4,OR(Tbl_ResidentData[[#This Row],[PRN Med Discontinued]]&gt;BJ$4,ISBLANK(Tbl_ResidentData[[#This Row],[PRN Med Discontinued]])))</f>
        <v>0</v>
      </c>
      <c r="CI95" s="121" t="b">
        <f ca="1">AND(Tbl_ResidentData[[#This Row],[PRN Med Started]]&lt;&gt;"",Tbl_ResidentData[[#This Row],[PRN Med Started]]&lt;=NOW(),Tbl_ResidentData[[#This Row],[PRN Med Started]]&lt;=BK$4,OR(Tbl_ResidentData[[#This Row],[PRN Med Discontinued]]&gt;BK$4,ISBLANK(Tbl_ResidentData[[#This Row],[PRN Med Discontinued]])))</f>
        <v>0</v>
      </c>
      <c r="CJ95" s="121" t="b">
        <f ca="1">AND(Tbl_ResidentData[[#This Row],[PRN Med Started]]&lt;&gt;"",Tbl_ResidentData[[#This Row],[PRN Med Started]]&lt;=NOW(),Tbl_ResidentData[[#This Row],[PRN Med Started]]&lt;=BL$4,OR(Tbl_ResidentData[[#This Row],[PRN Med Discontinued]]&gt;BL$4,ISBLANK(Tbl_ResidentData[[#This Row],[PRN Med Discontinued]])))</f>
        <v>0</v>
      </c>
      <c r="CK95" s="121" t="b">
        <f ca="1">AND(Tbl_ResidentData[[#This Row],[PRN Med Started]]&lt;&gt;"",Tbl_ResidentData[[#This Row],[PRN Med Started]]&lt;=NOW(),Tbl_ResidentData[[#This Row],[PRN Med Started]]&lt;=BM$4,OR(Tbl_ResidentData[[#This Row],[PRN Med Discontinued]]&gt;BM$4,ISBLANK(Tbl_ResidentData[[#This Row],[PRN Med Discontinued]])))</f>
        <v>0</v>
      </c>
      <c r="CL95" s="121" t="b">
        <f ca="1">AND(Tbl_ResidentData[[#This Row],[PRN Med Started]]&lt;&gt;"",Tbl_ResidentData[[#This Row],[PRN Med Started]]&lt;=NOW(),Tbl_ResidentData[[#This Row],[PRN Med Started]]&lt;=BN$4,OR(Tbl_ResidentData[[#This Row],[PRN Med Discontinued]]&gt;BN$4,ISBLANK(Tbl_ResidentData[[#This Row],[PRN Med Discontinued]])))</f>
        <v>0</v>
      </c>
      <c r="CM95" s="121" t="b">
        <f ca="1">AND(Tbl_ResidentData[[#This Row],[PRN Med Started]]&lt;&gt;"",Tbl_ResidentData[[#This Row],[PRN Med Started]]&lt;=NOW(),Tbl_ResidentData[[#This Row],[PRN Med Started]]&lt;=BO$4,OR(Tbl_ResidentData[[#This Row],[PRN Med Discontinued]]&gt;BO$4,ISBLANK(Tbl_ResidentData[[#This Row],[PRN Med Discontinued]])))</f>
        <v>0</v>
      </c>
      <c r="CN95" s="122" t="b">
        <f ca="1">AND(Tbl_ResidentData[[#This Row],[PRN Med Started]]&lt;&gt;"",Tbl_ResidentData[[#This Row],[PRN Med Started]]&lt;=NOW(),Tbl_ResidentData[[#This Row],[PRN Med Started]]&lt;=BP$4,OR(Tbl_ResidentData[[#This Row],[PRN Med Discontinued]]&gt;BP$4,ISBLANK(Tbl_ResidentData[[#This Row],[PRN Med Discontinued]])))</f>
        <v>0</v>
      </c>
      <c r="CO95" s="120">
        <f ca="1">IF(OR(Tbl_ResidentData[[#This Row],[S1]]=TRUE,Tbl_ResidentData[[#This Row],[P1]]=TRUE),1,0)</f>
        <v>0</v>
      </c>
      <c r="CP95" s="121">
        <f ca="1">IF(OR(Tbl_ResidentData[[#This Row],[S2]]=TRUE,Tbl_ResidentData[[#This Row],[P2]]=TRUE),1,0)</f>
        <v>0</v>
      </c>
      <c r="CQ95" s="121">
        <f ca="1">IF(OR(Tbl_ResidentData[[#This Row],[S3]]=TRUE,Tbl_ResidentData[[#This Row],[P3]]=TRUE),1,0)</f>
        <v>0</v>
      </c>
      <c r="CR95" s="120">
        <f ca="1">IF(OR(Tbl_ResidentData[[#This Row],[S4]]=TRUE,Tbl_ResidentData[[#This Row],[P4]]=TRUE),1,0)</f>
        <v>0</v>
      </c>
      <c r="CS95" s="120">
        <f ca="1">IF(OR(Tbl_ResidentData[[#This Row],[S5]]=TRUE,Tbl_ResidentData[[#This Row],[P5]]=TRUE),1,0)</f>
        <v>0</v>
      </c>
      <c r="CT95" s="120">
        <f ca="1">IF(OR(Tbl_ResidentData[[#This Row],[S6]]=TRUE,Tbl_ResidentData[[#This Row],[P6]]=TRUE),1,0)</f>
        <v>0</v>
      </c>
      <c r="CU95" s="120">
        <f ca="1">IF(OR(Tbl_ResidentData[[#This Row],[S7]]=TRUE,Tbl_ResidentData[[#This Row],[P7]]=TRUE),1,0)</f>
        <v>0</v>
      </c>
      <c r="CV95" s="120">
        <f ca="1">IF(OR(Tbl_ResidentData[[#This Row],[S8]]=TRUE,Tbl_ResidentData[[#This Row],[P8]]=TRUE),1,0)</f>
        <v>0</v>
      </c>
      <c r="CW95" s="120">
        <f ca="1">IF(OR(Tbl_ResidentData[[#This Row],[S9]]=TRUE,Tbl_ResidentData[[#This Row],[P9]]=TRUE),1,0)</f>
        <v>0</v>
      </c>
      <c r="CX95" s="120">
        <f ca="1">IF(OR(Tbl_ResidentData[[#This Row],[S10]]=TRUE,Tbl_ResidentData[[#This Row],[P10]]=TRUE),1,0)</f>
        <v>0</v>
      </c>
      <c r="CY95" s="120">
        <f ca="1">IF(OR(Tbl_ResidentData[[#This Row],[S11]]=TRUE,Tbl_ResidentData[[#This Row],[P11]]=TRUE),1,0)</f>
        <v>0</v>
      </c>
      <c r="CZ95" s="120">
        <f ca="1">IF(OR(Tbl_ResidentData[[#This Row],[S12]]=TRUE,Tbl_ResidentData[[#This Row],[P12]]=TRUE),1,0)</f>
        <v>0</v>
      </c>
      <c r="DA95" s="120">
        <f ca="1">IF(OR(Tbl_ResidentData[[#This Row],[S13]]=TRUE,Tbl_ResidentData[[#This Row],[P13]]=TRUE),1,0)</f>
        <v>0</v>
      </c>
      <c r="DB95" s="120">
        <f ca="1">IF(OR(Tbl_ResidentData[[#This Row],[S14]]=TRUE,Tbl_ResidentData[[#This Row],[P14]]=TRUE),1,0)</f>
        <v>0</v>
      </c>
      <c r="DC95" s="120">
        <f ca="1">IF(OR(Tbl_ResidentData[[#This Row],[S15]]=TRUE,Tbl_ResidentData[[#This Row],[P15]]=TRUE),1,0)</f>
        <v>0</v>
      </c>
      <c r="DD95" s="120">
        <f ca="1">IF(OR(Tbl_ResidentData[[#This Row],[S16]]=TRUE,Tbl_ResidentData[[#This Row],[P16]]=TRUE),1,0)</f>
        <v>0</v>
      </c>
      <c r="DE95" s="120">
        <f ca="1">IF(OR(Tbl_ResidentData[[#This Row],[S17]]=TRUE,Tbl_ResidentData[[#This Row],[P17]]=TRUE),1,0)</f>
        <v>0</v>
      </c>
      <c r="DF95" s="120">
        <f ca="1">IF(OR(Tbl_ResidentData[[#This Row],[S18]]=TRUE,Tbl_ResidentData[[#This Row],[P18]]=TRUE),1,0)</f>
        <v>0</v>
      </c>
      <c r="DG95" s="120">
        <f ca="1">IF(OR(Tbl_ResidentData[[#This Row],[S19]]=TRUE,Tbl_ResidentData[[#This Row],[P19]]=TRUE),1,0)</f>
        <v>0</v>
      </c>
      <c r="DH95" s="120">
        <f ca="1">IF(OR(Tbl_ResidentData[[#This Row],[S20]]=TRUE,Tbl_ResidentData[[#This Row],[P20]]=TRUE),1,0)</f>
        <v>0</v>
      </c>
      <c r="DI95" s="120">
        <f ca="1">IF(OR(Tbl_ResidentData[[#This Row],[S21]]=TRUE,Tbl_ResidentData[[#This Row],[P21]]=TRUE),1,0)</f>
        <v>0</v>
      </c>
      <c r="DJ95" s="120">
        <f ca="1">IF(OR(Tbl_ResidentData[[#This Row],[S22]]=TRUE,Tbl_ResidentData[[#This Row],[P22]]=TRUE),1,0)</f>
        <v>0</v>
      </c>
      <c r="DK95" s="120">
        <f ca="1">IF(OR(Tbl_ResidentData[[#This Row],[S23]]=TRUE,Tbl_ResidentData[[#This Row],[P23]]=TRUE),1,0)</f>
        <v>0</v>
      </c>
      <c r="DL95" s="120">
        <f ca="1">IF(OR(Tbl_ResidentData[[#This Row],[S24]]=TRUE,Tbl_ResidentData[[#This Row],[P24]]=TRUE),1,0)</f>
        <v>0</v>
      </c>
      <c r="DM95" s="123" t="str">
        <f ca="1">IFERROR(INDEX($CO$4:$DL$4,MATCH(TRUE,INDEX((Tbl_ResidentData[[#This Row],[Over1]:[Over24]]&lt;&gt;0),0),0)),"")</f>
        <v/>
      </c>
      <c r="DN95" s="133" t="str">
        <f>IFERROR(INDEX(Tbl_PDSAData[Last DRT],MATCH(Tbl_ResidentData[Resident Name '[last, first']],Tbl_PDSAData[Resident Name (last, first)],0)),"")</f>
        <v/>
      </c>
      <c r="DO95" s="222" t="str">
        <f>IFERROR(INDEX(Tbl_PDSAData[Last MR],MATCH(Tbl_ResidentData[Resident Name '[last, first']],Tbl_PDSAData[Resident Name (last, first)],0)),"")</f>
        <v/>
      </c>
    </row>
    <row r="96" spans="1:119" x14ac:dyDescent="0.25">
      <c r="A96" s="179"/>
      <c r="B96" s="180"/>
      <c r="C96" s="180"/>
      <c r="D96" s="218"/>
      <c r="E96" s="179"/>
      <c r="F96" s="181"/>
      <c r="G96" s="181"/>
      <c r="H96" s="182"/>
      <c r="I96" s="185"/>
      <c r="J96" s="387"/>
      <c r="K96" s="178"/>
      <c r="L96" s="388"/>
      <c r="M96" s="185"/>
      <c r="N96" s="386"/>
      <c r="O96" s="178"/>
      <c r="P96" s="388"/>
      <c r="Q96" s="394"/>
      <c r="R96" s="388"/>
      <c r="S96" s="131" t="str">
        <f>IF(ISBLANK(Tbl_ResidentData[[#This Row],[Discharge '[mmm-yyyy']]]),IF(ISBLANK(Tbl_ResidentData[[#This Row],[Enrollment '[mmm-yyyy']]]),"","In Care Home"),"Discharged")</f>
        <v/>
      </c>
      <c r="T96" s="119" t="str">
        <f>IF(ISBLANK(Tbl_ResidentData[[#This Row],[Diagnosis (RAI)]]),IF(ISBLANK(Tbl_ResidentData[[#This Row],[Resident Name '[last, first']]]),"",0),IF(Tbl_ResidentData[[#This Row],[Diagnosis (RAI)]]="Other (see clinical notes)",0,1))</f>
        <v/>
      </c>
      <c r="U96" s="120" t="str">
        <f ca="1">IF(U$4&gt;NOW(),"-",IF(ISBLANK(Tbl_ResidentData[[#This Row],[Enrollment '[mmm-yyyy']]]),"-",AND((Tbl_ResidentData[[#This Row],[Enrollment '[mmm-yyyy']]]&lt;=U$4),IF(ISBLANK(Tbl_ResidentData[[#This Row],[Discharge '[mmm-yyyy']]]),TRUE,(Tbl_ResidentData[[#This Row],[Discharge '[mmm-yyyy']]]&gt;=U$4)))))</f>
        <v>-</v>
      </c>
      <c r="V96" s="121" t="str">
        <f ca="1">IF(V$4&gt;NOW(),"-",IF(ISBLANK(Tbl_ResidentData[[#This Row],[Enrollment '[mmm-yyyy']]]),"-",AND((Tbl_ResidentData[[#This Row],[Enrollment '[mmm-yyyy']]]&lt;=V$4),IF(ISBLANK(Tbl_ResidentData[[#This Row],[Discharge '[mmm-yyyy']]]),TRUE,(Tbl_ResidentData[[#This Row],[Discharge '[mmm-yyyy']]]&gt;=V$4)))))</f>
        <v>-</v>
      </c>
      <c r="W96" s="121" t="str">
        <f ca="1">IF(W$4&gt;NOW(),"-",IF(ISBLANK(Tbl_ResidentData[[#This Row],[Enrollment '[mmm-yyyy']]]),"-",AND((Tbl_ResidentData[[#This Row],[Enrollment '[mmm-yyyy']]]&lt;=W$4),IF(ISBLANK(Tbl_ResidentData[[#This Row],[Discharge '[mmm-yyyy']]]),TRUE,(Tbl_ResidentData[[#This Row],[Discharge '[mmm-yyyy']]]&gt;=W$4)))))</f>
        <v>-</v>
      </c>
      <c r="X96" s="121" t="str">
        <f ca="1">IF(X$4&gt;NOW(),"-",IF(ISBLANK(Tbl_ResidentData[[#This Row],[Enrollment '[mmm-yyyy']]]),"-",AND((Tbl_ResidentData[[#This Row],[Enrollment '[mmm-yyyy']]]&lt;=X$4),IF(ISBLANK(Tbl_ResidentData[[#This Row],[Discharge '[mmm-yyyy']]]),TRUE,(Tbl_ResidentData[[#This Row],[Discharge '[mmm-yyyy']]]&gt;=X$4)))))</f>
        <v>-</v>
      </c>
      <c r="Y96" s="121" t="str">
        <f ca="1">IF(Y$4&gt;NOW(),"-",IF(ISBLANK(Tbl_ResidentData[[#This Row],[Enrollment '[mmm-yyyy']]]),"-",AND((Tbl_ResidentData[[#This Row],[Enrollment '[mmm-yyyy']]]&lt;=Y$4),IF(ISBLANK(Tbl_ResidentData[[#This Row],[Discharge '[mmm-yyyy']]]),TRUE,(Tbl_ResidentData[[#This Row],[Discharge '[mmm-yyyy']]]&gt;=Y$4)))))</f>
        <v>-</v>
      </c>
      <c r="Z96" s="121" t="str">
        <f ca="1">IF(Z$4&gt;NOW(),"-",IF(ISBLANK(Tbl_ResidentData[[#This Row],[Enrollment '[mmm-yyyy']]]),"-",AND((Tbl_ResidentData[[#This Row],[Enrollment '[mmm-yyyy']]]&lt;=Z$4),IF(ISBLANK(Tbl_ResidentData[[#This Row],[Discharge '[mmm-yyyy']]]),TRUE,(Tbl_ResidentData[[#This Row],[Discharge '[mmm-yyyy']]]&gt;=Z$4)))))</f>
        <v>-</v>
      </c>
      <c r="AA96" s="121" t="str">
        <f ca="1">IF(AA$4&gt;NOW(),"-",IF(ISBLANK(Tbl_ResidentData[[#This Row],[Enrollment '[mmm-yyyy']]]),"-",AND((Tbl_ResidentData[[#This Row],[Enrollment '[mmm-yyyy']]]&lt;=AA$4),IF(ISBLANK(Tbl_ResidentData[[#This Row],[Discharge '[mmm-yyyy']]]),TRUE,(Tbl_ResidentData[[#This Row],[Discharge '[mmm-yyyy']]]&gt;=AA$4)))))</f>
        <v>-</v>
      </c>
      <c r="AB96" s="121" t="str">
        <f ca="1">IF(AB$4&gt;NOW(),"-",IF(ISBLANK(Tbl_ResidentData[[#This Row],[Enrollment '[mmm-yyyy']]]),"-",AND((Tbl_ResidentData[[#This Row],[Enrollment '[mmm-yyyy']]]&lt;=AB$4),IF(ISBLANK(Tbl_ResidentData[[#This Row],[Discharge '[mmm-yyyy']]]),TRUE,(Tbl_ResidentData[[#This Row],[Discharge '[mmm-yyyy']]]&gt;=AB$4)))))</f>
        <v>-</v>
      </c>
      <c r="AC96" s="121" t="str">
        <f ca="1">IF(AC$4&gt;NOW(),"-",IF(ISBLANK(Tbl_ResidentData[[#This Row],[Enrollment '[mmm-yyyy']]]),"-",AND((Tbl_ResidentData[[#This Row],[Enrollment '[mmm-yyyy']]]&lt;=AC$4),IF(ISBLANK(Tbl_ResidentData[[#This Row],[Discharge '[mmm-yyyy']]]),TRUE,(Tbl_ResidentData[[#This Row],[Discharge '[mmm-yyyy']]]&gt;=AC$4)))))</f>
        <v>-</v>
      </c>
      <c r="AD96" s="121" t="str">
        <f ca="1">IF(AD$4&gt;NOW(),"-",IF(ISBLANK(Tbl_ResidentData[[#This Row],[Enrollment '[mmm-yyyy']]]),"-",AND((Tbl_ResidentData[[#This Row],[Enrollment '[mmm-yyyy']]]&lt;=AD$4),IF(ISBLANK(Tbl_ResidentData[[#This Row],[Discharge '[mmm-yyyy']]]),TRUE,(Tbl_ResidentData[[#This Row],[Discharge '[mmm-yyyy']]]&gt;=AD$4)))))</f>
        <v>-</v>
      </c>
      <c r="AE96" s="121" t="str">
        <f ca="1">IF(AE$4&gt;NOW(),"-",IF(ISBLANK(Tbl_ResidentData[[#This Row],[Enrollment '[mmm-yyyy']]]),"-",AND((Tbl_ResidentData[[#This Row],[Enrollment '[mmm-yyyy']]]&lt;=AE$4),IF(ISBLANK(Tbl_ResidentData[[#This Row],[Discharge '[mmm-yyyy']]]),TRUE,(Tbl_ResidentData[[#This Row],[Discharge '[mmm-yyyy']]]&gt;=AE$4)))))</f>
        <v>-</v>
      </c>
      <c r="AF96" s="121" t="str">
        <f ca="1">IF(AF$4&gt;NOW(),"-",IF(ISBLANK(Tbl_ResidentData[[#This Row],[Enrollment '[mmm-yyyy']]]),"-",AND((Tbl_ResidentData[[#This Row],[Enrollment '[mmm-yyyy']]]&lt;=AF$4),IF(ISBLANK(Tbl_ResidentData[[#This Row],[Discharge '[mmm-yyyy']]]),TRUE,(Tbl_ResidentData[[#This Row],[Discharge '[mmm-yyyy']]]&gt;=AF$4)))))</f>
        <v>-</v>
      </c>
      <c r="AG96" s="121" t="str">
        <f ca="1">IF(AG$4&gt;NOW(),"-",IF(ISBLANK(Tbl_ResidentData[[#This Row],[Enrollment '[mmm-yyyy']]]),"-",AND((Tbl_ResidentData[[#This Row],[Enrollment '[mmm-yyyy']]]&lt;=AG$4),IF(ISBLANK(Tbl_ResidentData[[#This Row],[Discharge '[mmm-yyyy']]]),TRUE,(Tbl_ResidentData[[#This Row],[Discharge '[mmm-yyyy']]]&gt;=AG$4)))))</f>
        <v>-</v>
      </c>
      <c r="AH96" s="121" t="str">
        <f ca="1">IF(AH$4&gt;NOW(),"-",IF(ISBLANK(Tbl_ResidentData[[#This Row],[Enrollment '[mmm-yyyy']]]),"-",AND((Tbl_ResidentData[[#This Row],[Enrollment '[mmm-yyyy']]]&lt;=AH$4),IF(ISBLANK(Tbl_ResidentData[[#This Row],[Discharge '[mmm-yyyy']]]),TRUE,(Tbl_ResidentData[[#This Row],[Discharge '[mmm-yyyy']]]&gt;=AH$4)))))</f>
        <v>-</v>
      </c>
      <c r="AI96" s="121" t="str">
        <f ca="1">IF(AI$4&gt;NOW(),"-",IF(ISBLANK(Tbl_ResidentData[[#This Row],[Enrollment '[mmm-yyyy']]]),"-",AND((Tbl_ResidentData[[#This Row],[Enrollment '[mmm-yyyy']]]&lt;=AI$4),IF(ISBLANK(Tbl_ResidentData[[#This Row],[Discharge '[mmm-yyyy']]]),TRUE,(Tbl_ResidentData[[#This Row],[Discharge '[mmm-yyyy']]]&gt;=AI$4)))))</f>
        <v>-</v>
      </c>
      <c r="AJ96" s="121" t="str">
        <f ca="1">IF(AJ$4&gt;NOW(),"-",IF(ISBLANK(Tbl_ResidentData[[#This Row],[Enrollment '[mmm-yyyy']]]),"-",AND((Tbl_ResidentData[[#This Row],[Enrollment '[mmm-yyyy']]]&lt;=AJ$4),IF(ISBLANK(Tbl_ResidentData[[#This Row],[Discharge '[mmm-yyyy']]]),TRUE,(Tbl_ResidentData[[#This Row],[Discharge '[mmm-yyyy']]]&gt;=AJ$4)))))</f>
        <v>-</v>
      </c>
      <c r="AK96" s="121" t="str">
        <f ca="1">IF(AK$4&gt;NOW(),"-",IF(ISBLANK(Tbl_ResidentData[[#This Row],[Enrollment '[mmm-yyyy']]]),"-",AND((Tbl_ResidentData[[#This Row],[Enrollment '[mmm-yyyy']]]&lt;=AK$4),IF(ISBLANK(Tbl_ResidentData[[#This Row],[Discharge '[mmm-yyyy']]]),TRUE,(Tbl_ResidentData[[#This Row],[Discharge '[mmm-yyyy']]]&gt;=AK$4)))))</f>
        <v>-</v>
      </c>
      <c r="AL96" s="121" t="str">
        <f ca="1">IF(AL$4&gt;NOW(),"-",IF(ISBLANK(Tbl_ResidentData[[#This Row],[Enrollment '[mmm-yyyy']]]),"-",AND((Tbl_ResidentData[[#This Row],[Enrollment '[mmm-yyyy']]]&lt;=AL$4),IF(ISBLANK(Tbl_ResidentData[[#This Row],[Discharge '[mmm-yyyy']]]),TRUE,(Tbl_ResidentData[[#This Row],[Discharge '[mmm-yyyy']]]&gt;=AL$4)))))</f>
        <v>-</v>
      </c>
      <c r="AM96" s="121" t="str">
        <f ca="1">IF(AM$4&gt;NOW(),"-",IF(ISBLANK(Tbl_ResidentData[[#This Row],[Enrollment '[mmm-yyyy']]]),"-",AND((Tbl_ResidentData[[#This Row],[Enrollment '[mmm-yyyy']]]&lt;=AM$4),IF(ISBLANK(Tbl_ResidentData[[#This Row],[Discharge '[mmm-yyyy']]]),TRUE,(Tbl_ResidentData[[#This Row],[Discharge '[mmm-yyyy']]]&gt;=AM$4)))))</f>
        <v>-</v>
      </c>
      <c r="AN96" s="121" t="str">
        <f ca="1">IF(AN$4&gt;NOW(),"-",IF(ISBLANK(Tbl_ResidentData[[#This Row],[Enrollment '[mmm-yyyy']]]),"-",AND((Tbl_ResidentData[[#This Row],[Enrollment '[mmm-yyyy']]]&lt;=AN$4),IF(ISBLANK(Tbl_ResidentData[[#This Row],[Discharge '[mmm-yyyy']]]),TRUE,(Tbl_ResidentData[[#This Row],[Discharge '[mmm-yyyy']]]&gt;=AN$4)))))</f>
        <v>-</v>
      </c>
      <c r="AO96" s="121" t="str">
        <f ca="1">IF(AO$4&gt;NOW(),"-",IF(ISBLANK(Tbl_ResidentData[[#This Row],[Enrollment '[mmm-yyyy']]]),"-",AND((Tbl_ResidentData[[#This Row],[Enrollment '[mmm-yyyy']]]&lt;=AO$4),IF(ISBLANK(Tbl_ResidentData[[#This Row],[Discharge '[mmm-yyyy']]]),TRUE,(Tbl_ResidentData[[#This Row],[Discharge '[mmm-yyyy']]]&gt;=AO$4)))))</f>
        <v>-</v>
      </c>
      <c r="AP96" s="121" t="str">
        <f ca="1">IF(AP$4&gt;NOW(),"-",IF(ISBLANK(Tbl_ResidentData[[#This Row],[Enrollment '[mmm-yyyy']]]),"-",AND((Tbl_ResidentData[[#This Row],[Enrollment '[mmm-yyyy']]]&lt;=AP$4),IF(ISBLANK(Tbl_ResidentData[[#This Row],[Discharge '[mmm-yyyy']]]),TRUE,(Tbl_ResidentData[[#This Row],[Discharge '[mmm-yyyy']]]&gt;=AP$4)))))</f>
        <v>-</v>
      </c>
      <c r="AQ96" s="121" t="str">
        <f ca="1">IF(AQ$4&gt;NOW(),"-",IF(ISBLANK(Tbl_ResidentData[[#This Row],[Enrollment '[mmm-yyyy']]]),"-",AND((Tbl_ResidentData[[#This Row],[Enrollment '[mmm-yyyy']]]&lt;=AQ$4),IF(ISBLANK(Tbl_ResidentData[[#This Row],[Discharge '[mmm-yyyy']]]),TRUE,(Tbl_ResidentData[[#This Row],[Discharge '[mmm-yyyy']]]&gt;=AQ$4)))))</f>
        <v>-</v>
      </c>
      <c r="AR96" s="122" t="str">
        <f ca="1">IF(AR$4&gt;NOW(),"-",IF(ISBLANK(Tbl_ResidentData[[#This Row],[Enrollment '[mmm-yyyy']]]),"-",AND((Tbl_ResidentData[[#This Row],[Enrollment '[mmm-yyyy']]]&lt;=AR$4),IF(ISBLANK(Tbl_ResidentData[[#This Row],[Discharge '[mmm-yyyy']]]),TRUE,(Tbl_ResidentData[[#This Row],[Discharge '[mmm-yyyy']]]&gt;=AR$4)))))</f>
        <v>-</v>
      </c>
      <c r="AS9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6" s="120" t="b">
        <f ca="1">AND(Tbl_ResidentData[[#This Row],[PRN Med Started]]&lt;&gt;"",Tbl_ResidentData[[#This Row],[PRN Med Started]]&lt;=NOW(),Tbl_ResidentData[[#This Row],[PRN Med Started]]&lt;=AS$4,OR(Tbl_ResidentData[[#This Row],[PRN Med Discontinued]]&gt;AS$4,ISBLANK(Tbl_ResidentData[[#This Row],[PRN Med Discontinued]])))</f>
        <v>0</v>
      </c>
      <c r="BR96" s="121" t="b">
        <f ca="1">AND(Tbl_ResidentData[[#This Row],[PRN Med Started]]&lt;&gt;"",Tbl_ResidentData[[#This Row],[PRN Med Started]]&lt;=NOW(),Tbl_ResidentData[[#This Row],[PRN Med Started]]&lt;=AT$4,OR(Tbl_ResidentData[[#This Row],[PRN Med Discontinued]]&gt;AT$4,ISBLANK(Tbl_ResidentData[[#This Row],[PRN Med Discontinued]])))</f>
        <v>0</v>
      </c>
      <c r="BS96" s="121" t="b">
        <f ca="1">AND(Tbl_ResidentData[[#This Row],[PRN Med Started]]&lt;&gt;"",Tbl_ResidentData[[#This Row],[PRN Med Started]]&lt;=NOW(),Tbl_ResidentData[[#This Row],[PRN Med Started]]&lt;=AU$4,OR(Tbl_ResidentData[[#This Row],[PRN Med Discontinued]]&gt;AU$4,ISBLANK(Tbl_ResidentData[[#This Row],[PRN Med Discontinued]])))</f>
        <v>0</v>
      </c>
      <c r="BT96" s="121" t="b">
        <f ca="1">AND(Tbl_ResidentData[[#This Row],[PRN Med Started]]&lt;&gt;"",Tbl_ResidentData[[#This Row],[PRN Med Started]]&lt;=NOW(),Tbl_ResidentData[[#This Row],[PRN Med Started]]&lt;=AV$4,OR(Tbl_ResidentData[[#This Row],[PRN Med Discontinued]]&gt;AV$4,ISBLANK(Tbl_ResidentData[[#This Row],[PRN Med Discontinued]])))</f>
        <v>0</v>
      </c>
      <c r="BU96" s="121" t="b">
        <f ca="1">AND(Tbl_ResidentData[[#This Row],[PRN Med Started]]&lt;&gt;"",Tbl_ResidentData[[#This Row],[PRN Med Started]]&lt;=NOW(),Tbl_ResidentData[[#This Row],[PRN Med Started]]&lt;=AW$4,OR(Tbl_ResidentData[[#This Row],[PRN Med Discontinued]]&gt;AW$4,ISBLANK(Tbl_ResidentData[[#This Row],[PRN Med Discontinued]])))</f>
        <v>0</v>
      </c>
      <c r="BV96" s="121" t="b">
        <f ca="1">AND(Tbl_ResidentData[[#This Row],[PRN Med Started]]&lt;&gt;"",Tbl_ResidentData[[#This Row],[PRN Med Started]]&lt;=NOW(),Tbl_ResidentData[[#This Row],[PRN Med Started]]&lt;=AX$4,OR(Tbl_ResidentData[[#This Row],[PRN Med Discontinued]]&gt;AX$4,ISBLANK(Tbl_ResidentData[[#This Row],[PRN Med Discontinued]])))</f>
        <v>0</v>
      </c>
      <c r="BW96" s="121" t="b">
        <f ca="1">AND(Tbl_ResidentData[[#This Row],[PRN Med Started]]&lt;&gt;"",Tbl_ResidentData[[#This Row],[PRN Med Started]]&lt;=NOW(),Tbl_ResidentData[[#This Row],[PRN Med Started]]&lt;=AY$4,OR(Tbl_ResidentData[[#This Row],[PRN Med Discontinued]]&gt;AY$4,ISBLANK(Tbl_ResidentData[[#This Row],[PRN Med Discontinued]])))</f>
        <v>0</v>
      </c>
      <c r="BX96" s="121" t="b">
        <f ca="1">AND(Tbl_ResidentData[[#This Row],[PRN Med Started]]&lt;&gt;"",Tbl_ResidentData[[#This Row],[PRN Med Started]]&lt;=NOW(),Tbl_ResidentData[[#This Row],[PRN Med Started]]&lt;=AZ$4,OR(Tbl_ResidentData[[#This Row],[PRN Med Discontinued]]&gt;AZ$4,ISBLANK(Tbl_ResidentData[[#This Row],[PRN Med Discontinued]])))</f>
        <v>0</v>
      </c>
      <c r="BY96" s="121" t="b">
        <f ca="1">AND(Tbl_ResidentData[[#This Row],[PRN Med Started]]&lt;&gt;"",Tbl_ResidentData[[#This Row],[PRN Med Started]]&lt;=NOW(),Tbl_ResidentData[[#This Row],[PRN Med Started]]&lt;=BA$4,OR(Tbl_ResidentData[[#This Row],[PRN Med Discontinued]]&gt;BA$4,ISBLANK(Tbl_ResidentData[[#This Row],[PRN Med Discontinued]])))</f>
        <v>0</v>
      </c>
      <c r="BZ96" s="121" t="b">
        <f ca="1">AND(Tbl_ResidentData[[#This Row],[PRN Med Started]]&lt;&gt;"",Tbl_ResidentData[[#This Row],[PRN Med Started]]&lt;=NOW(),Tbl_ResidentData[[#This Row],[PRN Med Started]]&lt;=BB$4,OR(Tbl_ResidentData[[#This Row],[PRN Med Discontinued]]&gt;BB$4,ISBLANK(Tbl_ResidentData[[#This Row],[PRN Med Discontinued]])))</f>
        <v>0</v>
      </c>
      <c r="CA96" s="121" t="b">
        <f ca="1">AND(Tbl_ResidentData[[#This Row],[PRN Med Started]]&lt;&gt;"",Tbl_ResidentData[[#This Row],[PRN Med Started]]&lt;=NOW(),Tbl_ResidentData[[#This Row],[PRN Med Started]]&lt;=BC$4,OR(Tbl_ResidentData[[#This Row],[PRN Med Discontinued]]&gt;BC$4,ISBLANK(Tbl_ResidentData[[#This Row],[PRN Med Discontinued]])))</f>
        <v>0</v>
      </c>
      <c r="CB96" s="121" t="b">
        <f ca="1">AND(Tbl_ResidentData[[#This Row],[PRN Med Started]]&lt;&gt;"",Tbl_ResidentData[[#This Row],[PRN Med Started]]&lt;=NOW(),Tbl_ResidentData[[#This Row],[PRN Med Started]]&lt;=BD$4,OR(Tbl_ResidentData[[#This Row],[PRN Med Discontinued]]&gt;BD$4,ISBLANK(Tbl_ResidentData[[#This Row],[PRN Med Discontinued]])))</f>
        <v>0</v>
      </c>
      <c r="CC96" s="121" t="b">
        <f ca="1">AND(Tbl_ResidentData[[#This Row],[PRN Med Started]]&lt;&gt;"",Tbl_ResidentData[[#This Row],[PRN Med Started]]&lt;=NOW(),Tbl_ResidentData[[#This Row],[PRN Med Started]]&lt;=BE$4,OR(Tbl_ResidentData[[#This Row],[PRN Med Discontinued]]&gt;BE$4,ISBLANK(Tbl_ResidentData[[#This Row],[PRN Med Discontinued]])))</f>
        <v>0</v>
      </c>
      <c r="CD96" s="121" t="b">
        <f ca="1">AND(Tbl_ResidentData[[#This Row],[PRN Med Started]]&lt;&gt;"",Tbl_ResidentData[[#This Row],[PRN Med Started]]&lt;=NOW(),Tbl_ResidentData[[#This Row],[PRN Med Started]]&lt;=BF$4,OR(Tbl_ResidentData[[#This Row],[PRN Med Discontinued]]&gt;BF$4,ISBLANK(Tbl_ResidentData[[#This Row],[PRN Med Discontinued]])))</f>
        <v>0</v>
      </c>
      <c r="CE96" s="121" t="b">
        <f ca="1">AND(Tbl_ResidentData[[#This Row],[PRN Med Started]]&lt;&gt;"",Tbl_ResidentData[[#This Row],[PRN Med Started]]&lt;=NOW(),Tbl_ResidentData[[#This Row],[PRN Med Started]]&lt;=BG$4,OR(Tbl_ResidentData[[#This Row],[PRN Med Discontinued]]&gt;BG$4,ISBLANK(Tbl_ResidentData[[#This Row],[PRN Med Discontinued]])))</f>
        <v>0</v>
      </c>
      <c r="CF96" s="121" t="b">
        <f ca="1">AND(Tbl_ResidentData[[#This Row],[PRN Med Started]]&lt;&gt;"",Tbl_ResidentData[[#This Row],[PRN Med Started]]&lt;=NOW(),Tbl_ResidentData[[#This Row],[PRN Med Started]]&lt;=BH$4,OR(Tbl_ResidentData[[#This Row],[PRN Med Discontinued]]&gt;BH$4,ISBLANK(Tbl_ResidentData[[#This Row],[PRN Med Discontinued]])))</f>
        <v>0</v>
      </c>
      <c r="CG96" s="121" t="b">
        <f ca="1">AND(Tbl_ResidentData[[#This Row],[PRN Med Started]]&lt;&gt;"",Tbl_ResidentData[[#This Row],[PRN Med Started]]&lt;=NOW(),Tbl_ResidentData[[#This Row],[PRN Med Started]]&lt;=BI$4,OR(Tbl_ResidentData[[#This Row],[PRN Med Discontinued]]&gt;BI$4,ISBLANK(Tbl_ResidentData[[#This Row],[PRN Med Discontinued]])))</f>
        <v>0</v>
      </c>
      <c r="CH96" s="121" t="b">
        <f ca="1">AND(Tbl_ResidentData[[#This Row],[PRN Med Started]]&lt;&gt;"",Tbl_ResidentData[[#This Row],[PRN Med Started]]&lt;=NOW(),Tbl_ResidentData[[#This Row],[PRN Med Started]]&lt;=BJ$4,OR(Tbl_ResidentData[[#This Row],[PRN Med Discontinued]]&gt;BJ$4,ISBLANK(Tbl_ResidentData[[#This Row],[PRN Med Discontinued]])))</f>
        <v>0</v>
      </c>
      <c r="CI96" s="121" t="b">
        <f ca="1">AND(Tbl_ResidentData[[#This Row],[PRN Med Started]]&lt;&gt;"",Tbl_ResidentData[[#This Row],[PRN Med Started]]&lt;=NOW(),Tbl_ResidentData[[#This Row],[PRN Med Started]]&lt;=BK$4,OR(Tbl_ResidentData[[#This Row],[PRN Med Discontinued]]&gt;BK$4,ISBLANK(Tbl_ResidentData[[#This Row],[PRN Med Discontinued]])))</f>
        <v>0</v>
      </c>
      <c r="CJ96" s="121" t="b">
        <f ca="1">AND(Tbl_ResidentData[[#This Row],[PRN Med Started]]&lt;&gt;"",Tbl_ResidentData[[#This Row],[PRN Med Started]]&lt;=NOW(),Tbl_ResidentData[[#This Row],[PRN Med Started]]&lt;=BL$4,OR(Tbl_ResidentData[[#This Row],[PRN Med Discontinued]]&gt;BL$4,ISBLANK(Tbl_ResidentData[[#This Row],[PRN Med Discontinued]])))</f>
        <v>0</v>
      </c>
      <c r="CK96" s="121" t="b">
        <f ca="1">AND(Tbl_ResidentData[[#This Row],[PRN Med Started]]&lt;&gt;"",Tbl_ResidentData[[#This Row],[PRN Med Started]]&lt;=NOW(),Tbl_ResidentData[[#This Row],[PRN Med Started]]&lt;=BM$4,OR(Tbl_ResidentData[[#This Row],[PRN Med Discontinued]]&gt;BM$4,ISBLANK(Tbl_ResidentData[[#This Row],[PRN Med Discontinued]])))</f>
        <v>0</v>
      </c>
      <c r="CL96" s="121" t="b">
        <f ca="1">AND(Tbl_ResidentData[[#This Row],[PRN Med Started]]&lt;&gt;"",Tbl_ResidentData[[#This Row],[PRN Med Started]]&lt;=NOW(),Tbl_ResidentData[[#This Row],[PRN Med Started]]&lt;=BN$4,OR(Tbl_ResidentData[[#This Row],[PRN Med Discontinued]]&gt;BN$4,ISBLANK(Tbl_ResidentData[[#This Row],[PRN Med Discontinued]])))</f>
        <v>0</v>
      </c>
      <c r="CM96" s="121" t="b">
        <f ca="1">AND(Tbl_ResidentData[[#This Row],[PRN Med Started]]&lt;&gt;"",Tbl_ResidentData[[#This Row],[PRN Med Started]]&lt;=NOW(),Tbl_ResidentData[[#This Row],[PRN Med Started]]&lt;=BO$4,OR(Tbl_ResidentData[[#This Row],[PRN Med Discontinued]]&gt;BO$4,ISBLANK(Tbl_ResidentData[[#This Row],[PRN Med Discontinued]])))</f>
        <v>0</v>
      </c>
      <c r="CN96" s="122" t="b">
        <f ca="1">AND(Tbl_ResidentData[[#This Row],[PRN Med Started]]&lt;&gt;"",Tbl_ResidentData[[#This Row],[PRN Med Started]]&lt;=NOW(),Tbl_ResidentData[[#This Row],[PRN Med Started]]&lt;=BP$4,OR(Tbl_ResidentData[[#This Row],[PRN Med Discontinued]]&gt;BP$4,ISBLANK(Tbl_ResidentData[[#This Row],[PRN Med Discontinued]])))</f>
        <v>0</v>
      </c>
      <c r="CO96" s="120">
        <f ca="1">IF(OR(Tbl_ResidentData[[#This Row],[S1]]=TRUE,Tbl_ResidentData[[#This Row],[P1]]=TRUE),1,0)</f>
        <v>0</v>
      </c>
      <c r="CP96" s="121">
        <f ca="1">IF(OR(Tbl_ResidentData[[#This Row],[S2]]=TRUE,Tbl_ResidentData[[#This Row],[P2]]=TRUE),1,0)</f>
        <v>0</v>
      </c>
      <c r="CQ96" s="121">
        <f ca="1">IF(OR(Tbl_ResidentData[[#This Row],[S3]]=TRUE,Tbl_ResidentData[[#This Row],[P3]]=TRUE),1,0)</f>
        <v>0</v>
      </c>
      <c r="CR96" s="120">
        <f ca="1">IF(OR(Tbl_ResidentData[[#This Row],[S4]]=TRUE,Tbl_ResidentData[[#This Row],[P4]]=TRUE),1,0)</f>
        <v>0</v>
      </c>
      <c r="CS96" s="120">
        <f ca="1">IF(OR(Tbl_ResidentData[[#This Row],[S5]]=TRUE,Tbl_ResidentData[[#This Row],[P5]]=TRUE),1,0)</f>
        <v>0</v>
      </c>
      <c r="CT96" s="120">
        <f ca="1">IF(OR(Tbl_ResidentData[[#This Row],[S6]]=TRUE,Tbl_ResidentData[[#This Row],[P6]]=TRUE),1,0)</f>
        <v>0</v>
      </c>
      <c r="CU96" s="120">
        <f ca="1">IF(OR(Tbl_ResidentData[[#This Row],[S7]]=TRUE,Tbl_ResidentData[[#This Row],[P7]]=TRUE),1,0)</f>
        <v>0</v>
      </c>
      <c r="CV96" s="120">
        <f ca="1">IF(OR(Tbl_ResidentData[[#This Row],[S8]]=TRUE,Tbl_ResidentData[[#This Row],[P8]]=TRUE),1,0)</f>
        <v>0</v>
      </c>
      <c r="CW96" s="120">
        <f ca="1">IF(OR(Tbl_ResidentData[[#This Row],[S9]]=TRUE,Tbl_ResidentData[[#This Row],[P9]]=TRUE),1,0)</f>
        <v>0</v>
      </c>
      <c r="CX96" s="120">
        <f ca="1">IF(OR(Tbl_ResidentData[[#This Row],[S10]]=TRUE,Tbl_ResidentData[[#This Row],[P10]]=TRUE),1,0)</f>
        <v>0</v>
      </c>
      <c r="CY96" s="120">
        <f ca="1">IF(OR(Tbl_ResidentData[[#This Row],[S11]]=TRUE,Tbl_ResidentData[[#This Row],[P11]]=TRUE),1,0)</f>
        <v>0</v>
      </c>
      <c r="CZ96" s="120">
        <f ca="1">IF(OR(Tbl_ResidentData[[#This Row],[S12]]=TRUE,Tbl_ResidentData[[#This Row],[P12]]=TRUE),1,0)</f>
        <v>0</v>
      </c>
      <c r="DA96" s="120">
        <f ca="1">IF(OR(Tbl_ResidentData[[#This Row],[S13]]=TRUE,Tbl_ResidentData[[#This Row],[P13]]=TRUE),1,0)</f>
        <v>0</v>
      </c>
      <c r="DB96" s="120">
        <f ca="1">IF(OR(Tbl_ResidentData[[#This Row],[S14]]=TRUE,Tbl_ResidentData[[#This Row],[P14]]=TRUE),1,0)</f>
        <v>0</v>
      </c>
      <c r="DC96" s="120">
        <f ca="1">IF(OR(Tbl_ResidentData[[#This Row],[S15]]=TRUE,Tbl_ResidentData[[#This Row],[P15]]=TRUE),1,0)</f>
        <v>0</v>
      </c>
      <c r="DD96" s="120">
        <f ca="1">IF(OR(Tbl_ResidentData[[#This Row],[S16]]=TRUE,Tbl_ResidentData[[#This Row],[P16]]=TRUE),1,0)</f>
        <v>0</v>
      </c>
      <c r="DE96" s="120">
        <f ca="1">IF(OR(Tbl_ResidentData[[#This Row],[S17]]=TRUE,Tbl_ResidentData[[#This Row],[P17]]=TRUE),1,0)</f>
        <v>0</v>
      </c>
      <c r="DF96" s="120">
        <f ca="1">IF(OR(Tbl_ResidentData[[#This Row],[S18]]=TRUE,Tbl_ResidentData[[#This Row],[P18]]=TRUE),1,0)</f>
        <v>0</v>
      </c>
      <c r="DG96" s="120">
        <f ca="1">IF(OR(Tbl_ResidentData[[#This Row],[S19]]=TRUE,Tbl_ResidentData[[#This Row],[P19]]=TRUE),1,0)</f>
        <v>0</v>
      </c>
      <c r="DH96" s="120">
        <f ca="1">IF(OR(Tbl_ResidentData[[#This Row],[S20]]=TRUE,Tbl_ResidentData[[#This Row],[P20]]=TRUE),1,0)</f>
        <v>0</v>
      </c>
      <c r="DI96" s="120">
        <f ca="1">IF(OR(Tbl_ResidentData[[#This Row],[S21]]=TRUE,Tbl_ResidentData[[#This Row],[P21]]=TRUE),1,0)</f>
        <v>0</v>
      </c>
      <c r="DJ96" s="120">
        <f ca="1">IF(OR(Tbl_ResidentData[[#This Row],[S22]]=TRUE,Tbl_ResidentData[[#This Row],[P22]]=TRUE),1,0)</f>
        <v>0</v>
      </c>
      <c r="DK96" s="120">
        <f ca="1">IF(OR(Tbl_ResidentData[[#This Row],[S23]]=TRUE,Tbl_ResidentData[[#This Row],[P23]]=TRUE),1,0)</f>
        <v>0</v>
      </c>
      <c r="DL96" s="120">
        <f ca="1">IF(OR(Tbl_ResidentData[[#This Row],[S24]]=TRUE,Tbl_ResidentData[[#This Row],[P24]]=TRUE),1,0)</f>
        <v>0</v>
      </c>
      <c r="DM96" s="123" t="str">
        <f ca="1">IFERROR(INDEX($CO$4:$DL$4,MATCH(TRUE,INDEX((Tbl_ResidentData[[#This Row],[Over1]:[Over24]]&lt;&gt;0),0),0)),"")</f>
        <v/>
      </c>
      <c r="DN96" s="133" t="str">
        <f>IFERROR(INDEX(Tbl_PDSAData[Last DRT],MATCH(Tbl_ResidentData[Resident Name '[last, first']],Tbl_PDSAData[Resident Name (last, first)],0)),"")</f>
        <v/>
      </c>
      <c r="DO96" s="222" t="str">
        <f>IFERROR(INDEX(Tbl_PDSAData[Last MR],MATCH(Tbl_ResidentData[Resident Name '[last, first']],Tbl_PDSAData[Resident Name (last, first)],0)),"")</f>
        <v/>
      </c>
    </row>
    <row r="97" spans="1:119" x14ac:dyDescent="0.25">
      <c r="A97" s="179"/>
      <c r="B97" s="180"/>
      <c r="C97" s="180"/>
      <c r="D97" s="218"/>
      <c r="E97" s="179"/>
      <c r="F97" s="181"/>
      <c r="G97" s="181"/>
      <c r="H97" s="375"/>
      <c r="I97" s="185"/>
      <c r="J97" s="387"/>
      <c r="K97" s="178"/>
      <c r="L97" s="388"/>
      <c r="M97" s="185"/>
      <c r="N97" s="386"/>
      <c r="O97" s="178"/>
      <c r="P97" s="388"/>
      <c r="Q97" s="395"/>
      <c r="R97" s="396"/>
      <c r="S97" s="131" t="str">
        <f>IF(ISBLANK(Tbl_ResidentData[[#This Row],[Discharge '[mmm-yyyy']]]),IF(ISBLANK(Tbl_ResidentData[[#This Row],[Enrollment '[mmm-yyyy']]]),"","In Care Home"),"Discharged")</f>
        <v/>
      </c>
      <c r="T97" s="119" t="str">
        <f>IF(ISBLANK(Tbl_ResidentData[[#This Row],[Diagnosis (RAI)]]),IF(ISBLANK(Tbl_ResidentData[[#This Row],[Resident Name '[last, first']]]),"",0),IF(Tbl_ResidentData[[#This Row],[Diagnosis (RAI)]]="Other (see clinical notes)",0,1))</f>
        <v/>
      </c>
      <c r="U97" s="120" t="str">
        <f ca="1">IF(U$4&gt;NOW(),"-",IF(ISBLANK(Tbl_ResidentData[[#This Row],[Enrollment '[mmm-yyyy']]]),"-",AND((Tbl_ResidentData[[#This Row],[Enrollment '[mmm-yyyy']]]&lt;=U$4),IF(ISBLANK(Tbl_ResidentData[[#This Row],[Discharge '[mmm-yyyy']]]),TRUE,(Tbl_ResidentData[[#This Row],[Discharge '[mmm-yyyy']]]&gt;=U$4)))))</f>
        <v>-</v>
      </c>
      <c r="V97" s="121" t="str">
        <f ca="1">IF(V$4&gt;NOW(),"-",IF(ISBLANK(Tbl_ResidentData[[#This Row],[Enrollment '[mmm-yyyy']]]),"-",AND((Tbl_ResidentData[[#This Row],[Enrollment '[mmm-yyyy']]]&lt;=V$4),IF(ISBLANK(Tbl_ResidentData[[#This Row],[Discharge '[mmm-yyyy']]]),TRUE,(Tbl_ResidentData[[#This Row],[Discharge '[mmm-yyyy']]]&gt;=V$4)))))</f>
        <v>-</v>
      </c>
      <c r="W97" s="121" t="str">
        <f ca="1">IF(W$4&gt;NOW(),"-",IF(ISBLANK(Tbl_ResidentData[[#This Row],[Enrollment '[mmm-yyyy']]]),"-",AND((Tbl_ResidentData[[#This Row],[Enrollment '[mmm-yyyy']]]&lt;=W$4),IF(ISBLANK(Tbl_ResidentData[[#This Row],[Discharge '[mmm-yyyy']]]),TRUE,(Tbl_ResidentData[[#This Row],[Discharge '[mmm-yyyy']]]&gt;=W$4)))))</f>
        <v>-</v>
      </c>
      <c r="X97" s="121" t="str">
        <f ca="1">IF(X$4&gt;NOW(),"-",IF(ISBLANK(Tbl_ResidentData[[#This Row],[Enrollment '[mmm-yyyy']]]),"-",AND((Tbl_ResidentData[[#This Row],[Enrollment '[mmm-yyyy']]]&lt;=X$4),IF(ISBLANK(Tbl_ResidentData[[#This Row],[Discharge '[mmm-yyyy']]]),TRUE,(Tbl_ResidentData[[#This Row],[Discharge '[mmm-yyyy']]]&gt;=X$4)))))</f>
        <v>-</v>
      </c>
      <c r="Y97" s="121" t="str">
        <f ca="1">IF(Y$4&gt;NOW(),"-",IF(ISBLANK(Tbl_ResidentData[[#This Row],[Enrollment '[mmm-yyyy']]]),"-",AND((Tbl_ResidentData[[#This Row],[Enrollment '[mmm-yyyy']]]&lt;=Y$4),IF(ISBLANK(Tbl_ResidentData[[#This Row],[Discharge '[mmm-yyyy']]]),TRUE,(Tbl_ResidentData[[#This Row],[Discharge '[mmm-yyyy']]]&gt;=Y$4)))))</f>
        <v>-</v>
      </c>
      <c r="Z97" s="121" t="str">
        <f ca="1">IF(Z$4&gt;NOW(),"-",IF(ISBLANK(Tbl_ResidentData[[#This Row],[Enrollment '[mmm-yyyy']]]),"-",AND((Tbl_ResidentData[[#This Row],[Enrollment '[mmm-yyyy']]]&lt;=Z$4),IF(ISBLANK(Tbl_ResidentData[[#This Row],[Discharge '[mmm-yyyy']]]),TRUE,(Tbl_ResidentData[[#This Row],[Discharge '[mmm-yyyy']]]&gt;=Z$4)))))</f>
        <v>-</v>
      </c>
      <c r="AA97" s="121" t="str">
        <f ca="1">IF(AA$4&gt;NOW(),"-",IF(ISBLANK(Tbl_ResidentData[[#This Row],[Enrollment '[mmm-yyyy']]]),"-",AND((Tbl_ResidentData[[#This Row],[Enrollment '[mmm-yyyy']]]&lt;=AA$4),IF(ISBLANK(Tbl_ResidentData[[#This Row],[Discharge '[mmm-yyyy']]]),TRUE,(Tbl_ResidentData[[#This Row],[Discharge '[mmm-yyyy']]]&gt;=AA$4)))))</f>
        <v>-</v>
      </c>
      <c r="AB97" s="121" t="str">
        <f ca="1">IF(AB$4&gt;NOW(),"-",IF(ISBLANK(Tbl_ResidentData[[#This Row],[Enrollment '[mmm-yyyy']]]),"-",AND((Tbl_ResidentData[[#This Row],[Enrollment '[mmm-yyyy']]]&lt;=AB$4),IF(ISBLANK(Tbl_ResidentData[[#This Row],[Discharge '[mmm-yyyy']]]),TRUE,(Tbl_ResidentData[[#This Row],[Discharge '[mmm-yyyy']]]&gt;=AB$4)))))</f>
        <v>-</v>
      </c>
      <c r="AC97" s="121" t="str">
        <f ca="1">IF(AC$4&gt;NOW(),"-",IF(ISBLANK(Tbl_ResidentData[[#This Row],[Enrollment '[mmm-yyyy']]]),"-",AND((Tbl_ResidentData[[#This Row],[Enrollment '[mmm-yyyy']]]&lt;=AC$4),IF(ISBLANK(Tbl_ResidentData[[#This Row],[Discharge '[mmm-yyyy']]]),TRUE,(Tbl_ResidentData[[#This Row],[Discharge '[mmm-yyyy']]]&gt;=AC$4)))))</f>
        <v>-</v>
      </c>
      <c r="AD97" s="121" t="str">
        <f ca="1">IF(AD$4&gt;NOW(),"-",IF(ISBLANK(Tbl_ResidentData[[#This Row],[Enrollment '[mmm-yyyy']]]),"-",AND((Tbl_ResidentData[[#This Row],[Enrollment '[mmm-yyyy']]]&lt;=AD$4),IF(ISBLANK(Tbl_ResidentData[[#This Row],[Discharge '[mmm-yyyy']]]),TRUE,(Tbl_ResidentData[[#This Row],[Discharge '[mmm-yyyy']]]&gt;=AD$4)))))</f>
        <v>-</v>
      </c>
      <c r="AE97" s="121" t="str">
        <f ca="1">IF(AE$4&gt;NOW(),"-",IF(ISBLANK(Tbl_ResidentData[[#This Row],[Enrollment '[mmm-yyyy']]]),"-",AND((Tbl_ResidentData[[#This Row],[Enrollment '[mmm-yyyy']]]&lt;=AE$4),IF(ISBLANK(Tbl_ResidentData[[#This Row],[Discharge '[mmm-yyyy']]]),TRUE,(Tbl_ResidentData[[#This Row],[Discharge '[mmm-yyyy']]]&gt;=AE$4)))))</f>
        <v>-</v>
      </c>
      <c r="AF97" s="121" t="str">
        <f ca="1">IF(AF$4&gt;NOW(),"-",IF(ISBLANK(Tbl_ResidentData[[#This Row],[Enrollment '[mmm-yyyy']]]),"-",AND((Tbl_ResidentData[[#This Row],[Enrollment '[mmm-yyyy']]]&lt;=AF$4),IF(ISBLANK(Tbl_ResidentData[[#This Row],[Discharge '[mmm-yyyy']]]),TRUE,(Tbl_ResidentData[[#This Row],[Discharge '[mmm-yyyy']]]&gt;=AF$4)))))</f>
        <v>-</v>
      </c>
      <c r="AG97" s="121" t="str">
        <f ca="1">IF(AG$4&gt;NOW(),"-",IF(ISBLANK(Tbl_ResidentData[[#This Row],[Enrollment '[mmm-yyyy']]]),"-",AND((Tbl_ResidentData[[#This Row],[Enrollment '[mmm-yyyy']]]&lt;=AG$4),IF(ISBLANK(Tbl_ResidentData[[#This Row],[Discharge '[mmm-yyyy']]]),TRUE,(Tbl_ResidentData[[#This Row],[Discharge '[mmm-yyyy']]]&gt;=AG$4)))))</f>
        <v>-</v>
      </c>
      <c r="AH97" s="121" t="str">
        <f ca="1">IF(AH$4&gt;NOW(),"-",IF(ISBLANK(Tbl_ResidentData[[#This Row],[Enrollment '[mmm-yyyy']]]),"-",AND((Tbl_ResidentData[[#This Row],[Enrollment '[mmm-yyyy']]]&lt;=AH$4),IF(ISBLANK(Tbl_ResidentData[[#This Row],[Discharge '[mmm-yyyy']]]),TRUE,(Tbl_ResidentData[[#This Row],[Discharge '[mmm-yyyy']]]&gt;=AH$4)))))</f>
        <v>-</v>
      </c>
      <c r="AI97" s="121" t="str">
        <f ca="1">IF(AI$4&gt;NOW(),"-",IF(ISBLANK(Tbl_ResidentData[[#This Row],[Enrollment '[mmm-yyyy']]]),"-",AND((Tbl_ResidentData[[#This Row],[Enrollment '[mmm-yyyy']]]&lt;=AI$4),IF(ISBLANK(Tbl_ResidentData[[#This Row],[Discharge '[mmm-yyyy']]]),TRUE,(Tbl_ResidentData[[#This Row],[Discharge '[mmm-yyyy']]]&gt;=AI$4)))))</f>
        <v>-</v>
      </c>
      <c r="AJ97" s="121" t="str">
        <f ca="1">IF(AJ$4&gt;NOW(),"-",IF(ISBLANK(Tbl_ResidentData[[#This Row],[Enrollment '[mmm-yyyy']]]),"-",AND((Tbl_ResidentData[[#This Row],[Enrollment '[mmm-yyyy']]]&lt;=AJ$4),IF(ISBLANK(Tbl_ResidentData[[#This Row],[Discharge '[mmm-yyyy']]]),TRUE,(Tbl_ResidentData[[#This Row],[Discharge '[mmm-yyyy']]]&gt;=AJ$4)))))</f>
        <v>-</v>
      </c>
      <c r="AK97" s="121" t="str">
        <f ca="1">IF(AK$4&gt;NOW(),"-",IF(ISBLANK(Tbl_ResidentData[[#This Row],[Enrollment '[mmm-yyyy']]]),"-",AND((Tbl_ResidentData[[#This Row],[Enrollment '[mmm-yyyy']]]&lt;=AK$4),IF(ISBLANK(Tbl_ResidentData[[#This Row],[Discharge '[mmm-yyyy']]]),TRUE,(Tbl_ResidentData[[#This Row],[Discharge '[mmm-yyyy']]]&gt;=AK$4)))))</f>
        <v>-</v>
      </c>
      <c r="AL97" s="121" t="str">
        <f ca="1">IF(AL$4&gt;NOW(),"-",IF(ISBLANK(Tbl_ResidentData[[#This Row],[Enrollment '[mmm-yyyy']]]),"-",AND((Tbl_ResidentData[[#This Row],[Enrollment '[mmm-yyyy']]]&lt;=AL$4),IF(ISBLANK(Tbl_ResidentData[[#This Row],[Discharge '[mmm-yyyy']]]),TRUE,(Tbl_ResidentData[[#This Row],[Discharge '[mmm-yyyy']]]&gt;=AL$4)))))</f>
        <v>-</v>
      </c>
      <c r="AM97" s="121" t="str">
        <f ca="1">IF(AM$4&gt;NOW(),"-",IF(ISBLANK(Tbl_ResidentData[[#This Row],[Enrollment '[mmm-yyyy']]]),"-",AND((Tbl_ResidentData[[#This Row],[Enrollment '[mmm-yyyy']]]&lt;=AM$4),IF(ISBLANK(Tbl_ResidentData[[#This Row],[Discharge '[mmm-yyyy']]]),TRUE,(Tbl_ResidentData[[#This Row],[Discharge '[mmm-yyyy']]]&gt;=AM$4)))))</f>
        <v>-</v>
      </c>
      <c r="AN97" s="121" t="str">
        <f ca="1">IF(AN$4&gt;NOW(),"-",IF(ISBLANK(Tbl_ResidentData[[#This Row],[Enrollment '[mmm-yyyy']]]),"-",AND((Tbl_ResidentData[[#This Row],[Enrollment '[mmm-yyyy']]]&lt;=AN$4),IF(ISBLANK(Tbl_ResidentData[[#This Row],[Discharge '[mmm-yyyy']]]),TRUE,(Tbl_ResidentData[[#This Row],[Discharge '[mmm-yyyy']]]&gt;=AN$4)))))</f>
        <v>-</v>
      </c>
      <c r="AO97" s="121" t="str">
        <f ca="1">IF(AO$4&gt;NOW(),"-",IF(ISBLANK(Tbl_ResidentData[[#This Row],[Enrollment '[mmm-yyyy']]]),"-",AND((Tbl_ResidentData[[#This Row],[Enrollment '[mmm-yyyy']]]&lt;=AO$4),IF(ISBLANK(Tbl_ResidentData[[#This Row],[Discharge '[mmm-yyyy']]]),TRUE,(Tbl_ResidentData[[#This Row],[Discharge '[mmm-yyyy']]]&gt;=AO$4)))))</f>
        <v>-</v>
      </c>
      <c r="AP97" s="121" t="str">
        <f ca="1">IF(AP$4&gt;NOW(),"-",IF(ISBLANK(Tbl_ResidentData[[#This Row],[Enrollment '[mmm-yyyy']]]),"-",AND((Tbl_ResidentData[[#This Row],[Enrollment '[mmm-yyyy']]]&lt;=AP$4),IF(ISBLANK(Tbl_ResidentData[[#This Row],[Discharge '[mmm-yyyy']]]),TRUE,(Tbl_ResidentData[[#This Row],[Discharge '[mmm-yyyy']]]&gt;=AP$4)))))</f>
        <v>-</v>
      </c>
      <c r="AQ97" s="121" t="str">
        <f ca="1">IF(AQ$4&gt;NOW(),"-",IF(ISBLANK(Tbl_ResidentData[[#This Row],[Enrollment '[mmm-yyyy']]]),"-",AND((Tbl_ResidentData[[#This Row],[Enrollment '[mmm-yyyy']]]&lt;=AQ$4),IF(ISBLANK(Tbl_ResidentData[[#This Row],[Discharge '[mmm-yyyy']]]),TRUE,(Tbl_ResidentData[[#This Row],[Discharge '[mmm-yyyy']]]&gt;=AQ$4)))))</f>
        <v>-</v>
      </c>
      <c r="AR97" s="122" t="str">
        <f ca="1">IF(AR$4&gt;NOW(),"-",IF(ISBLANK(Tbl_ResidentData[[#This Row],[Enrollment '[mmm-yyyy']]]),"-",AND((Tbl_ResidentData[[#This Row],[Enrollment '[mmm-yyyy']]]&lt;=AR$4),IF(ISBLANK(Tbl_ResidentData[[#This Row],[Discharge '[mmm-yyyy']]]),TRUE,(Tbl_ResidentData[[#This Row],[Discharge '[mmm-yyyy']]]&gt;=AR$4)))))</f>
        <v>-</v>
      </c>
      <c r="AS9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7" s="120" t="b">
        <f ca="1">AND(Tbl_ResidentData[[#This Row],[PRN Med Started]]&lt;&gt;"",Tbl_ResidentData[[#This Row],[PRN Med Started]]&lt;=NOW(),Tbl_ResidentData[[#This Row],[PRN Med Started]]&lt;=AS$4,OR(Tbl_ResidentData[[#This Row],[PRN Med Discontinued]]&gt;AS$4,ISBLANK(Tbl_ResidentData[[#This Row],[PRN Med Discontinued]])))</f>
        <v>0</v>
      </c>
      <c r="BR97" s="121" t="b">
        <f ca="1">AND(Tbl_ResidentData[[#This Row],[PRN Med Started]]&lt;&gt;"",Tbl_ResidentData[[#This Row],[PRN Med Started]]&lt;=NOW(),Tbl_ResidentData[[#This Row],[PRN Med Started]]&lt;=AT$4,OR(Tbl_ResidentData[[#This Row],[PRN Med Discontinued]]&gt;AT$4,ISBLANK(Tbl_ResidentData[[#This Row],[PRN Med Discontinued]])))</f>
        <v>0</v>
      </c>
      <c r="BS97" s="121" t="b">
        <f ca="1">AND(Tbl_ResidentData[[#This Row],[PRN Med Started]]&lt;&gt;"",Tbl_ResidentData[[#This Row],[PRN Med Started]]&lt;=NOW(),Tbl_ResidentData[[#This Row],[PRN Med Started]]&lt;=AU$4,OR(Tbl_ResidentData[[#This Row],[PRN Med Discontinued]]&gt;AU$4,ISBLANK(Tbl_ResidentData[[#This Row],[PRN Med Discontinued]])))</f>
        <v>0</v>
      </c>
      <c r="BT97" s="121" t="b">
        <f ca="1">AND(Tbl_ResidentData[[#This Row],[PRN Med Started]]&lt;&gt;"",Tbl_ResidentData[[#This Row],[PRN Med Started]]&lt;=NOW(),Tbl_ResidentData[[#This Row],[PRN Med Started]]&lt;=AV$4,OR(Tbl_ResidentData[[#This Row],[PRN Med Discontinued]]&gt;AV$4,ISBLANK(Tbl_ResidentData[[#This Row],[PRN Med Discontinued]])))</f>
        <v>0</v>
      </c>
      <c r="BU97" s="121" t="b">
        <f ca="1">AND(Tbl_ResidentData[[#This Row],[PRN Med Started]]&lt;&gt;"",Tbl_ResidentData[[#This Row],[PRN Med Started]]&lt;=NOW(),Tbl_ResidentData[[#This Row],[PRN Med Started]]&lt;=AW$4,OR(Tbl_ResidentData[[#This Row],[PRN Med Discontinued]]&gt;AW$4,ISBLANK(Tbl_ResidentData[[#This Row],[PRN Med Discontinued]])))</f>
        <v>0</v>
      </c>
      <c r="BV97" s="121" t="b">
        <f ca="1">AND(Tbl_ResidentData[[#This Row],[PRN Med Started]]&lt;&gt;"",Tbl_ResidentData[[#This Row],[PRN Med Started]]&lt;=NOW(),Tbl_ResidentData[[#This Row],[PRN Med Started]]&lt;=AX$4,OR(Tbl_ResidentData[[#This Row],[PRN Med Discontinued]]&gt;AX$4,ISBLANK(Tbl_ResidentData[[#This Row],[PRN Med Discontinued]])))</f>
        <v>0</v>
      </c>
      <c r="BW97" s="121" t="b">
        <f ca="1">AND(Tbl_ResidentData[[#This Row],[PRN Med Started]]&lt;&gt;"",Tbl_ResidentData[[#This Row],[PRN Med Started]]&lt;=NOW(),Tbl_ResidentData[[#This Row],[PRN Med Started]]&lt;=AY$4,OR(Tbl_ResidentData[[#This Row],[PRN Med Discontinued]]&gt;AY$4,ISBLANK(Tbl_ResidentData[[#This Row],[PRN Med Discontinued]])))</f>
        <v>0</v>
      </c>
      <c r="BX97" s="121" t="b">
        <f ca="1">AND(Tbl_ResidentData[[#This Row],[PRN Med Started]]&lt;&gt;"",Tbl_ResidentData[[#This Row],[PRN Med Started]]&lt;=NOW(),Tbl_ResidentData[[#This Row],[PRN Med Started]]&lt;=AZ$4,OR(Tbl_ResidentData[[#This Row],[PRN Med Discontinued]]&gt;AZ$4,ISBLANK(Tbl_ResidentData[[#This Row],[PRN Med Discontinued]])))</f>
        <v>0</v>
      </c>
      <c r="BY97" s="121" t="b">
        <f ca="1">AND(Tbl_ResidentData[[#This Row],[PRN Med Started]]&lt;&gt;"",Tbl_ResidentData[[#This Row],[PRN Med Started]]&lt;=NOW(),Tbl_ResidentData[[#This Row],[PRN Med Started]]&lt;=BA$4,OR(Tbl_ResidentData[[#This Row],[PRN Med Discontinued]]&gt;BA$4,ISBLANK(Tbl_ResidentData[[#This Row],[PRN Med Discontinued]])))</f>
        <v>0</v>
      </c>
      <c r="BZ97" s="121" t="b">
        <f ca="1">AND(Tbl_ResidentData[[#This Row],[PRN Med Started]]&lt;&gt;"",Tbl_ResidentData[[#This Row],[PRN Med Started]]&lt;=NOW(),Tbl_ResidentData[[#This Row],[PRN Med Started]]&lt;=BB$4,OR(Tbl_ResidentData[[#This Row],[PRN Med Discontinued]]&gt;BB$4,ISBLANK(Tbl_ResidentData[[#This Row],[PRN Med Discontinued]])))</f>
        <v>0</v>
      </c>
      <c r="CA97" s="121" t="b">
        <f ca="1">AND(Tbl_ResidentData[[#This Row],[PRN Med Started]]&lt;&gt;"",Tbl_ResidentData[[#This Row],[PRN Med Started]]&lt;=NOW(),Tbl_ResidentData[[#This Row],[PRN Med Started]]&lt;=BC$4,OR(Tbl_ResidentData[[#This Row],[PRN Med Discontinued]]&gt;BC$4,ISBLANK(Tbl_ResidentData[[#This Row],[PRN Med Discontinued]])))</f>
        <v>0</v>
      </c>
      <c r="CB97" s="121" t="b">
        <f ca="1">AND(Tbl_ResidentData[[#This Row],[PRN Med Started]]&lt;&gt;"",Tbl_ResidentData[[#This Row],[PRN Med Started]]&lt;=NOW(),Tbl_ResidentData[[#This Row],[PRN Med Started]]&lt;=BD$4,OR(Tbl_ResidentData[[#This Row],[PRN Med Discontinued]]&gt;BD$4,ISBLANK(Tbl_ResidentData[[#This Row],[PRN Med Discontinued]])))</f>
        <v>0</v>
      </c>
      <c r="CC97" s="121" t="b">
        <f ca="1">AND(Tbl_ResidentData[[#This Row],[PRN Med Started]]&lt;&gt;"",Tbl_ResidentData[[#This Row],[PRN Med Started]]&lt;=NOW(),Tbl_ResidentData[[#This Row],[PRN Med Started]]&lt;=BE$4,OR(Tbl_ResidentData[[#This Row],[PRN Med Discontinued]]&gt;BE$4,ISBLANK(Tbl_ResidentData[[#This Row],[PRN Med Discontinued]])))</f>
        <v>0</v>
      </c>
      <c r="CD97" s="121" t="b">
        <f ca="1">AND(Tbl_ResidentData[[#This Row],[PRN Med Started]]&lt;&gt;"",Tbl_ResidentData[[#This Row],[PRN Med Started]]&lt;=NOW(),Tbl_ResidentData[[#This Row],[PRN Med Started]]&lt;=BF$4,OR(Tbl_ResidentData[[#This Row],[PRN Med Discontinued]]&gt;BF$4,ISBLANK(Tbl_ResidentData[[#This Row],[PRN Med Discontinued]])))</f>
        <v>0</v>
      </c>
      <c r="CE97" s="121" t="b">
        <f ca="1">AND(Tbl_ResidentData[[#This Row],[PRN Med Started]]&lt;&gt;"",Tbl_ResidentData[[#This Row],[PRN Med Started]]&lt;=NOW(),Tbl_ResidentData[[#This Row],[PRN Med Started]]&lt;=BG$4,OR(Tbl_ResidentData[[#This Row],[PRN Med Discontinued]]&gt;BG$4,ISBLANK(Tbl_ResidentData[[#This Row],[PRN Med Discontinued]])))</f>
        <v>0</v>
      </c>
      <c r="CF97" s="121" t="b">
        <f ca="1">AND(Tbl_ResidentData[[#This Row],[PRN Med Started]]&lt;&gt;"",Tbl_ResidentData[[#This Row],[PRN Med Started]]&lt;=NOW(),Tbl_ResidentData[[#This Row],[PRN Med Started]]&lt;=BH$4,OR(Tbl_ResidentData[[#This Row],[PRN Med Discontinued]]&gt;BH$4,ISBLANK(Tbl_ResidentData[[#This Row],[PRN Med Discontinued]])))</f>
        <v>0</v>
      </c>
      <c r="CG97" s="121" t="b">
        <f ca="1">AND(Tbl_ResidentData[[#This Row],[PRN Med Started]]&lt;&gt;"",Tbl_ResidentData[[#This Row],[PRN Med Started]]&lt;=NOW(),Tbl_ResidentData[[#This Row],[PRN Med Started]]&lt;=BI$4,OR(Tbl_ResidentData[[#This Row],[PRN Med Discontinued]]&gt;BI$4,ISBLANK(Tbl_ResidentData[[#This Row],[PRN Med Discontinued]])))</f>
        <v>0</v>
      </c>
      <c r="CH97" s="121" t="b">
        <f ca="1">AND(Tbl_ResidentData[[#This Row],[PRN Med Started]]&lt;&gt;"",Tbl_ResidentData[[#This Row],[PRN Med Started]]&lt;=NOW(),Tbl_ResidentData[[#This Row],[PRN Med Started]]&lt;=BJ$4,OR(Tbl_ResidentData[[#This Row],[PRN Med Discontinued]]&gt;BJ$4,ISBLANK(Tbl_ResidentData[[#This Row],[PRN Med Discontinued]])))</f>
        <v>0</v>
      </c>
      <c r="CI97" s="121" t="b">
        <f ca="1">AND(Tbl_ResidentData[[#This Row],[PRN Med Started]]&lt;&gt;"",Tbl_ResidentData[[#This Row],[PRN Med Started]]&lt;=NOW(),Tbl_ResidentData[[#This Row],[PRN Med Started]]&lt;=BK$4,OR(Tbl_ResidentData[[#This Row],[PRN Med Discontinued]]&gt;BK$4,ISBLANK(Tbl_ResidentData[[#This Row],[PRN Med Discontinued]])))</f>
        <v>0</v>
      </c>
      <c r="CJ97" s="121" t="b">
        <f ca="1">AND(Tbl_ResidentData[[#This Row],[PRN Med Started]]&lt;&gt;"",Tbl_ResidentData[[#This Row],[PRN Med Started]]&lt;=NOW(),Tbl_ResidentData[[#This Row],[PRN Med Started]]&lt;=BL$4,OR(Tbl_ResidentData[[#This Row],[PRN Med Discontinued]]&gt;BL$4,ISBLANK(Tbl_ResidentData[[#This Row],[PRN Med Discontinued]])))</f>
        <v>0</v>
      </c>
      <c r="CK97" s="121" t="b">
        <f ca="1">AND(Tbl_ResidentData[[#This Row],[PRN Med Started]]&lt;&gt;"",Tbl_ResidentData[[#This Row],[PRN Med Started]]&lt;=NOW(),Tbl_ResidentData[[#This Row],[PRN Med Started]]&lt;=BM$4,OR(Tbl_ResidentData[[#This Row],[PRN Med Discontinued]]&gt;BM$4,ISBLANK(Tbl_ResidentData[[#This Row],[PRN Med Discontinued]])))</f>
        <v>0</v>
      </c>
      <c r="CL97" s="121" t="b">
        <f ca="1">AND(Tbl_ResidentData[[#This Row],[PRN Med Started]]&lt;&gt;"",Tbl_ResidentData[[#This Row],[PRN Med Started]]&lt;=NOW(),Tbl_ResidentData[[#This Row],[PRN Med Started]]&lt;=BN$4,OR(Tbl_ResidentData[[#This Row],[PRN Med Discontinued]]&gt;BN$4,ISBLANK(Tbl_ResidentData[[#This Row],[PRN Med Discontinued]])))</f>
        <v>0</v>
      </c>
      <c r="CM97" s="121" t="b">
        <f ca="1">AND(Tbl_ResidentData[[#This Row],[PRN Med Started]]&lt;&gt;"",Tbl_ResidentData[[#This Row],[PRN Med Started]]&lt;=NOW(),Tbl_ResidentData[[#This Row],[PRN Med Started]]&lt;=BO$4,OR(Tbl_ResidentData[[#This Row],[PRN Med Discontinued]]&gt;BO$4,ISBLANK(Tbl_ResidentData[[#This Row],[PRN Med Discontinued]])))</f>
        <v>0</v>
      </c>
      <c r="CN97" s="122" t="b">
        <f ca="1">AND(Tbl_ResidentData[[#This Row],[PRN Med Started]]&lt;&gt;"",Tbl_ResidentData[[#This Row],[PRN Med Started]]&lt;=NOW(),Tbl_ResidentData[[#This Row],[PRN Med Started]]&lt;=BP$4,OR(Tbl_ResidentData[[#This Row],[PRN Med Discontinued]]&gt;BP$4,ISBLANK(Tbl_ResidentData[[#This Row],[PRN Med Discontinued]])))</f>
        <v>0</v>
      </c>
      <c r="CO97" s="120">
        <f ca="1">IF(OR(Tbl_ResidentData[[#This Row],[S1]]=TRUE,Tbl_ResidentData[[#This Row],[P1]]=TRUE),1,0)</f>
        <v>0</v>
      </c>
      <c r="CP97" s="121">
        <f ca="1">IF(OR(Tbl_ResidentData[[#This Row],[S2]]=TRUE,Tbl_ResidentData[[#This Row],[P2]]=TRUE),1,0)</f>
        <v>0</v>
      </c>
      <c r="CQ97" s="121">
        <f ca="1">IF(OR(Tbl_ResidentData[[#This Row],[S3]]=TRUE,Tbl_ResidentData[[#This Row],[P3]]=TRUE),1,0)</f>
        <v>0</v>
      </c>
      <c r="CR97" s="120">
        <f ca="1">IF(OR(Tbl_ResidentData[[#This Row],[S4]]=TRUE,Tbl_ResidentData[[#This Row],[P4]]=TRUE),1,0)</f>
        <v>0</v>
      </c>
      <c r="CS97" s="120">
        <f ca="1">IF(OR(Tbl_ResidentData[[#This Row],[S5]]=TRUE,Tbl_ResidentData[[#This Row],[P5]]=TRUE),1,0)</f>
        <v>0</v>
      </c>
      <c r="CT97" s="120">
        <f ca="1">IF(OR(Tbl_ResidentData[[#This Row],[S6]]=TRUE,Tbl_ResidentData[[#This Row],[P6]]=TRUE),1,0)</f>
        <v>0</v>
      </c>
      <c r="CU97" s="120">
        <f ca="1">IF(OR(Tbl_ResidentData[[#This Row],[S7]]=TRUE,Tbl_ResidentData[[#This Row],[P7]]=TRUE),1,0)</f>
        <v>0</v>
      </c>
      <c r="CV97" s="120">
        <f ca="1">IF(OR(Tbl_ResidentData[[#This Row],[S8]]=TRUE,Tbl_ResidentData[[#This Row],[P8]]=TRUE),1,0)</f>
        <v>0</v>
      </c>
      <c r="CW97" s="120">
        <f ca="1">IF(OR(Tbl_ResidentData[[#This Row],[S9]]=TRUE,Tbl_ResidentData[[#This Row],[P9]]=TRUE),1,0)</f>
        <v>0</v>
      </c>
      <c r="CX97" s="120">
        <f ca="1">IF(OR(Tbl_ResidentData[[#This Row],[S10]]=TRUE,Tbl_ResidentData[[#This Row],[P10]]=TRUE),1,0)</f>
        <v>0</v>
      </c>
      <c r="CY97" s="120">
        <f ca="1">IF(OR(Tbl_ResidentData[[#This Row],[S11]]=TRUE,Tbl_ResidentData[[#This Row],[P11]]=TRUE),1,0)</f>
        <v>0</v>
      </c>
      <c r="CZ97" s="120">
        <f ca="1">IF(OR(Tbl_ResidentData[[#This Row],[S12]]=TRUE,Tbl_ResidentData[[#This Row],[P12]]=TRUE),1,0)</f>
        <v>0</v>
      </c>
      <c r="DA97" s="120">
        <f ca="1">IF(OR(Tbl_ResidentData[[#This Row],[S13]]=TRUE,Tbl_ResidentData[[#This Row],[P13]]=TRUE),1,0)</f>
        <v>0</v>
      </c>
      <c r="DB97" s="120">
        <f ca="1">IF(OR(Tbl_ResidentData[[#This Row],[S14]]=TRUE,Tbl_ResidentData[[#This Row],[P14]]=TRUE),1,0)</f>
        <v>0</v>
      </c>
      <c r="DC97" s="120">
        <f ca="1">IF(OR(Tbl_ResidentData[[#This Row],[S15]]=TRUE,Tbl_ResidentData[[#This Row],[P15]]=TRUE),1,0)</f>
        <v>0</v>
      </c>
      <c r="DD97" s="120">
        <f ca="1">IF(OR(Tbl_ResidentData[[#This Row],[S16]]=TRUE,Tbl_ResidentData[[#This Row],[P16]]=TRUE),1,0)</f>
        <v>0</v>
      </c>
      <c r="DE97" s="120">
        <f ca="1">IF(OR(Tbl_ResidentData[[#This Row],[S17]]=TRUE,Tbl_ResidentData[[#This Row],[P17]]=TRUE),1,0)</f>
        <v>0</v>
      </c>
      <c r="DF97" s="120">
        <f ca="1">IF(OR(Tbl_ResidentData[[#This Row],[S18]]=TRUE,Tbl_ResidentData[[#This Row],[P18]]=TRUE),1,0)</f>
        <v>0</v>
      </c>
      <c r="DG97" s="120">
        <f ca="1">IF(OR(Tbl_ResidentData[[#This Row],[S19]]=TRUE,Tbl_ResidentData[[#This Row],[P19]]=TRUE),1,0)</f>
        <v>0</v>
      </c>
      <c r="DH97" s="120">
        <f ca="1">IF(OR(Tbl_ResidentData[[#This Row],[S20]]=TRUE,Tbl_ResidentData[[#This Row],[P20]]=TRUE),1,0)</f>
        <v>0</v>
      </c>
      <c r="DI97" s="120">
        <f ca="1">IF(OR(Tbl_ResidentData[[#This Row],[S21]]=TRUE,Tbl_ResidentData[[#This Row],[P21]]=TRUE),1,0)</f>
        <v>0</v>
      </c>
      <c r="DJ97" s="120">
        <f ca="1">IF(OR(Tbl_ResidentData[[#This Row],[S22]]=TRUE,Tbl_ResidentData[[#This Row],[P22]]=TRUE),1,0)</f>
        <v>0</v>
      </c>
      <c r="DK97" s="120">
        <f ca="1">IF(OR(Tbl_ResidentData[[#This Row],[S23]]=TRUE,Tbl_ResidentData[[#This Row],[P23]]=TRUE),1,0)</f>
        <v>0</v>
      </c>
      <c r="DL97" s="120">
        <f ca="1">IF(OR(Tbl_ResidentData[[#This Row],[S24]]=TRUE,Tbl_ResidentData[[#This Row],[P24]]=TRUE),1,0)</f>
        <v>0</v>
      </c>
      <c r="DM97" s="123" t="str">
        <f ca="1">IFERROR(INDEX($CO$4:$DL$4,MATCH(TRUE,INDEX((Tbl_ResidentData[[#This Row],[Over1]:[Over24]]&lt;&gt;0),0),0)),"")</f>
        <v/>
      </c>
      <c r="DN97" s="133" t="str">
        <f>IFERROR(INDEX(Tbl_PDSAData[Last DRT],MATCH(Tbl_ResidentData[Resident Name '[last, first']],Tbl_PDSAData[Resident Name (last, first)],0)),"")</f>
        <v/>
      </c>
      <c r="DO97" s="222" t="str">
        <f>IFERROR(INDEX(Tbl_PDSAData[Last MR],MATCH(Tbl_ResidentData[Resident Name '[last, first']],Tbl_PDSAData[Resident Name (last, first)],0)),"")</f>
        <v/>
      </c>
    </row>
    <row r="98" spans="1:119" x14ac:dyDescent="0.25">
      <c r="A98" s="179"/>
      <c r="B98" s="180"/>
      <c r="C98" s="180"/>
      <c r="D98" s="218"/>
      <c r="E98" s="179"/>
      <c r="F98" s="181"/>
      <c r="G98" s="181"/>
      <c r="H98" s="375"/>
      <c r="I98" s="185"/>
      <c r="J98" s="387"/>
      <c r="K98" s="178"/>
      <c r="L98" s="388"/>
      <c r="M98" s="185"/>
      <c r="N98" s="386"/>
      <c r="O98" s="178"/>
      <c r="P98" s="388"/>
      <c r="Q98" s="394"/>
      <c r="R98" s="388"/>
      <c r="S98" s="131" t="str">
        <f>IF(ISBLANK(Tbl_ResidentData[[#This Row],[Discharge '[mmm-yyyy']]]),IF(ISBLANK(Tbl_ResidentData[[#This Row],[Enrollment '[mmm-yyyy']]]),"","In Care Home"),"Discharged")</f>
        <v/>
      </c>
      <c r="T98" s="119" t="str">
        <f>IF(ISBLANK(Tbl_ResidentData[[#This Row],[Diagnosis (RAI)]]),IF(ISBLANK(Tbl_ResidentData[[#This Row],[Resident Name '[last, first']]]),"",0),IF(Tbl_ResidentData[[#This Row],[Diagnosis (RAI)]]="Other (see clinical notes)",0,1))</f>
        <v/>
      </c>
      <c r="U98" s="120" t="str">
        <f ca="1">IF(U$4&gt;NOW(),"-",IF(ISBLANK(Tbl_ResidentData[[#This Row],[Enrollment '[mmm-yyyy']]]),"-",AND((Tbl_ResidentData[[#This Row],[Enrollment '[mmm-yyyy']]]&lt;=U$4),IF(ISBLANK(Tbl_ResidentData[[#This Row],[Discharge '[mmm-yyyy']]]),TRUE,(Tbl_ResidentData[[#This Row],[Discharge '[mmm-yyyy']]]&gt;=U$4)))))</f>
        <v>-</v>
      </c>
      <c r="V98" s="121" t="str">
        <f ca="1">IF(V$4&gt;NOW(),"-",IF(ISBLANK(Tbl_ResidentData[[#This Row],[Enrollment '[mmm-yyyy']]]),"-",AND((Tbl_ResidentData[[#This Row],[Enrollment '[mmm-yyyy']]]&lt;=V$4),IF(ISBLANK(Tbl_ResidentData[[#This Row],[Discharge '[mmm-yyyy']]]),TRUE,(Tbl_ResidentData[[#This Row],[Discharge '[mmm-yyyy']]]&gt;=V$4)))))</f>
        <v>-</v>
      </c>
      <c r="W98" s="121" t="str">
        <f ca="1">IF(W$4&gt;NOW(),"-",IF(ISBLANK(Tbl_ResidentData[[#This Row],[Enrollment '[mmm-yyyy']]]),"-",AND((Tbl_ResidentData[[#This Row],[Enrollment '[mmm-yyyy']]]&lt;=W$4),IF(ISBLANK(Tbl_ResidentData[[#This Row],[Discharge '[mmm-yyyy']]]),TRUE,(Tbl_ResidentData[[#This Row],[Discharge '[mmm-yyyy']]]&gt;=W$4)))))</f>
        <v>-</v>
      </c>
      <c r="X98" s="121" t="str">
        <f ca="1">IF(X$4&gt;NOW(),"-",IF(ISBLANK(Tbl_ResidentData[[#This Row],[Enrollment '[mmm-yyyy']]]),"-",AND((Tbl_ResidentData[[#This Row],[Enrollment '[mmm-yyyy']]]&lt;=X$4),IF(ISBLANK(Tbl_ResidentData[[#This Row],[Discharge '[mmm-yyyy']]]),TRUE,(Tbl_ResidentData[[#This Row],[Discharge '[mmm-yyyy']]]&gt;=X$4)))))</f>
        <v>-</v>
      </c>
      <c r="Y98" s="121" t="str">
        <f ca="1">IF(Y$4&gt;NOW(),"-",IF(ISBLANK(Tbl_ResidentData[[#This Row],[Enrollment '[mmm-yyyy']]]),"-",AND((Tbl_ResidentData[[#This Row],[Enrollment '[mmm-yyyy']]]&lt;=Y$4),IF(ISBLANK(Tbl_ResidentData[[#This Row],[Discharge '[mmm-yyyy']]]),TRUE,(Tbl_ResidentData[[#This Row],[Discharge '[mmm-yyyy']]]&gt;=Y$4)))))</f>
        <v>-</v>
      </c>
      <c r="Z98" s="121" t="str">
        <f ca="1">IF(Z$4&gt;NOW(),"-",IF(ISBLANK(Tbl_ResidentData[[#This Row],[Enrollment '[mmm-yyyy']]]),"-",AND((Tbl_ResidentData[[#This Row],[Enrollment '[mmm-yyyy']]]&lt;=Z$4),IF(ISBLANK(Tbl_ResidentData[[#This Row],[Discharge '[mmm-yyyy']]]),TRUE,(Tbl_ResidentData[[#This Row],[Discharge '[mmm-yyyy']]]&gt;=Z$4)))))</f>
        <v>-</v>
      </c>
      <c r="AA98" s="121" t="str">
        <f ca="1">IF(AA$4&gt;NOW(),"-",IF(ISBLANK(Tbl_ResidentData[[#This Row],[Enrollment '[mmm-yyyy']]]),"-",AND((Tbl_ResidentData[[#This Row],[Enrollment '[mmm-yyyy']]]&lt;=AA$4),IF(ISBLANK(Tbl_ResidentData[[#This Row],[Discharge '[mmm-yyyy']]]),TRUE,(Tbl_ResidentData[[#This Row],[Discharge '[mmm-yyyy']]]&gt;=AA$4)))))</f>
        <v>-</v>
      </c>
      <c r="AB98" s="121" t="str">
        <f ca="1">IF(AB$4&gt;NOW(),"-",IF(ISBLANK(Tbl_ResidentData[[#This Row],[Enrollment '[mmm-yyyy']]]),"-",AND((Tbl_ResidentData[[#This Row],[Enrollment '[mmm-yyyy']]]&lt;=AB$4),IF(ISBLANK(Tbl_ResidentData[[#This Row],[Discharge '[mmm-yyyy']]]),TRUE,(Tbl_ResidentData[[#This Row],[Discharge '[mmm-yyyy']]]&gt;=AB$4)))))</f>
        <v>-</v>
      </c>
      <c r="AC98" s="121" t="str">
        <f ca="1">IF(AC$4&gt;NOW(),"-",IF(ISBLANK(Tbl_ResidentData[[#This Row],[Enrollment '[mmm-yyyy']]]),"-",AND((Tbl_ResidentData[[#This Row],[Enrollment '[mmm-yyyy']]]&lt;=AC$4),IF(ISBLANK(Tbl_ResidentData[[#This Row],[Discharge '[mmm-yyyy']]]),TRUE,(Tbl_ResidentData[[#This Row],[Discharge '[mmm-yyyy']]]&gt;=AC$4)))))</f>
        <v>-</v>
      </c>
      <c r="AD98" s="121" t="str">
        <f ca="1">IF(AD$4&gt;NOW(),"-",IF(ISBLANK(Tbl_ResidentData[[#This Row],[Enrollment '[mmm-yyyy']]]),"-",AND((Tbl_ResidentData[[#This Row],[Enrollment '[mmm-yyyy']]]&lt;=AD$4),IF(ISBLANK(Tbl_ResidentData[[#This Row],[Discharge '[mmm-yyyy']]]),TRUE,(Tbl_ResidentData[[#This Row],[Discharge '[mmm-yyyy']]]&gt;=AD$4)))))</f>
        <v>-</v>
      </c>
      <c r="AE98" s="121" t="str">
        <f ca="1">IF(AE$4&gt;NOW(),"-",IF(ISBLANK(Tbl_ResidentData[[#This Row],[Enrollment '[mmm-yyyy']]]),"-",AND((Tbl_ResidentData[[#This Row],[Enrollment '[mmm-yyyy']]]&lt;=AE$4),IF(ISBLANK(Tbl_ResidentData[[#This Row],[Discharge '[mmm-yyyy']]]),TRUE,(Tbl_ResidentData[[#This Row],[Discharge '[mmm-yyyy']]]&gt;=AE$4)))))</f>
        <v>-</v>
      </c>
      <c r="AF98" s="121" t="str">
        <f ca="1">IF(AF$4&gt;NOW(),"-",IF(ISBLANK(Tbl_ResidentData[[#This Row],[Enrollment '[mmm-yyyy']]]),"-",AND((Tbl_ResidentData[[#This Row],[Enrollment '[mmm-yyyy']]]&lt;=AF$4),IF(ISBLANK(Tbl_ResidentData[[#This Row],[Discharge '[mmm-yyyy']]]),TRUE,(Tbl_ResidentData[[#This Row],[Discharge '[mmm-yyyy']]]&gt;=AF$4)))))</f>
        <v>-</v>
      </c>
      <c r="AG98" s="121" t="str">
        <f ca="1">IF(AG$4&gt;NOW(),"-",IF(ISBLANK(Tbl_ResidentData[[#This Row],[Enrollment '[mmm-yyyy']]]),"-",AND((Tbl_ResidentData[[#This Row],[Enrollment '[mmm-yyyy']]]&lt;=AG$4),IF(ISBLANK(Tbl_ResidentData[[#This Row],[Discharge '[mmm-yyyy']]]),TRUE,(Tbl_ResidentData[[#This Row],[Discharge '[mmm-yyyy']]]&gt;=AG$4)))))</f>
        <v>-</v>
      </c>
      <c r="AH98" s="121" t="str">
        <f ca="1">IF(AH$4&gt;NOW(),"-",IF(ISBLANK(Tbl_ResidentData[[#This Row],[Enrollment '[mmm-yyyy']]]),"-",AND((Tbl_ResidentData[[#This Row],[Enrollment '[mmm-yyyy']]]&lt;=AH$4),IF(ISBLANK(Tbl_ResidentData[[#This Row],[Discharge '[mmm-yyyy']]]),TRUE,(Tbl_ResidentData[[#This Row],[Discharge '[mmm-yyyy']]]&gt;=AH$4)))))</f>
        <v>-</v>
      </c>
      <c r="AI98" s="121" t="str">
        <f ca="1">IF(AI$4&gt;NOW(),"-",IF(ISBLANK(Tbl_ResidentData[[#This Row],[Enrollment '[mmm-yyyy']]]),"-",AND((Tbl_ResidentData[[#This Row],[Enrollment '[mmm-yyyy']]]&lt;=AI$4),IF(ISBLANK(Tbl_ResidentData[[#This Row],[Discharge '[mmm-yyyy']]]),TRUE,(Tbl_ResidentData[[#This Row],[Discharge '[mmm-yyyy']]]&gt;=AI$4)))))</f>
        <v>-</v>
      </c>
      <c r="AJ98" s="121" t="str">
        <f ca="1">IF(AJ$4&gt;NOW(),"-",IF(ISBLANK(Tbl_ResidentData[[#This Row],[Enrollment '[mmm-yyyy']]]),"-",AND((Tbl_ResidentData[[#This Row],[Enrollment '[mmm-yyyy']]]&lt;=AJ$4),IF(ISBLANK(Tbl_ResidentData[[#This Row],[Discharge '[mmm-yyyy']]]),TRUE,(Tbl_ResidentData[[#This Row],[Discharge '[mmm-yyyy']]]&gt;=AJ$4)))))</f>
        <v>-</v>
      </c>
      <c r="AK98" s="121" t="str">
        <f ca="1">IF(AK$4&gt;NOW(),"-",IF(ISBLANK(Tbl_ResidentData[[#This Row],[Enrollment '[mmm-yyyy']]]),"-",AND((Tbl_ResidentData[[#This Row],[Enrollment '[mmm-yyyy']]]&lt;=AK$4),IF(ISBLANK(Tbl_ResidentData[[#This Row],[Discharge '[mmm-yyyy']]]),TRUE,(Tbl_ResidentData[[#This Row],[Discharge '[mmm-yyyy']]]&gt;=AK$4)))))</f>
        <v>-</v>
      </c>
      <c r="AL98" s="121" t="str">
        <f ca="1">IF(AL$4&gt;NOW(),"-",IF(ISBLANK(Tbl_ResidentData[[#This Row],[Enrollment '[mmm-yyyy']]]),"-",AND((Tbl_ResidentData[[#This Row],[Enrollment '[mmm-yyyy']]]&lt;=AL$4),IF(ISBLANK(Tbl_ResidentData[[#This Row],[Discharge '[mmm-yyyy']]]),TRUE,(Tbl_ResidentData[[#This Row],[Discharge '[mmm-yyyy']]]&gt;=AL$4)))))</f>
        <v>-</v>
      </c>
      <c r="AM98" s="121" t="str">
        <f ca="1">IF(AM$4&gt;NOW(),"-",IF(ISBLANK(Tbl_ResidentData[[#This Row],[Enrollment '[mmm-yyyy']]]),"-",AND((Tbl_ResidentData[[#This Row],[Enrollment '[mmm-yyyy']]]&lt;=AM$4),IF(ISBLANK(Tbl_ResidentData[[#This Row],[Discharge '[mmm-yyyy']]]),TRUE,(Tbl_ResidentData[[#This Row],[Discharge '[mmm-yyyy']]]&gt;=AM$4)))))</f>
        <v>-</v>
      </c>
      <c r="AN98" s="121" t="str">
        <f ca="1">IF(AN$4&gt;NOW(),"-",IF(ISBLANK(Tbl_ResidentData[[#This Row],[Enrollment '[mmm-yyyy']]]),"-",AND((Tbl_ResidentData[[#This Row],[Enrollment '[mmm-yyyy']]]&lt;=AN$4),IF(ISBLANK(Tbl_ResidentData[[#This Row],[Discharge '[mmm-yyyy']]]),TRUE,(Tbl_ResidentData[[#This Row],[Discharge '[mmm-yyyy']]]&gt;=AN$4)))))</f>
        <v>-</v>
      </c>
      <c r="AO98" s="121" t="str">
        <f ca="1">IF(AO$4&gt;NOW(),"-",IF(ISBLANK(Tbl_ResidentData[[#This Row],[Enrollment '[mmm-yyyy']]]),"-",AND((Tbl_ResidentData[[#This Row],[Enrollment '[mmm-yyyy']]]&lt;=AO$4),IF(ISBLANK(Tbl_ResidentData[[#This Row],[Discharge '[mmm-yyyy']]]),TRUE,(Tbl_ResidentData[[#This Row],[Discharge '[mmm-yyyy']]]&gt;=AO$4)))))</f>
        <v>-</v>
      </c>
      <c r="AP98" s="121" t="str">
        <f ca="1">IF(AP$4&gt;NOW(),"-",IF(ISBLANK(Tbl_ResidentData[[#This Row],[Enrollment '[mmm-yyyy']]]),"-",AND((Tbl_ResidentData[[#This Row],[Enrollment '[mmm-yyyy']]]&lt;=AP$4),IF(ISBLANK(Tbl_ResidentData[[#This Row],[Discharge '[mmm-yyyy']]]),TRUE,(Tbl_ResidentData[[#This Row],[Discharge '[mmm-yyyy']]]&gt;=AP$4)))))</f>
        <v>-</v>
      </c>
      <c r="AQ98" s="121" t="str">
        <f ca="1">IF(AQ$4&gt;NOW(),"-",IF(ISBLANK(Tbl_ResidentData[[#This Row],[Enrollment '[mmm-yyyy']]]),"-",AND((Tbl_ResidentData[[#This Row],[Enrollment '[mmm-yyyy']]]&lt;=AQ$4),IF(ISBLANK(Tbl_ResidentData[[#This Row],[Discharge '[mmm-yyyy']]]),TRUE,(Tbl_ResidentData[[#This Row],[Discharge '[mmm-yyyy']]]&gt;=AQ$4)))))</f>
        <v>-</v>
      </c>
      <c r="AR98" s="122" t="str">
        <f ca="1">IF(AR$4&gt;NOW(),"-",IF(ISBLANK(Tbl_ResidentData[[#This Row],[Enrollment '[mmm-yyyy']]]),"-",AND((Tbl_ResidentData[[#This Row],[Enrollment '[mmm-yyyy']]]&lt;=AR$4),IF(ISBLANK(Tbl_ResidentData[[#This Row],[Discharge '[mmm-yyyy']]]),TRUE,(Tbl_ResidentData[[#This Row],[Discharge '[mmm-yyyy']]]&gt;=AR$4)))))</f>
        <v>-</v>
      </c>
      <c r="AS9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8" s="120" t="b">
        <f ca="1">AND(Tbl_ResidentData[[#This Row],[PRN Med Started]]&lt;&gt;"",Tbl_ResidentData[[#This Row],[PRN Med Started]]&lt;=NOW(),Tbl_ResidentData[[#This Row],[PRN Med Started]]&lt;=AS$4,OR(Tbl_ResidentData[[#This Row],[PRN Med Discontinued]]&gt;AS$4,ISBLANK(Tbl_ResidentData[[#This Row],[PRN Med Discontinued]])))</f>
        <v>0</v>
      </c>
      <c r="BR98" s="121" t="b">
        <f ca="1">AND(Tbl_ResidentData[[#This Row],[PRN Med Started]]&lt;&gt;"",Tbl_ResidentData[[#This Row],[PRN Med Started]]&lt;=NOW(),Tbl_ResidentData[[#This Row],[PRN Med Started]]&lt;=AT$4,OR(Tbl_ResidentData[[#This Row],[PRN Med Discontinued]]&gt;AT$4,ISBLANK(Tbl_ResidentData[[#This Row],[PRN Med Discontinued]])))</f>
        <v>0</v>
      </c>
      <c r="BS98" s="121" t="b">
        <f ca="1">AND(Tbl_ResidentData[[#This Row],[PRN Med Started]]&lt;&gt;"",Tbl_ResidentData[[#This Row],[PRN Med Started]]&lt;=NOW(),Tbl_ResidentData[[#This Row],[PRN Med Started]]&lt;=AU$4,OR(Tbl_ResidentData[[#This Row],[PRN Med Discontinued]]&gt;AU$4,ISBLANK(Tbl_ResidentData[[#This Row],[PRN Med Discontinued]])))</f>
        <v>0</v>
      </c>
      <c r="BT98" s="121" t="b">
        <f ca="1">AND(Tbl_ResidentData[[#This Row],[PRN Med Started]]&lt;&gt;"",Tbl_ResidentData[[#This Row],[PRN Med Started]]&lt;=NOW(),Tbl_ResidentData[[#This Row],[PRN Med Started]]&lt;=AV$4,OR(Tbl_ResidentData[[#This Row],[PRN Med Discontinued]]&gt;AV$4,ISBLANK(Tbl_ResidentData[[#This Row],[PRN Med Discontinued]])))</f>
        <v>0</v>
      </c>
      <c r="BU98" s="121" t="b">
        <f ca="1">AND(Tbl_ResidentData[[#This Row],[PRN Med Started]]&lt;&gt;"",Tbl_ResidentData[[#This Row],[PRN Med Started]]&lt;=NOW(),Tbl_ResidentData[[#This Row],[PRN Med Started]]&lt;=AW$4,OR(Tbl_ResidentData[[#This Row],[PRN Med Discontinued]]&gt;AW$4,ISBLANK(Tbl_ResidentData[[#This Row],[PRN Med Discontinued]])))</f>
        <v>0</v>
      </c>
      <c r="BV98" s="121" t="b">
        <f ca="1">AND(Tbl_ResidentData[[#This Row],[PRN Med Started]]&lt;&gt;"",Tbl_ResidentData[[#This Row],[PRN Med Started]]&lt;=NOW(),Tbl_ResidentData[[#This Row],[PRN Med Started]]&lt;=AX$4,OR(Tbl_ResidentData[[#This Row],[PRN Med Discontinued]]&gt;AX$4,ISBLANK(Tbl_ResidentData[[#This Row],[PRN Med Discontinued]])))</f>
        <v>0</v>
      </c>
      <c r="BW98" s="121" t="b">
        <f ca="1">AND(Tbl_ResidentData[[#This Row],[PRN Med Started]]&lt;&gt;"",Tbl_ResidentData[[#This Row],[PRN Med Started]]&lt;=NOW(),Tbl_ResidentData[[#This Row],[PRN Med Started]]&lt;=AY$4,OR(Tbl_ResidentData[[#This Row],[PRN Med Discontinued]]&gt;AY$4,ISBLANK(Tbl_ResidentData[[#This Row],[PRN Med Discontinued]])))</f>
        <v>0</v>
      </c>
      <c r="BX98" s="121" t="b">
        <f ca="1">AND(Tbl_ResidentData[[#This Row],[PRN Med Started]]&lt;&gt;"",Tbl_ResidentData[[#This Row],[PRN Med Started]]&lt;=NOW(),Tbl_ResidentData[[#This Row],[PRN Med Started]]&lt;=AZ$4,OR(Tbl_ResidentData[[#This Row],[PRN Med Discontinued]]&gt;AZ$4,ISBLANK(Tbl_ResidentData[[#This Row],[PRN Med Discontinued]])))</f>
        <v>0</v>
      </c>
      <c r="BY98" s="121" t="b">
        <f ca="1">AND(Tbl_ResidentData[[#This Row],[PRN Med Started]]&lt;&gt;"",Tbl_ResidentData[[#This Row],[PRN Med Started]]&lt;=NOW(),Tbl_ResidentData[[#This Row],[PRN Med Started]]&lt;=BA$4,OR(Tbl_ResidentData[[#This Row],[PRN Med Discontinued]]&gt;BA$4,ISBLANK(Tbl_ResidentData[[#This Row],[PRN Med Discontinued]])))</f>
        <v>0</v>
      </c>
      <c r="BZ98" s="121" t="b">
        <f ca="1">AND(Tbl_ResidentData[[#This Row],[PRN Med Started]]&lt;&gt;"",Tbl_ResidentData[[#This Row],[PRN Med Started]]&lt;=NOW(),Tbl_ResidentData[[#This Row],[PRN Med Started]]&lt;=BB$4,OR(Tbl_ResidentData[[#This Row],[PRN Med Discontinued]]&gt;BB$4,ISBLANK(Tbl_ResidentData[[#This Row],[PRN Med Discontinued]])))</f>
        <v>0</v>
      </c>
      <c r="CA98" s="121" t="b">
        <f ca="1">AND(Tbl_ResidentData[[#This Row],[PRN Med Started]]&lt;&gt;"",Tbl_ResidentData[[#This Row],[PRN Med Started]]&lt;=NOW(),Tbl_ResidentData[[#This Row],[PRN Med Started]]&lt;=BC$4,OR(Tbl_ResidentData[[#This Row],[PRN Med Discontinued]]&gt;BC$4,ISBLANK(Tbl_ResidentData[[#This Row],[PRN Med Discontinued]])))</f>
        <v>0</v>
      </c>
      <c r="CB98" s="121" t="b">
        <f ca="1">AND(Tbl_ResidentData[[#This Row],[PRN Med Started]]&lt;&gt;"",Tbl_ResidentData[[#This Row],[PRN Med Started]]&lt;=NOW(),Tbl_ResidentData[[#This Row],[PRN Med Started]]&lt;=BD$4,OR(Tbl_ResidentData[[#This Row],[PRN Med Discontinued]]&gt;BD$4,ISBLANK(Tbl_ResidentData[[#This Row],[PRN Med Discontinued]])))</f>
        <v>0</v>
      </c>
      <c r="CC98" s="121" t="b">
        <f ca="1">AND(Tbl_ResidentData[[#This Row],[PRN Med Started]]&lt;&gt;"",Tbl_ResidentData[[#This Row],[PRN Med Started]]&lt;=NOW(),Tbl_ResidentData[[#This Row],[PRN Med Started]]&lt;=BE$4,OR(Tbl_ResidentData[[#This Row],[PRN Med Discontinued]]&gt;BE$4,ISBLANK(Tbl_ResidentData[[#This Row],[PRN Med Discontinued]])))</f>
        <v>0</v>
      </c>
      <c r="CD98" s="121" t="b">
        <f ca="1">AND(Tbl_ResidentData[[#This Row],[PRN Med Started]]&lt;&gt;"",Tbl_ResidentData[[#This Row],[PRN Med Started]]&lt;=NOW(),Tbl_ResidentData[[#This Row],[PRN Med Started]]&lt;=BF$4,OR(Tbl_ResidentData[[#This Row],[PRN Med Discontinued]]&gt;BF$4,ISBLANK(Tbl_ResidentData[[#This Row],[PRN Med Discontinued]])))</f>
        <v>0</v>
      </c>
      <c r="CE98" s="121" t="b">
        <f ca="1">AND(Tbl_ResidentData[[#This Row],[PRN Med Started]]&lt;&gt;"",Tbl_ResidentData[[#This Row],[PRN Med Started]]&lt;=NOW(),Tbl_ResidentData[[#This Row],[PRN Med Started]]&lt;=BG$4,OR(Tbl_ResidentData[[#This Row],[PRN Med Discontinued]]&gt;BG$4,ISBLANK(Tbl_ResidentData[[#This Row],[PRN Med Discontinued]])))</f>
        <v>0</v>
      </c>
      <c r="CF98" s="121" t="b">
        <f ca="1">AND(Tbl_ResidentData[[#This Row],[PRN Med Started]]&lt;&gt;"",Tbl_ResidentData[[#This Row],[PRN Med Started]]&lt;=NOW(),Tbl_ResidentData[[#This Row],[PRN Med Started]]&lt;=BH$4,OR(Tbl_ResidentData[[#This Row],[PRN Med Discontinued]]&gt;BH$4,ISBLANK(Tbl_ResidentData[[#This Row],[PRN Med Discontinued]])))</f>
        <v>0</v>
      </c>
      <c r="CG98" s="121" t="b">
        <f ca="1">AND(Tbl_ResidentData[[#This Row],[PRN Med Started]]&lt;&gt;"",Tbl_ResidentData[[#This Row],[PRN Med Started]]&lt;=NOW(),Tbl_ResidentData[[#This Row],[PRN Med Started]]&lt;=BI$4,OR(Tbl_ResidentData[[#This Row],[PRN Med Discontinued]]&gt;BI$4,ISBLANK(Tbl_ResidentData[[#This Row],[PRN Med Discontinued]])))</f>
        <v>0</v>
      </c>
      <c r="CH98" s="121" t="b">
        <f ca="1">AND(Tbl_ResidentData[[#This Row],[PRN Med Started]]&lt;&gt;"",Tbl_ResidentData[[#This Row],[PRN Med Started]]&lt;=NOW(),Tbl_ResidentData[[#This Row],[PRN Med Started]]&lt;=BJ$4,OR(Tbl_ResidentData[[#This Row],[PRN Med Discontinued]]&gt;BJ$4,ISBLANK(Tbl_ResidentData[[#This Row],[PRN Med Discontinued]])))</f>
        <v>0</v>
      </c>
      <c r="CI98" s="121" t="b">
        <f ca="1">AND(Tbl_ResidentData[[#This Row],[PRN Med Started]]&lt;&gt;"",Tbl_ResidentData[[#This Row],[PRN Med Started]]&lt;=NOW(),Tbl_ResidentData[[#This Row],[PRN Med Started]]&lt;=BK$4,OR(Tbl_ResidentData[[#This Row],[PRN Med Discontinued]]&gt;BK$4,ISBLANK(Tbl_ResidentData[[#This Row],[PRN Med Discontinued]])))</f>
        <v>0</v>
      </c>
      <c r="CJ98" s="121" t="b">
        <f ca="1">AND(Tbl_ResidentData[[#This Row],[PRN Med Started]]&lt;&gt;"",Tbl_ResidentData[[#This Row],[PRN Med Started]]&lt;=NOW(),Tbl_ResidentData[[#This Row],[PRN Med Started]]&lt;=BL$4,OR(Tbl_ResidentData[[#This Row],[PRN Med Discontinued]]&gt;BL$4,ISBLANK(Tbl_ResidentData[[#This Row],[PRN Med Discontinued]])))</f>
        <v>0</v>
      </c>
      <c r="CK98" s="121" t="b">
        <f ca="1">AND(Tbl_ResidentData[[#This Row],[PRN Med Started]]&lt;&gt;"",Tbl_ResidentData[[#This Row],[PRN Med Started]]&lt;=NOW(),Tbl_ResidentData[[#This Row],[PRN Med Started]]&lt;=BM$4,OR(Tbl_ResidentData[[#This Row],[PRN Med Discontinued]]&gt;BM$4,ISBLANK(Tbl_ResidentData[[#This Row],[PRN Med Discontinued]])))</f>
        <v>0</v>
      </c>
      <c r="CL98" s="121" t="b">
        <f ca="1">AND(Tbl_ResidentData[[#This Row],[PRN Med Started]]&lt;&gt;"",Tbl_ResidentData[[#This Row],[PRN Med Started]]&lt;=NOW(),Tbl_ResidentData[[#This Row],[PRN Med Started]]&lt;=BN$4,OR(Tbl_ResidentData[[#This Row],[PRN Med Discontinued]]&gt;BN$4,ISBLANK(Tbl_ResidentData[[#This Row],[PRN Med Discontinued]])))</f>
        <v>0</v>
      </c>
      <c r="CM98" s="121" t="b">
        <f ca="1">AND(Tbl_ResidentData[[#This Row],[PRN Med Started]]&lt;&gt;"",Tbl_ResidentData[[#This Row],[PRN Med Started]]&lt;=NOW(),Tbl_ResidentData[[#This Row],[PRN Med Started]]&lt;=BO$4,OR(Tbl_ResidentData[[#This Row],[PRN Med Discontinued]]&gt;BO$4,ISBLANK(Tbl_ResidentData[[#This Row],[PRN Med Discontinued]])))</f>
        <v>0</v>
      </c>
      <c r="CN98" s="122" t="b">
        <f ca="1">AND(Tbl_ResidentData[[#This Row],[PRN Med Started]]&lt;&gt;"",Tbl_ResidentData[[#This Row],[PRN Med Started]]&lt;=NOW(),Tbl_ResidentData[[#This Row],[PRN Med Started]]&lt;=BP$4,OR(Tbl_ResidentData[[#This Row],[PRN Med Discontinued]]&gt;BP$4,ISBLANK(Tbl_ResidentData[[#This Row],[PRN Med Discontinued]])))</f>
        <v>0</v>
      </c>
      <c r="CO98" s="120">
        <f ca="1">IF(OR(Tbl_ResidentData[[#This Row],[S1]]=TRUE,Tbl_ResidentData[[#This Row],[P1]]=TRUE),1,0)</f>
        <v>0</v>
      </c>
      <c r="CP98" s="121">
        <f ca="1">IF(OR(Tbl_ResidentData[[#This Row],[S2]]=TRUE,Tbl_ResidentData[[#This Row],[P2]]=TRUE),1,0)</f>
        <v>0</v>
      </c>
      <c r="CQ98" s="121">
        <f ca="1">IF(OR(Tbl_ResidentData[[#This Row],[S3]]=TRUE,Tbl_ResidentData[[#This Row],[P3]]=TRUE),1,0)</f>
        <v>0</v>
      </c>
      <c r="CR98" s="120">
        <f ca="1">IF(OR(Tbl_ResidentData[[#This Row],[S4]]=TRUE,Tbl_ResidentData[[#This Row],[P4]]=TRUE),1,0)</f>
        <v>0</v>
      </c>
      <c r="CS98" s="120">
        <f ca="1">IF(OR(Tbl_ResidentData[[#This Row],[S5]]=TRUE,Tbl_ResidentData[[#This Row],[P5]]=TRUE),1,0)</f>
        <v>0</v>
      </c>
      <c r="CT98" s="120">
        <f ca="1">IF(OR(Tbl_ResidentData[[#This Row],[S6]]=TRUE,Tbl_ResidentData[[#This Row],[P6]]=TRUE),1,0)</f>
        <v>0</v>
      </c>
      <c r="CU98" s="120">
        <f ca="1">IF(OR(Tbl_ResidentData[[#This Row],[S7]]=TRUE,Tbl_ResidentData[[#This Row],[P7]]=TRUE),1,0)</f>
        <v>0</v>
      </c>
      <c r="CV98" s="120">
        <f ca="1">IF(OR(Tbl_ResidentData[[#This Row],[S8]]=TRUE,Tbl_ResidentData[[#This Row],[P8]]=TRUE),1,0)</f>
        <v>0</v>
      </c>
      <c r="CW98" s="120">
        <f ca="1">IF(OR(Tbl_ResidentData[[#This Row],[S9]]=TRUE,Tbl_ResidentData[[#This Row],[P9]]=TRUE),1,0)</f>
        <v>0</v>
      </c>
      <c r="CX98" s="120">
        <f ca="1">IF(OR(Tbl_ResidentData[[#This Row],[S10]]=TRUE,Tbl_ResidentData[[#This Row],[P10]]=TRUE),1,0)</f>
        <v>0</v>
      </c>
      <c r="CY98" s="120">
        <f ca="1">IF(OR(Tbl_ResidentData[[#This Row],[S11]]=TRUE,Tbl_ResidentData[[#This Row],[P11]]=TRUE),1,0)</f>
        <v>0</v>
      </c>
      <c r="CZ98" s="120">
        <f ca="1">IF(OR(Tbl_ResidentData[[#This Row],[S12]]=TRUE,Tbl_ResidentData[[#This Row],[P12]]=TRUE),1,0)</f>
        <v>0</v>
      </c>
      <c r="DA98" s="120">
        <f ca="1">IF(OR(Tbl_ResidentData[[#This Row],[S13]]=TRUE,Tbl_ResidentData[[#This Row],[P13]]=TRUE),1,0)</f>
        <v>0</v>
      </c>
      <c r="DB98" s="120">
        <f ca="1">IF(OR(Tbl_ResidentData[[#This Row],[S14]]=TRUE,Tbl_ResidentData[[#This Row],[P14]]=TRUE),1,0)</f>
        <v>0</v>
      </c>
      <c r="DC98" s="120">
        <f ca="1">IF(OR(Tbl_ResidentData[[#This Row],[S15]]=TRUE,Tbl_ResidentData[[#This Row],[P15]]=TRUE),1,0)</f>
        <v>0</v>
      </c>
      <c r="DD98" s="120">
        <f ca="1">IF(OR(Tbl_ResidentData[[#This Row],[S16]]=TRUE,Tbl_ResidentData[[#This Row],[P16]]=TRUE),1,0)</f>
        <v>0</v>
      </c>
      <c r="DE98" s="120">
        <f ca="1">IF(OR(Tbl_ResidentData[[#This Row],[S17]]=TRUE,Tbl_ResidentData[[#This Row],[P17]]=TRUE),1,0)</f>
        <v>0</v>
      </c>
      <c r="DF98" s="120">
        <f ca="1">IF(OR(Tbl_ResidentData[[#This Row],[S18]]=TRUE,Tbl_ResidentData[[#This Row],[P18]]=TRUE),1,0)</f>
        <v>0</v>
      </c>
      <c r="DG98" s="120">
        <f ca="1">IF(OR(Tbl_ResidentData[[#This Row],[S19]]=TRUE,Tbl_ResidentData[[#This Row],[P19]]=TRUE),1,0)</f>
        <v>0</v>
      </c>
      <c r="DH98" s="120">
        <f ca="1">IF(OR(Tbl_ResidentData[[#This Row],[S20]]=TRUE,Tbl_ResidentData[[#This Row],[P20]]=TRUE),1,0)</f>
        <v>0</v>
      </c>
      <c r="DI98" s="120">
        <f ca="1">IF(OR(Tbl_ResidentData[[#This Row],[S21]]=TRUE,Tbl_ResidentData[[#This Row],[P21]]=TRUE),1,0)</f>
        <v>0</v>
      </c>
      <c r="DJ98" s="120">
        <f ca="1">IF(OR(Tbl_ResidentData[[#This Row],[S22]]=TRUE,Tbl_ResidentData[[#This Row],[P22]]=TRUE),1,0)</f>
        <v>0</v>
      </c>
      <c r="DK98" s="120">
        <f ca="1">IF(OR(Tbl_ResidentData[[#This Row],[S23]]=TRUE,Tbl_ResidentData[[#This Row],[P23]]=TRUE),1,0)</f>
        <v>0</v>
      </c>
      <c r="DL98" s="120">
        <f ca="1">IF(OR(Tbl_ResidentData[[#This Row],[S24]]=TRUE,Tbl_ResidentData[[#This Row],[P24]]=TRUE),1,0)</f>
        <v>0</v>
      </c>
      <c r="DM98" s="123" t="str">
        <f ca="1">IFERROR(INDEX($CO$4:$DL$4,MATCH(TRUE,INDEX((Tbl_ResidentData[[#This Row],[Over1]:[Over24]]&lt;&gt;0),0),0)),"")</f>
        <v/>
      </c>
      <c r="DN98" s="133" t="str">
        <f>IFERROR(INDEX(Tbl_PDSAData[Last DRT],MATCH(Tbl_ResidentData[Resident Name '[last, first']],Tbl_PDSAData[Resident Name (last, first)],0)),"")</f>
        <v/>
      </c>
      <c r="DO98" s="222" t="str">
        <f>IFERROR(INDEX(Tbl_PDSAData[Last MR],MATCH(Tbl_ResidentData[Resident Name '[last, first']],Tbl_PDSAData[Resident Name (last, first)],0)),"")</f>
        <v/>
      </c>
    </row>
    <row r="99" spans="1:119" x14ac:dyDescent="0.25">
      <c r="A99" s="179"/>
      <c r="B99" s="180"/>
      <c r="C99" s="180"/>
      <c r="D99" s="218"/>
      <c r="E99" s="179"/>
      <c r="F99" s="181"/>
      <c r="G99" s="181"/>
      <c r="H99" s="182"/>
      <c r="I99" s="185"/>
      <c r="J99" s="387"/>
      <c r="K99" s="178"/>
      <c r="L99" s="388"/>
      <c r="M99" s="185"/>
      <c r="N99" s="386"/>
      <c r="O99" s="178"/>
      <c r="P99" s="388"/>
      <c r="Q99" s="395"/>
      <c r="R99" s="396"/>
      <c r="S99" s="131" t="str">
        <f>IF(ISBLANK(Tbl_ResidentData[[#This Row],[Discharge '[mmm-yyyy']]]),IF(ISBLANK(Tbl_ResidentData[[#This Row],[Enrollment '[mmm-yyyy']]]),"","In Care Home"),"Discharged")</f>
        <v/>
      </c>
      <c r="T99" s="119" t="str">
        <f>IF(ISBLANK(Tbl_ResidentData[[#This Row],[Diagnosis (RAI)]]),IF(ISBLANK(Tbl_ResidentData[[#This Row],[Resident Name '[last, first']]]),"",0),IF(Tbl_ResidentData[[#This Row],[Diagnosis (RAI)]]="Other (see clinical notes)",0,1))</f>
        <v/>
      </c>
      <c r="U99" s="120" t="str">
        <f ca="1">IF(U$4&gt;NOW(),"-",IF(ISBLANK(Tbl_ResidentData[[#This Row],[Enrollment '[mmm-yyyy']]]),"-",AND((Tbl_ResidentData[[#This Row],[Enrollment '[mmm-yyyy']]]&lt;=U$4),IF(ISBLANK(Tbl_ResidentData[[#This Row],[Discharge '[mmm-yyyy']]]),TRUE,(Tbl_ResidentData[[#This Row],[Discharge '[mmm-yyyy']]]&gt;=U$4)))))</f>
        <v>-</v>
      </c>
      <c r="V99" s="121" t="str">
        <f ca="1">IF(V$4&gt;NOW(),"-",IF(ISBLANK(Tbl_ResidentData[[#This Row],[Enrollment '[mmm-yyyy']]]),"-",AND((Tbl_ResidentData[[#This Row],[Enrollment '[mmm-yyyy']]]&lt;=V$4),IF(ISBLANK(Tbl_ResidentData[[#This Row],[Discharge '[mmm-yyyy']]]),TRUE,(Tbl_ResidentData[[#This Row],[Discharge '[mmm-yyyy']]]&gt;=V$4)))))</f>
        <v>-</v>
      </c>
      <c r="W99" s="121" t="str">
        <f ca="1">IF(W$4&gt;NOW(),"-",IF(ISBLANK(Tbl_ResidentData[[#This Row],[Enrollment '[mmm-yyyy']]]),"-",AND((Tbl_ResidentData[[#This Row],[Enrollment '[mmm-yyyy']]]&lt;=W$4),IF(ISBLANK(Tbl_ResidentData[[#This Row],[Discharge '[mmm-yyyy']]]),TRUE,(Tbl_ResidentData[[#This Row],[Discharge '[mmm-yyyy']]]&gt;=W$4)))))</f>
        <v>-</v>
      </c>
      <c r="X99" s="121" t="str">
        <f ca="1">IF(X$4&gt;NOW(),"-",IF(ISBLANK(Tbl_ResidentData[[#This Row],[Enrollment '[mmm-yyyy']]]),"-",AND((Tbl_ResidentData[[#This Row],[Enrollment '[mmm-yyyy']]]&lt;=X$4),IF(ISBLANK(Tbl_ResidentData[[#This Row],[Discharge '[mmm-yyyy']]]),TRUE,(Tbl_ResidentData[[#This Row],[Discharge '[mmm-yyyy']]]&gt;=X$4)))))</f>
        <v>-</v>
      </c>
      <c r="Y99" s="121" t="str">
        <f ca="1">IF(Y$4&gt;NOW(),"-",IF(ISBLANK(Tbl_ResidentData[[#This Row],[Enrollment '[mmm-yyyy']]]),"-",AND((Tbl_ResidentData[[#This Row],[Enrollment '[mmm-yyyy']]]&lt;=Y$4),IF(ISBLANK(Tbl_ResidentData[[#This Row],[Discharge '[mmm-yyyy']]]),TRUE,(Tbl_ResidentData[[#This Row],[Discharge '[mmm-yyyy']]]&gt;=Y$4)))))</f>
        <v>-</v>
      </c>
      <c r="Z99" s="121" t="str">
        <f ca="1">IF(Z$4&gt;NOW(),"-",IF(ISBLANK(Tbl_ResidentData[[#This Row],[Enrollment '[mmm-yyyy']]]),"-",AND((Tbl_ResidentData[[#This Row],[Enrollment '[mmm-yyyy']]]&lt;=Z$4),IF(ISBLANK(Tbl_ResidentData[[#This Row],[Discharge '[mmm-yyyy']]]),TRUE,(Tbl_ResidentData[[#This Row],[Discharge '[mmm-yyyy']]]&gt;=Z$4)))))</f>
        <v>-</v>
      </c>
      <c r="AA99" s="121" t="str">
        <f ca="1">IF(AA$4&gt;NOW(),"-",IF(ISBLANK(Tbl_ResidentData[[#This Row],[Enrollment '[mmm-yyyy']]]),"-",AND((Tbl_ResidentData[[#This Row],[Enrollment '[mmm-yyyy']]]&lt;=AA$4),IF(ISBLANK(Tbl_ResidentData[[#This Row],[Discharge '[mmm-yyyy']]]),TRUE,(Tbl_ResidentData[[#This Row],[Discharge '[mmm-yyyy']]]&gt;=AA$4)))))</f>
        <v>-</v>
      </c>
      <c r="AB99" s="121" t="str">
        <f ca="1">IF(AB$4&gt;NOW(),"-",IF(ISBLANK(Tbl_ResidentData[[#This Row],[Enrollment '[mmm-yyyy']]]),"-",AND((Tbl_ResidentData[[#This Row],[Enrollment '[mmm-yyyy']]]&lt;=AB$4),IF(ISBLANK(Tbl_ResidentData[[#This Row],[Discharge '[mmm-yyyy']]]),TRUE,(Tbl_ResidentData[[#This Row],[Discharge '[mmm-yyyy']]]&gt;=AB$4)))))</f>
        <v>-</v>
      </c>
      <c r="AC99" s="121" t="str">
        <f ca="1">IF(AC$4&gt;NOW(),"-",IF(ISBLANK(Tbl_ResidentData[[#This Row],[Enrollment '[mmm-yyyy']]]),"-",AND((Tbl_ResidentData[[#This Row],[Enrollment '[mmm-yyyy']]]&lt;=AC$4),IF(ISBLANK(Tbl_ResidentData[[#This Row],[Discharge '[mmm-yyyy']]]),TRUE,(Tbl_ResidentData[[#This Row],[Discharge '[mmm-yyyy']]]&gt;=AC$4)))))</f>
        <v>-</v>
      </c>
      <c r="AD99" s="121" t="str">
        <f ca="1">IF(AD$4&gt;NOW(),"-",IF(ISBLANK(Tbl_ResidentData[[#This Row],[Enrollment '[mmm-yyyy']]]),"-",AND((Tbl_ResidentData[[#This Row],[Enrollment '[mmm-yyyy']]]&lt;=AD$4),IF(ISBLANK(Tbl_ResidentData[[#This Row],[Discharge '[mmm-yyyy']]]),TRUE,(Tbl_ResidentData[[#This Row],[Discharge '[mmm-yyyy']]]&gt;=AD$4)))))</f>
        <v>-</v>
      </c>
      <c r="AE99" s="121" t="str">
        <f ca="1">IF(AE$4&gt;NOW(),"-",IF(ISBLANK(Tbl_ResidentData[[#This Row],[Enrollment '[mmm-yyyy']]]),"-",AND((Tbl_ResidentData[[#This Row],[Enrollment '[mmm-yyyy']]]&lt;=AE$4),IF(ISBLANK(Tbl_ResidentData[[#This Row],[Discharge '[mmm-yyyy']]]),TRUE,(Tbl_ResidentData[[#This Row],[Discharge '[mmm-yyyy']]]&gt;=AE$4)))))</f>
        <v>-</v>
      </c>
      <c r="AF99" s="121" t="str">
        <f ca="1">IF(AF$4&gt;NOW(),"-",IF(ISBLANK(Tbl_ResidentData[[#This Row],[Enrollment '[mmm-yyyy']]]),"-",AND((Tbl_ResidentData[[#This Row],[Enrollment '[mmm-yyyy']]]&lt;=AF$4),IF(ISBLANK(Tbl_ResidentData[[#This Row],[Discharge '[mmm-yyyy']]]),TRUE,(Tbl_ResidentData[[#This Row],[Discharge '[mmm-yyyy']]]&gt;=AF$4)))))</f>
        <v>-</v>
      </c>
      <c r="AG99" s="121" t="str">
        <f ca="1">IF(AG$4&gt;NOW(),"-",IF(ISBLANK(Tbl_ResidentData[[#This Row],[Enrollment '[mmm-yyyy']]]),"-",AND((Tbl_ResidentData[[#This Row],[Enrollment '[mmm-yyyy']]]&lt;=AG$4),IF(ISBLANK(Tbl_ResidentData[[#This Row],[Discharge '[mmm-yyyy']]]),TRUE,(Tbl_ResidentData[[#This Row],[Discharge '[mmm-yyyy']]]&gt;=AG$4)))))</f>
        <v>-</v>
      </c>
      <c r="AH99" s="121" t="str">
        <f ca="1">IF(AH$4&gt;NOW(),"-",IF(ISBLANK(Tbl_ResidentData[[#This Row],[Enrollment '[mmm-yyyy']]]),"-",AND((Tbl_ResidentData[[#This Row],[Enrollment '[mmm-yyyy']]]&lt;=AH$4),IF(ISBLANK(Tbl_ResidentData[[#This Row],[Discharge '[mmm-yyyy']]]),TRUE,(Tbl_ResidentData[[#This Row],[Discharge '[mmm-yyyy']]]&gt;=AH$4)))))</f>
        <v>-</v>
      </c>
      <c r="AI99" s="121" t="str">
        <f ca="1">IF(AI$4&gt;NOW(),"-",IF(ISBLANK(Tbl_ResidentData[[#This Row],[Enrollment '[mmm-yyyy']]]),"-",AND((Tbl_ResidentData[[#This Row],[Enrollment '[mmm-yyyy']]]&lt;=AI$4),IF(ISBLANK(Tbl_ResidentData[[#This Row],[Discharge '[mmm-yyyy']]]),TRUE,(Tbl_ResidentData[[#This Row],[Discharge '[mmm-yyyy']]]&gt;=AI$4)))))</f>
        <v>-</v>
      </c>
      <c r="AJ99" s="121" t="str">
        <f ca="1">IF(AJ$4&gt;NOW(),"-",IF(ISBLANK(Tbl_ResidentData[[#This Row],[Enrollment '[mmm-yyyy']]]),"-",AND((Tbl_ResidentData[[#This Row],[Enrollment '[mmm-yyyy']]]&lt;=AJ$4),IF(ISBLANK(Tbl_ResidentData[[#This Row],[Discharge '[mmm-yyyy']]]),TRUE,(Tbl_ResidentData[[#This Row],[Discharge '[mmm-yyyy']]]&gt;=AJ$4)))))</f>
        <v>-</v>
      </c>
      <c r="AK99" s="121" t="str">
        <f ca="1">IF(AK$4&gt;NOW(),"-",IF(ISBLANK(Tbl_ResidentData[[#This Row],[Enrollment '[mmm-yyyy']]]),"-",AND((Tbl_ResidentData[[#This Row],[Enrollment '[mmm-yyyy']]]&lt;=AK$4),IF(ISBLANK(Tbl_ResidentData[[#This Row],[Discharge '[mmm-yyyy']]]),TRUE,(Tbl_ResidentData[[#This Row],[Discharge '[mmm-yyyy']]]&gt;=AK$4)))))</f>
        <v>-</v>
      </c>
      <c r="AL99" s="121" t="str">
        <f ca="1">IF(AL$4&gt;NOW(),"-",IF(ISBLANK(Tbl_ResidentData[[#This Row],[Enrollment '[mmm-yyyy']]]),"-",AND((Tbl_ResidentData[[#This Row],[Enrollment '[mmm-yyyy']]]&lt;=AL$4),IF(ISBLANK(Tbl_ResidentData[[#This Row],[Discharge '[mmm-yyyy']]]),TRUE,(Tbl_ResidentData[[#This Row],[Discharge '[mmm-yyyy']]]&gt;=AL$4)))))</f>
        <v>-</v>
      </c>
      <c r="AM99" s="121" t="str">
        <f ca="1">IF(AM$4&gt;NOW(),"-",IF(ISBLANK(Tbl_ResidentData[[#This Row],[Enrollment '[mmm-yyyy']]]),"-",AND((Tbl_ResidentData[[#This Row],[Enrollment '[mmm-yyyy']]]&lt;=AM$4),IF(ISBLANK(Tbl_ResidentData[[#This Row],[Discharge '[mmm-yyyy']]]),TRUE,(Tbl_ResidentData[[#This Row],[Discharge '[mmm-yyyy']]]&gt;=AM$4)))))</f>
        <v>-</v>
      </c>
      <c r="AN99" s="121" t="str">
        <f ca="1">IF(AN$4&gt;NOW(),"-",IF(ISBLANK(Tbl_ResidentData[[#This Row],[Enrollment '[mmm-yyyy']]]),"-",AND((Tbl_ResidentData[[#This Row],[Enrollment '[mmm-yyyy']]]&lt;=AN$4),IF(ISBLANK(Tbl_ResidentData[[#This Row],[Discharge '[mmm-yyyy']]]),TRUE,(Tbl_ResidentData[[#This Row],[Discharge '[mmm-yyyy']]]&gt;=AN$4)))))</f>
        <v>-</v>
      </c>
      <c r="AO99" s="121" t="str">
        <f ca="1">IF(AO$4&gt;NOW(),"-",IF(ISBLANK(Tbl_ResidentData[[#This Row],[Enrollment '[mmm-yyyy']]]),"-",AND((Tbl_ResidentData[[#This Row],[Enrollment '[mmm-yyyy']]]&lt;=AO$4),IF(ISBLANK(Tbl_ResidentData[[#This Row],[Discharge '[mmm-yyyy']]]),TRUE,(Tbl_ResidentData[[#This Row],[Discharge '[mmm-yyyy']]]&gt;=AO$4)))))</f>
        <v>-</v>
      </c>
      <c r="AP99" s="121" t="str">
        <f ca="1">IF(AP$4&gt;NOW(),"-",IF(ISBLANK(Tbl_ResidentData[[#This Row],[Enrollment '[mmm-yyyy']]]),"-",AND((Tbl_ResidentData[[#This Row],[Enrollment '[mmm-yyyy']]]&lt;=AP$4),IF(ISBLANK(Tbl_ResidentData[[#This Row],[Discharge '[mmm-yyyy']]]),TRUE,(Tbl_ResidentData[[#This Row],[Discharge '[mmm-yyyy']]]&gt;=AP$4)))))</f>
        <v>-</v>
      </c>
      <c r="AQ99" s="121" t="str">
        <f ca="1">IF(AQ$4&gt;NOW(),"-",IF(ISBLANK(Tbl_ResidentData[[#This Row],[Enrollment '[mmm-yyyy']]]),"-",AND((Tbl_ResidentData[[#This Row],[Enrollment '[mmm-yyyy']]]&lt;=AQ$4),IF(ISBLANK(Tbl_ResidentData[[#This Row],[Discharge '[mmm-yyyy']]]),TRUE,(Tbl_ResidentData[[#This Row],[Discharge '[mmm-yyyy']]]&gt;=AQ$4)))))</f>
        <v>-</v>
      </c>
      <c r="AR99" s="122" t="str">
        <f ca="1">IF(AR$4&gt;NOW(),"-",IF(ISBLANK(Tbl_ResidentData[[#This Row],[Enrollment '[mmm-yyyy']]]),"-",AND((Tbl_ResidentData[[#This Row],[Enrollment '[mmm-yyyy']]]&lt;=AR$4),IF(ISBLANK(Tbl_ResidentData[[#This Row],[Discharge '[mmm-yyyy']]]),TRUE,(Tbl_ResidentData[[#This Row],[Discharge '[mmm-yyyy']]]&gt;=AR$4)))))</f>
        <v>-</v>
      </c>
      <c r="AS9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9" s="120" t="b">
        <f ca="1">AND(Tbl_ResidentData[[#This Row],[PRN Med Started]]&lt;&gt;"",Tbl_ResidentData[[#This Row],[PRN Med Started]]&lt;=NOW(),Tbl_ResidentData[[#This Row],[PRN Med Started]]&lt;=AS$4,OR(Tbl_ResidentData[[#This Row],[PRN Med Discontinued]]&gt;AS$4,ISBLANK(Tbl_ResidentData[[#This Row],[PRN Med Discontinued]])))</f>
        <v>0</v>
      </c>
      <c r="BR99" s="121" t="b">
        <f ca="1">AND(Tbl_ResidentData[[#This Row],[PRN Med Started]]&lt;&gt;"",Tbl_ResidentData[[#This Row],[PRN Med Started]]&lt;=NOW(),Tbl_ResidentData[[#This Row],[PRN Med Started]]&lt;=AT$4,OR(Tbl_ResidentData[[#This Row],[PRN Med Discontinued]]&gt;AT$4,ISBLANK(Tbl_ResidentData[[#This Row],[PRN Med Discontinued]])))</f>
        <v>0</v>
      </c>
      <c r="BS99" s="121" t="b">
        <f ca="1">AND(Tbl_ResidentData[[#This Row],[PRN Med Started]]&lt;&gt;"",Tbl_ResidentData[[#This Row],[PRN Med Started]]&lt;=NOW(),Tbl_ResidentData[[#This Row],[PRN Med Started]]&lt;=AU$4,OR(Tbl_ResidentData[[#This Row],[PRN Med Discontinued]]&gt;AU$4,ISBLANK(Tbl_ResidentData[[#This Row],[PRN Med Discontinued]])))</f>
        <v>0</v>
      </c>
      <c r="BT99" s="121" t="b">
        <f ca="1">AND(Tbl_ResidentData[[#This Row],[PRN Med Started]]&lt;&gt;"",Tbl_ResidentData[[#This Row],[PRN Med Started]]&lt;=NOW(),Tbl_ResidentData[[#This Row],[PRN Med Started]]&lt;=AV$4,OR(Tbl_ResidentData[[#This Row],[PRN Med Discontinued]]&gt;AV$4,ISBLANK(Tbl_ResidentData[[#This Row],[PRN Med Discontinued]])))</f>
        <v>0</v>
      </c>
      <c r="BU99" s="121" t="b">
        <f ca="1">AND(Tbl_ResidentData[[#This Row],[PRN Med Started]]&lt;&gt;"",Tbl_ResidentData[[#This Row],[PRN Med Started]]&lt;=NOW(),Tbl_ResidentData[[#This Row],[PRN Med Started]]&lt;=AW$4,OR(Tbl_ResidentData[[#This Row],[PRN Med Discontinued]]&gt;AW$4,ISBLANK(Tbl_ResidentData[[#This Row],[PRN Med Discontinued]])))</f>
        <v>0</v>
      </c>
      <c r="BV99" s="121" t="b">
        <f ca="1">AND(Tbl_ResidentData[[#This Row],[PRN Med Started]]&lt;&gt;"",Tbl_ResidentData[[#This Row],[PRN Med Started]]&lt;=NOW(),Tbl_ResidentData[[#This Row],[PRN Med Started]]&lt;=AX$4,OR(Tbl_ResidentData[[#This Row],[PRN Med Discontinued]]&gt;AX$4,ISBLANK(Tbl_ResidentData[[#This Row],[PRN Med Discontinued]])))</f>
        <v>0</v>
      </c>
      <c r="BW99" s="121" t="b">
        <f ca="1">AND(Tbl_ResidentData[[#This Row],[PRN Med Started]]&lt;&gt;"",Tbl_ResidentData[[#This Row],[PRN Med Started]]&lt;=NOW(),Tbl_ResidentData[[#This Row],[PRN Med Started]]&lt;=AY$4,OR(Tbl_ResidentData[[#This Row],[PRN Med Discontinued]]&gt;AY$4,ISBLANK(Tbl_ResidentData[[#This Row],[PRN Med Discontinued]])))</f>
        <v>0</v>
      </c>
      <c r="BX99" s="121" t="b">
        <f ca="1">AND(Tbl_ResidentData[[#This Row],[PRN Med Started]]&lt;&gt;"",Tbl_ResidentData[[#This Row],[PRN Med Started]]&lt;=NOW(),Tbl_ResidentData[[#This Row],[PRN Med Started]]&lt;=AZ$4,OR(Tbl_ResidentData[[#This Row],[PRN Med Discontinued]]&gt;AZ$4,ISBLANK(Tbl_ResidentData[[#This Row],[PRN Med Discontinued]])))</f>
        <v>0</v>
      </c>
      <c r="BY99" s="121" t="b">
        <f ca="1">AND(Tbl_ResidentData[[#This Row],[PRN Med Started]]&lt;&gt;"",Tbl_ResidentData[[#This Row],[PRN Med Started]]&lt;=NOW(),Tbl_ResidentData[[#This Row],[PRN Med Started]]&lt;=BA$4,OR(Tbl_ResidentData[[#This Row],[PRN Med Discontinued]]&gt;BA$4,ISBLANK(Tbl_ResidentData[[#This Row],[PRN Med Discontinued]])))</f>
        <v>0</v>
      </c>
      <c r="BZ99" s="121" t="b">
        <f ca="1">AND(Tbl_ResidentData[[#This Row],[PRN Med Started]]&lt;&gt;"",Tbl_ResidentData[[#This Row],[PRN Med Started]]&lt;=NOW(),Tbl_ResidentData[[#This Row],[PRN Med Started]]&lt;=BB$4,OR(Tbl_ResidentData[[#This Row],[PRN Med Discontinued]]&gt;BB$4,ISBLANK(Tbl_ResidentData[[#This Row],[PRN Med Discontinued]])))</f>
        <v>0</v>
      </c>
      <c r="CA99" s="121" t="b">
        <f ca="1">AND(Tbl_ResidentData[[#This Row],[PRN Med Started]]&lt;&gt;"",Tbl_ResidentData[[#This Row],[PRN Med Started]]&lt;=NOW(),Tbl_ResidentData[[#This Row],[PRN Med Started]]&lt;=BC$4,OR(Tbl_ResidentData[[#This Row],[PRN Med Discontinued]]&gt;BC$4,ISBLANK(Tbl_ResidentData[[#This Row],[PRN Med Discontinued]])))</f>
        <v>0</v>
      </c>
      <c r="CB99" s="121" t="b">
        <f ca="1">AND(Tbl_ResidentData[[#This Row],[PRN Med Started]]&lt;&gt;"",Tbl_ResidentData[[#This Row],[PRN Med Started]]&lt;=NOW(),Tbl_ResidentData[[#This Row],[PRN Med Started]]&lt;=BD$4,OR(Tbl_ResidentData[[#This Row],[PRN Med Discontinued]]&gt;BD$4,ISBLANK(Tbl_ResidentData[[#This Row],[PRN Med Discontinued]])))</f>
        <v>0</v>
      </c>
      <c r="CC99" s="121" t="b">
        <f ca="1">AND(Tbl_ResidentData[[#This Row],[PRN Med Started]]&lt;&gt;"",Tbl_ResidentData[[#This Row],[PRN Med Started]]&lt;=NOW(),Tbl_ResidentData[[#This Row],[PRN Med Started]]&lt;=BE$4,OR(Tbl_ResidentData[[#This Row],[PRN Med Discontinued]]&gt;BE$4,ISBLANK(Tbl_ResidentData[[#This Row],[PRN Med Discontinued]])))</f>
        <v>0</v>
      </c>
      <c r="CD99" s="121" t="b">
        <f ca="1">AND(Tbl_ResidentData[[#This Row],[PRN Med Started]]&lt;&gt;"",Tbl_ResidentData[[#This Row],[PRN Med Started]]&lt;=NOW(),Tbl_ResidentData[[#This Row],[PRN Med Started]]&lt;=BF$4,OR(Tbl_ResidentData[[#This Row],[PRN Med Discontinued]]&gt;BF$4,ISBLANK(Tbl_ResidentData[[#This Row],[PRN Med Discontinued]])))</f>
        <v>0</v>
      </c>
      <c r="CE99" s="121" t="b">
        <f ca="1">AND(Tbl_ResidentData[[#This Row],[PRN Med Started]]&lt;&gt;"",Tbl_ResidentData[[#This Row],[PRN Med Started]]&lt;=NOW(),Tbl_ResidentData[[#This Row],[PRN Med Started]]&lt;=BG$4,OR(Tbl_ResidentData[[#This Row],[PRN Med Discontinued]]&gt;BG$4,ISBLANK(Tbl_ResidentData[[#This Row],[PRN Med Discontinued]])))</f>
        <v>0</v>
      </c>
      <c r="CF99" s="121" t="b">
        <f ca="1">AND(Tbl_ResidentData[[#This Row],[PRN Med Started]]&lt;&gt;"",Tbl_ResidentData[[#This Row],[PRN Med Started]]&lt;=NOW(),Tbl_ResidentData[[#This Row],[PRN Med Started]]&lt;=BH$4,OR(Tbl_ResidentData[[#This Row],[PRN Med Discontinued]]&gt;BH$4,ISBLANK(Tbl_ResidentData[[#This Row],[PRN Med Discontinued]])))</f>
        <v>0</v>
      </c>
      <c r="CG99" s="121" t="b">
        <f ca="1">AND(Tbl_ResidentData[[#This Row],[PRN Med Started]]&lt;&gt;"",Tbl_ResidentData[[#This Row],[PRN Med Started]]&lt;=NOW(),Tbl_ResidentData[[#This Row],[PRN Med Started]]&lt;=BI$4,OR(Tbl_ResidentData[[#This Row],[PRN Med Discontinued]]&gt;BI$4,ISBLANK(Tbl_ResidentData[[#This Row],[PRN Med Discontinued]])))</f>
        <v>0</v>
      </c>
      <c r="CH99" s="121" t="b">
        <f ca="1">AND(Tbl_ResidentData[[#This Row],[PRN Med Started]]&lt;&gt;"",Tbl_ResidentData[[#This Row],[PRN Med Started]]&lt;=NOW(),Tbl_ResidentData[[#This Row],[PRN Med Started]]&lt;=BJ$4,OR(Tbl_ResidentData[[#This Row],[PRN Med Discontinued]]&gt;BJ$4,ISBLANK(Tbl_ResidentData[[#This Row],[PRN Med Discontinued]])))</f>
        <v>0</v>
      </c>
      <c r="CI99" s="121" t="b">
        <f ca="1">AND(Tbl_ResidentData[[#This Row],[PRN Med Started]]&lt;&gt;"",Tbl_ResidentData[[#This Row],[PRN Med Started]]&lt;=NOW(),Tbl_ResidentData[[#This Row],[PRN Med Started]]&lt;=BK$4,OR(Tbl_ResidentData[[#This Row],[PRN Med Discontinued]]&gt;BK$4,ISBLANK(Tbl_ResidentData[[#This Row],[PRN Med Discontinued]])))</f>
        <v>0</v>
      </c>
      <c r="CJ99" s="121" t="b">
        <f ca="1">AND(Tbl_ResidentData[[#This Row],[PRN Med Started]]&lt;&gt;"",Tbl_ResidentData[[#This Row],[PRN Med Started]]&lt;=NOW(),Tbl_ResidentData[[#This Row],[PRN Med Started]]&lt;=BL$4,OR(Tbl_ResidentData[[#This Row],[PRN Med Discontinued]]&gt;BL$4,ISBLANK(Tbl_ResidentData[[#This Row],[PRN Med Discontinued]])))</f>
        <v>0</v>
      </c>
      <c r="CK99" s="121" t="b">
        <f ca="1">AND(Tbl_ResidentData[[#This Row],[PRN Med Started]]&lt;&gt;"",Tbl_ResidentData[[#This Row],[PRN Med Started]]&lt;=NOW(),Tbl_ResidentData[[#This Row],[PRN Med Started]]&lt;=BM$4,OR(Tbl_ResidentData[[#This Row],[PRN Med Discontinued]]&gt;BM$4,ISBLANK(Tbl_ResidentData[[#This Row],[PRN Med Discontinued]])))</f>
        <v>0</v>
      </c>
      <c r="CL99" s="121" t="b">
        <f ca="1">AND(Tbl_ResidentData[[#This Row],[PRN Med Started]]&lt;&gt;"",Tbl_ResidentData[[#This Row],[PRN Med Started]]&lt;=NOW(),Tbl_ResidentData[[#This Row],[PRN Med Started]]&lt;=BN$4,OR(Tbl_ResidentData[[#This Row],[PRN Med Discontinued]]&gt;BN$4,ISBLANK(Tbl_ResidentData[[#This Row],[PRN Med Discontinued]])))</f>
        <v>0</v>
      </c>
      <c r="CM99" s="121" t="b">
        <f ca="1">AND(Tbl_ResidentData[[#This Row],[PRN Med Started]]&lt;&gt;"",Tbl_ResidentData[[#This Row],[PRN Med Started]]&lt;=NOW(),Tbl_ResidentData[[#This Row],[PRN Med Started]]&lt;=BO$4,OR(Tbl_ResidentData[[#This Row],[PRN Med Discontinued]]&gt;BO$4,ISBLANK(Tbl_ResidentData[[#This Row],[PRN Med Discontinued]])))</f>
        <v>0</v>
      </c>
      <c r="CN99" s="122" t="b">
        <f ca="1">AND(Tbl_ResidentData[[#This Row],[PRN Med Started]]&lt;&gt;"",Tbl_ResidentData[[#This Row],[PRN Med Started]]&lt;=NOW(),Tbl_ResidentData[[#This Row],[PRN Med Started]]&lt;=BP$4,OR(Tbl_ResidentData[[#This Row],[PRN Med Discontinued]]&gt;BP$4,ISBLANK(Tbl_ResidentData[[#This Row],[PRN Med Discontinued]])))</f>
        <v>0</v>
      </c>
      <c r="CO99" s="120">
        <f ca="1">IF(OR(Tbl_ResidentData[[#This Row],[S1]]=TRUE,Tbl_ResidentData[[#This Row],[P1]]=TRUE),1,0)</f>
        <v>0</v>
      </c>
      <c r="CP99" s="121">
        <f ca="1">IF(OR(Tbl_ResidentData[[#This Row],[S2]]=TRUE,Tbl_ResidentData[[#This Row],[P2]]=TRUE),1,0)</f>
        <v>0</v>
      </c>
      <c r="CQ99" s="121">
        <f ca="1">IF(OR(Tbl_ResidentData[[#This Row],[S3]]=TRUE,Tbl_ResidentData[[#This Row],[P3]]=TRUE),1,0)</f>
        <v>0</v>
      </c>
      <c r="CR99" s="120">
        <f ca="1">IF(OR(Tbl_ResidentData[[#This Row],[S4]]=TRUE,Tbl_ResidentData[[#This Row],[P4]]=TRUE),1,0)</f>
        <v>0</v>
      </c>
      <c r="CS99" s="120">
        <f ca="1">IF(OR(Tbl_ResidentData[[#This Row],[S5]]=TRUE,Tbl_ResidentData[[#This Row],[P5]]=TRUE),1,0)</f>
        <v>0</v>
      </c>
      <c r="CT99" s="120">
        <f ca="1">IF(OR(Tbl_ResidentData[[#This Row],[S6]]=TRUE,Tbl_ResidentData[[#This Row],[P6]]=TRUE),1,0)</f>
        <v>0</v>
      </c>
      <c r="CU99" s="120">
        <f ca="1">IF(OR(Tbl_ResidentData[[#This Row],[S7]]=TRUE,Tbl_ResidentData[[#This Row],[P7]]=TRUE),1,0)</f>
        <v>0</v>
      </c>
      <c r="CV99" s="120">
        <f ca="1">IF(OR(Tbl_ResidentData[[#This Row],[S8]]=TRUE,Tbl_ResidentData[[#This Row],[P8]]=TRUE),1,0)</f>
        <v>0</v>
      </c>
      <c r="CW99" s="120">
        <f ca="1">IF(OR(Tbl_ResidentData[[#This Row],[S9]]=TRUE,Tbl_ResidentData[[#This Row],[P9]]=TRUE),1,0)</f>
        <v>0</v>
      </c>
      <c r="CX99" s="120">
        <f ca="1">IF(OR(Tbl_ResidentData[[#This Row],[S10]]=TRUE,Tbl_ResidentData[[#This Row],[P10]]=TRUE),1,0)</f>
        <v>0</v>
      </c>
      <c r="CY99" s="120">
        <f ca="1">IF(OR(Tbl_ResidentData[[#This Row],[S11]]=TRUE,Tbl_ResidentData[[#This Row],[P11]]=TRUE),1,0)</f>
        <v>0</v>
      </c>
      <c r="CZ99" s="120">
        <f ca="1">IF(OR(Tbl_ResidentData[[#This Row],[S12]]=TRUE,Tbl_ResidentData[[#This Row],[P12]]=TRUE),1,0)</f>
        <v>0</v>
      </c>
      <c r="DA99" s="120">
        <f ca="1">IF(OR(Tbl_ResidentData[[#This Row],[S13]]=TRUE,Tbl_ResidentData[[#This Row],[P13]]=TRUE),1,0)</f>
        <v>0</v>
      </c>
      <c r="DB99" s="120">
        <f ca="1">IF(OR(Tbl_ResidentData[[#This Row],[S14]]=TRUE,Tbl_ResidentData[[#This Row],[P14]]=TRUE),1,0)</f>
        <v>0</v>
      </c>
      <c r="DC99" s="120">
        <f ca="1">IF(OR(Tbl_ResidentData[[#This Row],[S15]]=TRUE,Tbl_ResidentData[[#This Row],[P15]]=TRUE),1,0)</f>
        <v>0</v>
      </c>
      <c r="DD99" s="120">
        <f ca="1">IF(OR(Tbl_ResidentData[[#This Row],[S16]]=TRUE,Tbl_ResidentData[[#This Row],[P16]]=TRUE),1,0)</f>
        <v>0</v>
      </c>
      <c r="DE99" s="120">
        <f ca="1">IF(OR(Tbl_ResidentData[[#This Row],[S17]]=TRUE,Tbl_ResidentData[[#This Row],[P17]]=TRUE),1,0)</f>
        <v>0</v>
      </c>
      <c r="DF99" s="120">
        <f ca="1">IF(OR(Tbl_ResidentData[[#This Row],[S18]]=TRUE,Tbl_ResidentData[[#This Row],[P18]]=TRUE),1,0)</f>
        <v>0</v>
      </c>
      <c r="DG99" s="120">
        <f ca="1">IF(OR(Tbl_ResidentData[[#This Row],[S19]]=TRUE,Tbl_ResidentData[[#This Row],[P19]]=TRUE),1,0)</f>
        <v>0</v>
      </c>
      <c r="DH99" s="120">
        <f ca="1">IF(OR(Tbl_ResidentData[[#This Row],[S20]]=TRUE,Tbl_ResidentData[[#This Row],[P20]]=TRUE),1,0)</f>
        <v>0</v>
      </c>
      <c r="DI99" s="120">
        <f ca="1">IF(OR(Tbl_ResidentData[[#This Row],[S21]]=TRUE,Tbl_ResidentData[[#This Row],[P21]]=TRUE),1,0)</f>
        <v>0</v>
      </c>
      <c r="DJ99" s="120">
        <f ca="1">IF(OR(Tbl_ResidentData[[#This Row],[S22]]=TRUE,Tbl_ResidentData[[#This Row],[P22]]=TRUE),1,0)</f>
        <v>0</v>
      </c>
      <c r="DK99" s="120">
        <f ca="1">IF(OR(Tbl_ResidentData[[#This Row],[S23]]=TRUE,Tbl_ResidentData[[#This Row],[P23]]=TRUE),1,0)</f>
        <v>0</v>
      </c>
      <c r="DL99" s="120">
        <f ca="1">IF(OR(Tbl_ResidentData[[#This Row],[S24]]=TRUE,Tbl_ResidentData[[#This Row],[P24]]=TRUE),1,0)</f>
        <v>0</v>
      </c>
      <c r="DM99" s="123" t="str">
        <f ca="1">IFERROR(INDEX($CO$4:$DL$4,MATCH(TRUE,INDEX((Tbl_ResidentData[[#This Row],[Over1]:[Over24]]&lt;&gt;0),0),0)),"")</f>
        <v/>
      </c>
      <c r="DN99" s="133" t="str">
        <f>IFERROR(INDEX(Tbl_PDSAData[Last DRT],MATCH(Tbl_ResidentData[Resident Name '[last, first']],Tbl_PDSAData[Resident Name (last, first)],0)),"")</f>
        <v/>
      </c>
      <c r="DO99" s="222" t="str">
        <f>IFERROR(INDEX(Tbl_PDSAData[Last MR],MATCH(Tbl_ResidentData[Resident Name '[last, first']],Tbl_PDSAData[Resident Name (last, first)],0)),"")</f>
        <v/>
      </c>
    </row>
    <row r="100" spans="1:119" x14ac:dyDescent="0.25">
      <c r="A100" s="179"/>
      <c r="B100" s="180"/>
      <c r="C100" s="180"/>
      <c r="D100" s="218"/>
      <c r="E100" s="179"/>
      <c r="F100" s="181"/>
      <c r="G100" s="181"/>
      <c r="H100" s="375"/>
      <c r="I100" s="185"/>
      <c r="J100" s="387"/>
      <c r="K100" s="178"/>
      <c r="L100" s="388"/>
      <c r="M100" s="185"/>
      <c r="N100" s="386"/>
      <c r="O100" s="178"/>
      <c r="P100" s="388"/>
      <c r="Q100" s="394"/>
      <c r="R100" s="388"/>
      <c r="S100" s="131" t="str">
        <f>IF(ISBLANK(Tbl_ResidentData[[#This Row],[Discharge '[mmm-yyyy']]]),IF(ISBLANK(Tbl_ResidentData[[#This Row],[Enrollment '[mmm-yyyy']]]),"","In Care Home"),"Discharged")</f>
        <v/>
      </c>
      <c r="T100" s="119" t="str">
        <f>IF(ISBLANK(Tbl_ResidentData[[#This Row],[Diagnosis (RAI)]]),IF(ISBLANK(Tbl_ResidentData[[#This Row],[Resident Name '[last, first']]]),"",0),IF(Tbl_ResidentData[[#This Row],[Diagnosis (RAI)]]="Other (see clinical notes)",0,1))</f>
        <v/>
      </c>
      <c r="U100" s="120" t="str">
        <f ca="1">IF(U$4&gt;NOW(),"-",IF(ISBLANK(Tbl_ResidentData[[#This Row],[Enrollment '[mmm-yyyy']]]),"-",AND((Tbl_ResidentData[[#This Row],[Enrollment '[mmm-yyyy']]]&lt;=U$4),IF(ISBLANK(Tbl_ResidentData[[#This Row],[Discharge '[mmm-yyyy']]]),TRUE,(Tbl_ResidentData[[#This Row],[Discharge '[mmm-yyyy']]]&gt;=U$4)))))</f>
        <v>-</v>
      </c>
      <c r="V100" s="121" t="str">
        <f ca="1">IF(V$4&gt;NOW(),"-",IF(ISBLANK(Tbl_ResidentData[[#This Row],[Enrollment '[mmm-yyyy']]]),"-",AND((Tbl_ResidentData[[#This Row],[Enrollment '[mmm-yyyy']]]&lt;=V$4),IF(ISBLANK(Tbl_ResidentData[[#This Row],[Discharge '[mmm-yyyy']]]),TRUE,(Tbl_ResidentData[[#This Row],[Discharge '[mmm-yyyy']]]&gt;=V$4)))))</f>
        <v>-</v>
      </c>
      <c r="W100" s="121" t="str">
        <f ca="1">IF(W$4&gt;NOW(),"-",IF(ISBLANK(Tbl_ResidentData[[#This Row],[Enrollment '[mmm-yyyy']]]),"-",AND((Tbl_ResidentData[[#This Row],[Enrollment '[mmm-yyyy']]]&lt;=W$4),IF(ISBLANK(Tbl_ResidentData[[#This Row],[Discharge '[mmm-yyyy']]]),TRUE,(Tbl_ResidentData[[#This Row],[Discharge '[mmm-yyyy']]]&gt;=W$4)))))</f>
        <v>-</v>
      </c>
      <c r="X100" s="121" t="str">
        <f ca="1">IF(X$4&gt;NOW(),"-",IF(ISBLANK(Tbl_ResidentData[[#This Row],[Enrollment '[mmm-yyyy']]]),"-",AND((Tbl_ResidentData[[#This Row],[Enrollment '[mmm-yyyy']]]&lt;=X$4),IF(ISBLANK(Tbl_ResidentData[[#This Row],[Discharge '[mmm-yyyy']]]),TRUE,(Tbl_ResidentData[[#This Row],[Discharge '[mmm-yyyy']]]&gt;=X$4)))))</f>
        <v>-</v>
      </c>
      <c r="Y100" s="121" t="str">
        <f ca="1">IF(Y$4&gt;NOW(),"-",IF(ISBLANK(Tbl_ResidentData[[#This Row],[Enrollment '[mmm-yyyy']]]),"-",AND((Tbl_ResidentData[[#This Row],[Enrollment '[mmm-yyyy']]]&lt;=Y$4),IF(ISBLANK(Tbl_ResidentData[[#This Row],[Discharge '[mmm-yyyy']]]),TRUE,(Tbl_ResidentData[[#This Row],[Discharge '[mmm-yyyy']]]&gt;=Y$4)))))</f>
        <v>-</v>
      </c>
      <c r="Z100" s="121" t="str">
        <f ca="1">IF(Z$4&gt;NOW(),"-",IF(ISBLANK(Tbl_ResidentData[[#This Row],[Enrollment '[mmm-yyyy']]]),"-",AND((Tbl_ResidentData[[#This Row],[Enrollment '[mmm-yyyy']]]&lt;=Z$4),IF(ISBLANK(Tbl_ResidentData[[#This Row],[Discharge '[mmm-yyyy']]]),TRUE,(Tbl_ResidentData[[#This Row],[Discharge '[mmm-yyyy']]]&gt;=Z$4)))))</f>
        <v>-</v>
      </c>
      <c r="AA100" s="121" t="str">
        <f ca="1">IF(AA$4&gt;NOW(),"-",IF(ISBLANK(Tbl_ResidentData[[#This Row],[Enrollment '[mmm-yyyy']]]),"-",AND((Tbl_ResidentData[[#This Row],[Enrollment '[mmm-yyyy']]]&lt;=AA$4),IF(ISBLANK(Tbl_ResidentData[[#This Row],[Discharge '[mmm-yyyy']]]),TRUE,(Tbl_ResidentData[[#This Row],[Discharge '[mmm-yyyy']]]&gt;=AA$4)))))</f>
        <v>-</v>
      </c>
      <c r="AB100" s="121" t="str">
        <f ca="1">IF(AB$4&gt;NOW(),"-",IF(ISBLANK(Tbl_ResidentData[[#This Row],[Enrollment '[mmm-yyyy']]]),"-",AND((Tbl_ResidentData[[#This Row],[Enrollment '[mmm-yyyy']]]&lt;=AB$4),IF(ISBLANK(Tbl_ResidentData[[#This Row],[Discharge '[mmm-yyyy']]]),TRUE,(Tbl_ResidentData[[#This Row],[Discharge '[mmm-yyyy']]]&gt;=AB$4)))))</f>
        <v>-</v>
      </c>
      <c r="AC100" s="121" t="str">
        <f ca="1">IF(AC$4&gt;NOW(),"-",IF(ISBLANK(Tbl_ResidentData[[#This Row],[Enrollment '[mmm-yyyy']]]),"-",AND((Tbl_ResidentData[[#This Row],[Enrollment '[mmm-yyyy']]]&lt;=AC$4),IF(ISBLANK(Tbl_ResidentData[[#This Row],[Discharge '[mmm-yyyy']]]),TRUE,(Tbl_ResidentData[[#This Row],[Discharge '[mmm-yyyy']]]&gt;=AC$4)))))</f>
        <v>-</v>
      </c>
      <c r="AD100" s="121" t="str">
        <f ca="1">IF(AD$4&gt;NOW(),"-",IF(ISBLANK(Tbl_ResidentData[[#This Row],[Enrollment '[mmm-yyyy']]]),"-",AND((Tbl_ResidentData[[#This Row],[Enrollment '[mmm-yyyy']]]&lt;=AD$4),IF(ISBLANK(Tbl_ResidentData[[#This Row],[Discharge '[mmm-yyyy']]]),TRUE,(Tbl_ResidentData[[#This Row],[Discharge '[mmm-yyyy']]]&gt;=AD$4)))))</f>
        <v>-</v>
      </c>
      <c r="AE100" s="121" t="str">
        <f ca="1">IF(AE$4&gt;NOW(),"-",IF(ISBLANK(Tbl_ResidentData[[#This Row],[Enrollment '[mmm-yyyy']]]),"-",AND((Tbl_ResidentData[[#This Row],[Enrollment '[mmm-yyyy']]]&lt;=AE$4),IF(ISBLANK(Tbl_ResidentData[[#This Row],[Discharge '[mmm-yyyy']]]),TRUE,(Tbl_ResidentData[[#This Row],[Discharge '[mmm-yyyy']]]&gt;=AE$4)))))</f>
        <v>-</v>
      </c>
      <c r="AF100" s="121" t="str">
        <f ca="1">IF(AF$4&gt;NOW(),"-",IF(ISBLANK(Tbl_ResidentData[[#This Row],[Enrollment '[mmm-yyyy']]]),"-",AND((Tbl_ResidentData[[#This Row],[Enrollment '[mmm-yyyy']]]&lt;=AF$4),IF(ISBLANK(Tbl_ResidentData[[#This Row],[Discharge '[mmm-yyyy']]]),TRUE,(Tbl_ResidentData[[#This Row],[Discharge '[mmm-yyyy']]]&gt;=AF$4)))))</f>
        <v>-</v>
      </c>
      <c r="AG100" s="121" t="str">
        <f ca="1">IF(AG$4&gt;NOW(),"-",IF(ISBLANK(Tbl_ResidentData[[#This Row],[Enrollment '[mmm-yyyy']]]),"-",AND((Tbl_ResidentData[[#This Row],[Enrollment '[mmm-yyyy']]]&lt;=AG$4),IF(ISBLANK(Tbl_ResidentData[[#This Row],[Discharge '[mmm-yyyy']]]),TRUE,(Tbl_ResidentData[[#This Row],[Discharge '[mmm-yyyy']]]&gt;=AG$4)))))</f>
        <v>-</v>
      </c>
      <c r="AH100" s="121" t="str">
        <f ca="1">IF(AH$4&gt;NOW(),"-",IF(ISBLANK(Tbl_ResidentData[[#This Row],[Enrollment '[mmm-yyyy']]]),"-",AND((Tbl_ResidentData[[#This Row],[Enrollment '[mmm-yyyy']]]&lt;=AH$4),IF(ISBLANK(Tbl_ResidentData[[#This Row],[Discharge '[mmm-yyyy']]]),TRUE,(Tbl_ResidentData[[#This Row],[Discharge '[mmm-yyyy']]]&gt;=AH$4)))))</f>
        <v>-</v>
      </c>
      <c r="AI100" s="121" t="str">
        <f ca="1">IF(AI$4&gt;NOW(),"-",IF(ISBLANK(Tbl_ResidentData[[#This Row],[Enrollment '[mmm-yyyy']]]),"-",AND((Tbl_ResidentData[[#This Row],[Enrollment '[mmm-yyyy']]]&lt;=AI$4),IF(ISBLANK(Tbl_ResidentData[[#This Row],[Discharge '[mmm-yyyy']]]),TRUE,(Tbl_ResidentData[[#This Row],[Discharge '[mmm-yyyy']]]&gt;=AI$4)))))</f>
        <v>-</v>
      </c>
      <c r="AJ100" s="121" t="str">
        <f ca="1">IF(AJ$4&gt;NOW(),"-",IF(ISBLANK(Tbl_ResidentData[[#This Row],[Enrollment '[mmm-yyyy']]]),"-",AND((Tbl_ResidentData[[#This Row],[Enrollment '[mmm-yyyy']]]&lt;=AJ$4),IF(ISBLANK(Tbl_ResidentData[[#This Row],[Discharge '[mmm-yyyy']]]),TRUE,(Tbl_ResidentData[[#This Row],[Discharge '[mmm-yyyy']]]&gt;=AJ$4)))))</f>
        <v>-</v>
      </c>
      <c r="AK100" s="121" t="str">
        <f ca="1">IF(AK$4&gt;NOW(),"-",IF(ISBLANK(Tbl_ResidentData[[#This Row],[Enrollment '[mmm-yyyy']]]),"-",AND((Tbl_ResidentData[[#This Row],[Enrollment '[mmm-yyyy']]]&lt;=AK$4),IF(ISBLANK(Tbl_ResidentData[[#This Row],[Discharge '[mmm-yyyy']]]),TRUE,(Tbl_ResidentData[[#This Row],[Discharge '[mmm-yyyy']]]&gt;=AK$4)))))</f>
        <v>-</v>
      </c>
      <c r="AL100" s="121" t="str">
        <f ca="1">IF(AL$4&gt;NOW(),"-",IF(ISBLANK(Tbl_ResidentData[[#This Row],[Enrollment '[mmm-yyyy']]]),"-",AND((Tbl_ResidentData[[#This Row],[Enrollment '[mmm-yyyy']]]&lt;=AL$4),IF(ISBLANK(Tbl_ResidentData[[#This Row],[Discharge '[mmm-yyyy']]]),TRUE,(Tbl_ResidentData[[#This Row],[Discharge '[mmm-yyyy']]]&gt;=AL$4)))))</f>
        <v>-</v>
      </c>
      <c r="AM100" s="121" t="str">
        <f ca="1">IF(AM$4&gt;NOW(),"-",IF(ISBLANK(Tbl_ResidentData[[#This Row],[Enrollment '[mmm-yyyy']]]),"-",AND((Tbl_ResidentData[[#This Row],[Enrollment '[mmm-yyyy']]]&lt;=AM$4),IF(ISBLANK(Tbl_ResidentData[[#This Row],[Discharge '[mmm-yyyy']]]),TRUE,(Tbl_ResidentData[[#This Row],[Discharge '[mmm-yyyy']]]&gt;=AM$4)))))</f>
        <v>-</v>
      </c>
      <c r="AN100" s="121" t="str">
        <f ca="1">IF(AN$4&gt;NOW(),"-",IF(ISBLANK(Tbl_ResidentData[[#This Row],[Enrollment '[mmm-yyyy']]]),"-",AND((Tbl_ResidentData[[#This Row],[Enrollment '[mmm-yyyy']]]&lt;=AN$4),IF(ISBLANK(Tbl_ResidentData[[#This Row],[Discharge '[mmm-yyyy']]]),TRUE,(Tbl_ResidentData[[#This Row],[Discharge '[mmm-yyyy']]]&gt;=AN$4)))))</f>
        <v>-</v>
      </c>
      <c r="AO100" s="121" t="str">
        <f ca="1">IF(AO$4&gt;NOW(),"-",IF(ISBLANK(Tbl_ResidentData[[#This Row],[Enrollment '[mmm-yyyy']]]),"-",AND((Tbl_ResidentData[[#This Row],[Enrollment '[mmm-yyyy']]]&lt;=AO$4),IF(ISBLANK(Tbl_ResidentData[[#This Row],[Discharge '[mmm-yyyy']]]),TRUE,(Tbl_ResidentData[[#This Row],[Discharge '[mmm-yyyy']]]&gt;=AO$4)))))</f>
        <v>-</v>
      </c>
      <c r="AP100" s="121" t="str">
        <f ca="1">IF(AP$4&gt;NOW(),"-",IF(ISBLANK(Tbl_ResidentData[[#This Row],[Enrollment '[mmm-yyyy']]]),"-",AND((Tbl_ResidentData[[#This Row],[Enrollment '[mmm-yyyy']]]&lt;=AP$4),IF(ISBLANK(Tbl_ResidentData[[#This Row],[Discharge '[mmm-yyyy']]]),TRUE,(Tbl_ResidentData[[#This Row],[Discharge '[mmm-yyyy']]]&gt;=AP$4)))))</f>
        <v>-</v>
      </c>
      <c r="AQ100" s="121" t="str">
        <f ca="1">IF(AQ$4&gt;NOW(),"-",IF(ISBLANK(Tbl_ResidentData[[#This Row],[Enrollment '[mmm-yyyy']]]),"-",AND((Tbl_ResidentData[[#This Row],[Enrollment '[mmm-yyyy']]]&lt;=AQ$4),IF(ISBLANK(Tbl_ResidentData[[#This Row],[Discharge '[mmm-yyyy']]]),TRUE,(Tbl_ResidentData[[#This Row],[Discharge '[mmm-yyyy']]]&gt;=AQ$4)))))</f>
        <v>-</v>
      </c>
      <c r="AR100" s="122" t="str">
        <f ca="1">IF(AR$4&gt;NOW(),"-",IF(ISBLANK(Tbl_ResidentData[[#This Row],[Enrollment '[mmm-yyyy']]]),"-",AND((Tbl_ResidentData[[#This Row],[Enrollment '[mmm-yyyy']]]&lt;=AR$4),IF(ISBLANK(Tbl_ResidentData[[#This Row],[Discharge '[mmm-yyyy']]]),TRUE,(Tbl_ResidentData[[#This Row],[Discharge '[mmm-yyyy']]]&gt;=AR$4)))))</f>
        <v>-</v>
      </c>
      <c r="AS10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0" s="120" t="b">
        <f ca="1">AND(Tbl_ResidentData[[#This Row],[PRN Med Started]]&lt;&gt;"",Tbl_ResidentData[[#This Row],[PRN Med Started]]&lt;=NOW(),Tbl_ResidentData[[#This Row],[PRN Med Started]]&lt;=AS$4,OR(Tbl_ResidentData[[#This Row],[PRN Med Discontinued]]&gt;AS$4,ISBLANK(Tbl_ResidentData[[#This Row],[PRN Med Discontinued]])))</f>
        <v>0</v>
      </c>
      <c r="BR100" s="121" t="b">
        <f ca="1">AND(Tbl_ResidentData[[#This Row],[PRN Med Started]]&lt;&gt;"",Tbl_ResidentData[[#This Row],[PRN Med Started]]&lt;=NOW(),Tbl_ResidentData[[#This Row],[PRN Med Started]]&lt;=AT$4,OR(Tbl_ResidentData[[#This Row],[PRN Med Discontinued]]&gt;AT$4,ISBLANK(Tbl_ResidentData[[#This Row],[PRN Med Discontinued]])))</f>
        <v>0</v>
      </c>
      <c r="BS100" s="121" t="b">
        <f ca="1">AND(Tbl_ResidentData[[#This Row],[PRN Med Started]]&lt;&gt;"",Tbl_ResidentData[[#This Row],[PRN Med Started]]&lt;=NOW(),Tbl_ResidentData[[#This Row],[PRN Med Started]]&lt;=AU$4,OR(Tbl_ResidentData[[#This Row],[PRN Med Discontinued]]&gt;AU$4,ISBLANK(Tbl_ResidentData[[#This Row],[PRN Med Discontinued]])))</f>
        <v>0</v>
      </c>
      <c r="BT100" s="121" t="b">
        <f ca="1">AND(Tbl_ResidentData[[#This Row],[PRN Med Started]]&lt;&gt;"",Tbl_ResidentData[[#This Row],[PRN Med Started]]&lt;=NOW(),Tbl_ResidentData[[#This Row],[PRN Med Started]]&lt;=AV$4,OR(Tbl_ResidentData[[#This Row],[PRN Med Discontinued]]&gt;AV$4,ISBLANK(Tbl_ResidentData[[#This Row],[PRN Med Discontinued]])))</f>
        <v>0</v>
      </c>
      <c r="BU100" s="121" t="b">
        <f ca="1">AND(Tbl_ResidentData[[#This Row],[PRN Med Started]]&lt;&gt;"",Tbl_ResidentData[[#This Row],[PRN Med Started]]&lt;=NOW(),Tbl_ResidentData[[#This Row],[PRN Med Started]]&lt;=AW$4,OR(Tbl_ResidentData[[#This Row],[PRN Med Discontinued]]&gt;AW$4,ISBLANK(Tbl_ResidentData[[#This Row],[PRN Med Discontinued]])))</f>
        <v>0</v>
      </c>
      <c r="BV100" s="121" t="b">
        <f ca="1">AND(Tbl_ResidentData[[#This Row],[PRN Med Started]]&lt;&gt;"",Tbl_ResidentData[[#This Row],[PRN Med Started]]&lt;=NOW(),Tbl_ResidentData[[#This Row],[PRN Med Started]]&lt;=AX$4,OR(Tbl_ResidentData[[#This Row],[PRN Med Discontinued]]&gt;AX$4,ISBLANK(Tbl_ResidentData[[#This Row],[PRN Med Discontinued]])))</f>
        <v>0</v>
      </c>
      <c r="BW100" s="121" t="b">
        <f ca="1">AND(Tbl_ResidentData[[#This Row],[PRN Med Started]]&lt;&gt;"",Tbl_ResidentData[[#This Row],[PRN Med Started]]&lt;=NOW(),Tbl_ResidentData[[#This Row],[PRN Med Started]]&lt;=AY$4,OR(Tbl_ResidentData[[#This Row],[PRN Med Discontinued]]&gt;AY$4,ISBLANK(Tbl_ResidentData[[#This Row],[PRN Med Discontinued]])))</f>
        <v>0</v>
      </c>
      <c r="BX100" s="121" t="b">
        <f ca="1">AND(Tbl_ResidentData[[#This Row],[PRN Med Started]]&lt;&gt;"",Tbl_ResidentData[[#This Row],[PRN Med Started]]&lt;=NOW(),Tbl_ResidentData[[#This Row],[PRN Med Started]]&lt;=AZ$4,OR(Tbl_ResidentData[[#This Row],[PRN Med Discontinued]]&gt;AZ$4,ISBLANK(Tbl_ResidentData[[#This Row],[PRN Med Discontinued]])))</f>
        <v>0</v>
      </c>
      <c r="BY100" s="121" t="b">
        <f ca="1">AND(Tbl_ResidentData[[#This Row],[PRN Med Started]]&lt;&gt;"",Tbl_ResidentData[[#This Row],[PRN Med Started]]&lt;=NOW(),Tbl_ResidentData[[#This Row],[PRN Med Started]]&lt;=BA$4,OR(Tbl_ResidentData[[#This Row],[PRN Med Discontinued]]&gt;BA$4,ISBLANK(Tbl_ResidentData[[#This Row],[PRN Med Discontinued]])))</f>
        <v>0</v>
      </c>
      <c r="BZ100" s="121" t="b">
        <f ca="1">AND(Tbl_ResidentData[[#This Row],[PRN Med Started]]&lt;&gt;"",Tbl_ResidentData[[#This Row],[PRN Med Started]]&lt;=NOW(),Tbl_ResidentData[[#This Row],[PRN Med Started]]&lt;=BB$4,OR(Tbl_ResidentData[[#This Row],[PRN Med Discontinued]]&gt;BB$4,ISBLANK(Tbl_ResidentData[[#This Row],[PRN Med Discontinued]])))</f>
        <v>0</v>
      </c>
      <c r="CA100" s="121" t="b">
        <f ca="1">AND(Tbl_ResidentData[[#This Row],[PRN Med Started]]&lt;&gt;"",Tbl_ResidentData[[#This Row],[PRN Med Started]]&lt;=NOW(),Tbl_ResidentData[[#This Row],[PRN Med Started]]&lt;=BC$4,OR(Tbl_ResidentData[[#This Row],[PRN Med Discontinued]]&gt;BC$4,ISBLANK(Tbl_ResidentData[[#This Row],[PRN Med Discontinued]])))</f>
        <v>0</v>
      </c>
      <c r="CB100" s="121" t="b">
        <f ca="1">AND(Tbl_ResidentData[[#This Row],[PRN Med Started]]&lt;&gt;"",Tbl_ResidentData[[#This Row],[PRN Med Started]]&lt;=NOW(),Tbl_ResidentData[[#This Row],[PRN Med Started]]&lt;=BD$4,OR(Tbl_ResidentData[[#This Row],[PRN Med Discontinued]]&gt;BD$4,ISBLANK(Tbl_ResidentData[[#This Row],[PRN Med Discontinued]])))</f>
        <v>0</v>
      </c>
      <c r="CC100" s="121" t="b">
        <f ca="1">AND(Tbl_ResidentData[[#This Row],[PRN Med Started]]&lt;&gt;"",Tbl_ResidentData[[#This Row],[PRN Med Started]]&lt;=NOW(),Tbl_ResidentData[[#This Row],[PRN Med Started]]&lt;=BE$4,OR(Tbl_ResidentData[[#This Row],[PRN Med Discontinued]]&gt;BE$4,ISBLANK(Tbl_ResidentData[[#This Row],[PRN Med Discontinued]])))</f>
        <v>0</v>
      </c>
      <c r="CD100" s="121" t="b">
        <f ca="1">AND(Tbl_ResidentData[[#This Row],[PRN Med Started]]&lt;&gt;"",Tbl_ResidentData[[#This Row],[PRN Med Started]]&lt;=NOW(),Tbl_ResidentData[[#This Row],[PRN Med Started]]&lt;=BF$4,OR(Tbl_ResidentData[[#This Row],[PRN Med Discontinued]]&gt;BF$4,ISBLANK(Tbl_ResidentData[[#This Row],[PRN Med Discontinued]])))</f>
        <v>0</v>
      </c>
      <c r="CE100" s="121" t="b">
        <f ca="1">AND(Tbl_ResidentData[[#This Row],[PRN Med Started]]&lt;&gt;"",Tbl_ResidentData[[#This Row],[PRN Med Started]]&lt;=NOW(),Tbl_ResidentData[[#This Row],[PRN Med Started]]&lt;=BG$4,OR(Tbl_ResidentData[[#This Row],[PRN Med Discontinued]]&gt;BG$4,ISBLANK(Tbl_ResidentData[[#This Row],[PRN Med Discontinued]])))</f>
        <v>0</v>
      </c>
      <c r="CF100" s="121" t="b">
        <f ca="1">AND(Tbl_ResidentData[[#This Row],[PRN Med Started]]&lt;&gt;"",Tbl_ResidentData[[#This Row],[PRN Med Started]]&lt;=NOW(),Tbl_ResidentData[[#This Row],[PRN Med Started]]&lt;=BH$4,OR(Tbl_ResidentData[[#This Row],[PRN Med Discontinued]]&gt;BH$4,ISBLANK(Tbl_ResidentData[[#This Row],[PRN Med Discontinued]])))</f>
        <v>0</v>
      </c>
      <c r="CG100" s="121" t="b">
        <f ca="1">AND(Tbl_ResidentData[[#This Row],[PRN Med Started]]&lt;&gt;"",Tbl_ResidentData[[#This Row],[PRN Med Started]]&lt;=NOW(),Tbl_ResidentData[[#This Row],[PRN Med Started]]&lt;=BI$4,OR(Tbl_ResidentData[[#This Row],[PRN Med Discontinued]]&gt;BI$4,ISBLANK(Tbl_ResidentData[[#This Row],[PRN Med Discontinued]])))</f>
        <v>0</v>
      </c>
      <c r="CH100" s="121" t="b">
        <f ca="1">AND(Tbl_ResidentData[[#This Row],[PRN Med Started]]&lt;&gt;"",Tbl_ResidentData[[#This Row],[PRN Med Started]]&lt;=NOW(),Tbl_ResidentData[[#This Row],[PRN Med Started]]&lt;=BJ$4,OR(Tbl_ResidentData[[#This Row],[PRN Med Discontinued]]&gt;BJ$4,ISBLANK(Tbl_ResidentData[[#This Row],[PRN Med Discontinued]])))</f>
        <v>0</v>
      </c>
      <c r="CI100" s="121" t="b">
        <f ca="1">AND(Tbl_ResidentData[[#This Row],[PRN Med Started]]&lt;&gt;"",Tbl_ResidentData[[#This Row],[PRN Med Started]]&lt;=NOW(),Tbl_ResidentData[[#This Row],[PRN Med Started]]&lt;=BK$4,OR(Tbl_ResidentData[[#This Row],[PRN Med Discontinued]]&gt;BK$4,ISBLANK(Tbl_ResidentData[[#This Row],[PRN Med Discontinued]])))</f>
        <v>0</v>
      </c>
      <c r="CJ100" s="121" t="b">
        <f ca="1">AND(Tbl_ResidentData[[#This Row],[PRN Med Started]]&lt;&gt;"",Tbl_ResidentData[[#This Row],[PRN Med Started]]&lt;=NOW(),Tbl_ResidentData[[#This Row],[PRN Med Started]]&lt;=BL$4,OR(Tbl_ResidentData[[#This Row],[PRN Med Discontinued]]&gt;BL$4,ISBLANK(Tbl_ResidentData[[#This Row],[PRN Med Discontinued]])))</f>
        <v>0</v>
      </c>
      <c r="CK100" s="121" t="b">
        <f ca="1">AND(Tbl_ResidentData[[#This Row],[PRN Med Started]]&lt;&gt;"",Tbl_ResidentData[[#This Row],[PRN Med Started]]&lt;=NOW(),Tbl_ResidentData[[#This Row],[PRN Med Started]]&lt;=BM$4,OR(Tbl_ResidentData[[#This Row],[PRN Med Discontinued]]&gt;BM$4,ISBLANK(Tbl_ResidentData[[#This Row],[PRN Med Discontinued]])))</f>
        <v>0</v>
      </c>
      <c r="CL100" s="121" t="b">
        <f ca="1">AND(Tbl_ResidentData[[#This Row],[PRN Med Started]]&lt;&gt;"",Tbl_ResidentData[[#This Row],[PRN Med Started]]&lt;=NOW(),Tbl_ResidentData[[#This Row],[PRN Med Started]]&lt;=BN$4,OR(Tbl_ResidentData[[#This Row],[PRN Med Discontinued]]&gt;BN$4,ISBLANK(Tbl_ResidentData[[#This Row],[PRN Med Discontinued]])))</f>
        <v>0</v>
      </c>
      <c r="CM100" s="121" t="b">
        <f ca="1">AND(Tbl_ResidentData[[#This Row],[PRN Med Started]]&lt;&gt;"",Tbl_ResidentData[[#This Row],[PRN Med Started]]&lt;=NOW(),Tbl_ResidentData[[#This Row],[PRN Med Started]]&lt;=BO$4,OR(Tbl_ResidentData[[#This Row],[PRN Med Discontinued]]&gt;BO$4,ISBLANK(Tbl_ResidentData[[#This Row],[PRN Med Discontinued]])))</f>
        <v>0</v>
      </c>
      <c r="CN100" s="122" t="b">
        <f ca="1">AND(Tbl_ResidentData[[#This Row],[PRN Med Started]]&lt;&gt;"",Tbl_ResidentData[[#This Row],[PRN Med Started]]&lt;=NOW(),Tbl_ResidentData[[#This Row],[PRN Med Started]]&lt;=BP$4,OR(Tbl_ResidentData[[#This Row],[PRN Med Discontinued]]&gt;BP$4,ISBLANK(Tbl_ResidentData[[#This Row],[PRN Med Discontinued]])))</f>
        <v>0</v>
      </c>
      <c r="CO100" s="120">
        <f ca="1">IF(OR(Tbl_ResidentData[[#This Row],[S1]]=TRUE,Tbl_ResidentData[[#This Row],[P1]]=TRUE),1,0)</f>
        <v>0</v>
      </c>
      <c r="CP100" s="121">
        <f ca="1">IF(OR(Tbl_ResidentData[[#This Row],[S2]]=TRUE,Tbl_ResidentData[[#This Row],[P2]]=TRUE),1,0)</f>
        <v>0</v>
      </c>
      <c r="CQ100" s="121">
        <f ca="1">IF(OR(Tbl_ResidentData[[#This Row],[S3]]=TRUE,Tbl_ResidentData[[#This Row],[P3]]=TRUE),1,0)</f>
        <v>0</v>
      </c>
      <c r="CR100" s="120">
        <f ca="1">IF(OR(Tbl_ResidentData[[#This Row],[S4]]=TRUE,Tbl_ResidentData[[#This Row],[P4]]=TRUE),1,0)</f>
        <v>0</v>
      </c>
      <c r="CS100" s="120">
        <f ca="1">IF(OR(Tbl_ResidentData[[#This Row],[S5]]=TRUE,Tbl_ResidentData[[#This Row],[P5]]=TRUE),1,0)</f>
        <v>0</v>
      </c>
      <c r="CT100" s="120">
        <f ca="1">IF(OR(Tbl_ResidentData[[#This Row],[S6]]=TRUE,Tbl_ResidentData[[#This Row],[P6]]=TRUE),1,0)</f>
        <v>0</v>
      </c>
      <c r="CU100" s="120">
        <f ca="1">IF(OR(Tbl_ResidentData[[#This Row],[S7]]=TRUE,Tbl_ResidentData[[#This Row],[P7]]=TRUE),1,0)</f>
        <v>0</v>
      </c>
      <c r="CV100" s="120">
        <f ca="1">IF(OR(Tbl_ResidentData[[#This Row],[S8]]=TRUE,Tbl_ResidentData[[#This Row],[P8]]=TRUE),1,0)</f>
        <v>0</v>
      </c>
      <c r="CW100" s="120">
        <f ca="1">IF(OR(Tbl_ResidentData[[#This Row],[S9]]=TRUE,Tbl_ResidentData[[#This Row],[P9]]=TRUE),1,0)</f>
        <v>0</v>
      </c>
      <c r="CX100" s="120">
        <f ca="1">IF(OR(Tbl_ResidentData[[#This Row],[S10]]=TRUE,Tbl_ResidentData[[#This Row],[P10]]=TRUE),1,0)</f>
        <v>0</v>
      </c>
      <c r="CY100" s="120">
        <f ca="1">IF(OR(Tbl_ResidentData[[#This Row],[S11]]=TRUE,Tbl_ResidentData[[#This Row],[P11]]=TRUE),1,0)</f>
        <v>0</v>
      </c>
      <c r="CZ100" s="120">
        <f ca="1">IF(OR(Tbl_ResidentData[[#This Row],[S12]]=TRUE,Tbl_ResidentData[[#This Row],[P12]]=TRUE),1,0)</f>
        <v>0</v>
      </c>
      <c r="DA100" s="120">
        <f ca="1">IF(OR(Tbl_ResidentData[[#This Row],[S13]]=TRUE,Tbl_ResidentData[[#This Row],[P13]]=TRUE),1,0)</f>
        <v>0</v>
      </c>
      <c r="DB100" s="120">
        <f ca="1">IF(OR(Tbl_ResidentData[[#This Row],[S14]]=TRUE,Tbl_ResidentData[[#This Row],[P14]]=TRUE),1,0)</f>
        <v>0</v>
      </c>
      <c r="DC100" s="120">
        <f ca="1">IF(OR(Tbl_ResidentData[[#This Row],[S15]]=TRUE,Tbl_ResidentData[[#This Row],[P15]]=TRUE),1,0)</f>
        <v>0</v>
      </c>
      <c r="DD100" s="120">
        <f ca="1">IF(OR(Tbl_ResidentData[[#This Row],[S16]]=TRUE,Tbl_ResidentData[[#This Row],[P16]]=TRUE),1,0)</f>
        <v>0</v>
      </c>
      <c r="DE100" s="120">
        <f ca="1">IF(OR(Tbl_ResidentData[[#This Row],[S17]]=TRUE,Tbl_ResidentData[[#This Row],[P17]]=TRUE),1,0)</f>
        <v>0</v>
      </c>
      <c r="DF100" s="120">
        <f ca="1">IF(OR(Tbl_ResidentData[[#This Row],[S18]]=TRUE,Tbl_ResidentData[[#This Row],[P18]]=TRUE),1,0)</f>
        <v>0</v>
      </c>
      <c r="DG100" s="120">
        <f ca="1">IF(OR(Tbl_ResidentData[[#This Row],[S19]]=TRUE,Tbl_ResidentData[[#This Row],[P19]]=TRUE),1,0)</f>
        <v>0</v>
      </c>
      <c r="DH100" s="120">
        <f ca="1">IF(OR(Tbl_ResidentData[[#This Row],[S20]]=TRUE,Tbl_ResidentData[[#This Row],[P20]]=TRUE),1,0)</f>
        <v>0</v>
      </c>
      <c r="DI100" s="120">
        <f ca="1">IF(OR(Tbl_ResidentData[[#This Row],[S21]]=TRUE,Tbl_ResidentData[[#This Row],[P21]]=TRUE),1,0)</f>
        <v>0</v>
      </c>
      <c r="DJ100" s="120">
        <f ca="1">IF(OR(Tbl_ResidentData[[#This Row],[S22]]=TRUE,Tbl_ResidentData[[#This Row],[P22]]=TRUE),1,0)</f>
        <v>0</v>
      </c>
      <c r="DK100" s="120">
        <f ca="1">IF(OR(Tbl_ResidentData[[#This Row],[S23]]=TRUE,Tbl_ResidentData[[#This Row],[P23]]=TRUE),1,0)</f>
        <v>0</v>
      </c>
      <c r="DL100" s="120">
        <f ca="1">IF(OR(Tbl_ResidentData[[#This Row],[S24]]=TRUE,Tbl_ResidentData[[#This Row],[P24]]=TRUE),1,0)</f>
        <v>0</v>
      </c>
      <c r="DM100" s="123" t="str">
        <f ca="1">IFERROR(INDEX($CO$4:$DL$4,MATCH(TRUE,INDEX((Tbl_ResidentData[[#This Row],[Over1]:[Over24]]&lt;&gt;0),0),0)),"")</f>
        <v/>
      </c>
      <c r="DN100" s="133" t="str">
        <f>IFERROR(INDEX(Tbl_PDSAData[Last DRT],MATCH(Tbl_ResidentData[Resident Name '[last, first']],Tbl_PDSAData[Resident Name (last, first)],0)),"")</f>
        <v/>
      </c>
      <c r="DO100" s="222" t="str">
        <f>IFERROR(INDEX(Tbl_PDSAData[Last MR],MATCH(Tbl_ResidentData[Resident Name '[last, first']],Tbl_PDSAData[Resident Name (last, first)],0)),"")</f>
        <v/>
      </c>
    </row>
    <row r="101" spans="1:119" x14ac:dyDescent="0.25">
      <c r="A101" s="179"/>
      <c r="B101" s="180"/>
      <c r="C101" s="180"/>
      <c r="D101" s="218"/>
      <c r="E101" s="179"/>
      <c r="F101" s="181"/>
      <c r="G101" s="181"/>
      <c r="H101" s="375"/>
      <c r="I101" s="185"/>
      <c r="J101" s="387"/>
      <c r="K101" s="178"/>
      <c r="L101" s="388"/>
      <c r="M101" s="185"/>
      <c r="N101" s="386"/>
      <c r="O101" s="178"/>
      <c r="P101" s="388"/>
      <c r="Q101" s="395"/>
      <c r="R101" s="396"/>
      <c r="S101" s="131" t="str">
        <f>IF(ISBLANK(Tbl_ResidentData[[#This Row],[Discharge '[mmm-yyyy']]]),IF(ISBLANK(Tbl_ResidentData[[#This Row],[Enrollment '[mmm-yyyy']]]),"","In Care Home"),"Discharged")</f>
        <v/>
      </c>
      <c r="T101" s="119" t="str">
        <f>IF(ISBLANK(Tbl_ResidentData[[#This Row],[Diagnosis (RAI)]]),IF(ISBLANK(Tbl_ResidentData[[#This Row],[Resident Name '[last, first']]]),"",0),IF(Tbl_ResidentData[[#This Row],[Diagnosis (RAI)]]="Other (see clinical notes)",0,1))</f>
        <v/>
      </c>
      <c r="U101" s="120" t="str">
        <f ca="1">IF(U$4&gt;NOW(),"-",IF(ISBLANK(Tbl_ResidentData[[#This Row],[Enrollment '[mmm-yyyy']]]),"-",AND((Tbl_ResidentData[[#This Row],[Enrollment '[mmm-yyyy']]]&lt;=U$4),IF(ISBLANK(Tbl_ResidentData[[#This Row],[Discharge '[mmm-yyyy']]]),TRUE,(Tbl_ResidentData[[#This Row],[Discharge '[mmm-yyyy']]]&gt;=U$4)))))</f>
        <v>-</v>
      </c>
      <c r="V101" s="121" t="str">
        <f ca="1">IF(V$4&gt;NOW(),"-",IF(ISBLANK(Tbl_ResidentData[[#This Row],[Enrollment '[mmm-yyyy']]]),"-",AND((Tbl_ResidentData[[#This Row],[Enrollment '[mmm-yyyy']]]&lt;=V$4),IF(ISBLANK(Tbl_ResidentData[[#This Row],[Discharge '[mmm-yyyy']]]),TRUE,(Tbl_ResidentData[[#This Row],[Discharge '[mmm-yyyy']]]&gt;=V$4)))))</f>
        <v>-</v>
      </c>
      <c r="W101" s="121" t="str">
        <f ca="1">IF(W$4&gt;NOW(),"-",IF(ISBLANK(Tbl_ResidentData[[#This Row],[Enrollment '[mmm-yyyy']]]),"-",AND((Tbl_ResidentData[[#This Row],[Enrollment '[mmm-yyyy']]]&lt;=W$4),IF(ISBLANK(Tbl_ResidentData[[#This Row],[Discharge '[mmm-yyyy']]]),TRUE,(Tbl_ResidentData[[#This Row],[Discharge '[mmm-yyyy']]]&gt;=W$4)))))</f>
        <v>-</v>
      </c>
      <c r="X101" s="121" t="str">
        <f ca="1">IF(X$4&gt;NOW(),"-",IF(ISBLANK(Tbl_ResidentData[[#This Row],[Enrollment '[mmm-yyyy']]]),"-",AND((Tbl_ResidentData[[#This Row],[Enrollment '[mmm-yyyy']]]&lt;=X$4),IF(ISBLANK(Tbl_ResidentData[[#This Row],[Discharge '[mmm-yyyy']]]),TRUE,(Tbl_ResidentData[[#This Row],[Discharge '[mmm-yyyy']]]&gt;=X$4)))))</f>
        <v>-</v>
      </c>
      <c r="Y101" s="121" t="str">
        <f ca="1">IF(Y$4&gt;NOW(),"-",IF(ISBLANK(Tbl_ResidentData[[#This Row],[Enrollment '[mmm-yyyy']]]),"-",AND((Tbl_ResidentData[[#This Row],[Enrollment '[mmm-yyyy']]]&lt;=Y$4),IF(ISBLANK(Tbl_ResidentData[[#This Row],[Discharge '[mmm-yyyy']]]),TRUE,(Tbl_ResidentData[[#This Row],[Discharge '[mmm-yyyy']]]&gt;=Y$4)))))</f>
        <v>-</v>
      </c>
      <c r="Z101" s="121" t="str">
        <f ca="1">IF(Z$4&gt;NOW(),"-",IF(ISBLANK(Tbl_ResidentData[[#This Row],[Enrollment '[mmm-yyyy']]]),"-",AND((Tbl_ResidentData[[#This Row],[Enrollment '[mmm-yyyy']]]&lt;=Z$4),IF(ISBLANK(Tbl_ResidentData[[#This Row],[Discharge '[mmm-yyyy']]]),TRUE,(Tbl_ResidentData[[#This Row],[Discharge '[mmm-yyyy']]]&gt;=Z$4)))))</f>
        <v>-</v>
      </c>
      <c r="AA101" s="121" t="str">
        <f ca="1">IF(AA$4&gt;NOW(),"-",IF(ISBLANK(Tbl_ResidentData[[#This Row],[Enrollment '[mmm-yyyy']]]),"-",AND((Tbl_ResidentData[[#This Row],[Enrollment '[mmm-yyyy']]]&lt;=AA$4),IF(ISBLANK(Tbl_ResidentData[[#This Row],[Discharge '[mmm-yyyy']]]),TRUE,(Tbl_ResidentData[[#This Row],[Discharge '[mmm-yyyy']]]&gt;=AA$4)))))</f>
        <v>-</v>
      </c>
      <c r="AB101" s="121" t="str">
        <f ca="1">IF(AB$4&gt;NOW(),"-",IF(ISBLANK(Tbl_ResidentData[[#This Row],[Enrollment '[mmm-yyyy']]]),"-",AND((Tbl_ResidentData[[#This Row],[Enrollment '[mmm-yyyy']]]&lt;=AB$4),IF(ISBLANK(Tbl_ResidentData[[#This Row],[Discharge '[mmm-yyyy']]]),TRUE,(Tbl_ResidentData[[#This Row],[Discharge '[mmm-yyyy']]]&gt;=AB$4)))))</f>
        <v>-</v>
      </c>
      <c r="AC101" s="121" t="str">
        <f ca="1">IF(AC$4&gt;NOW(),"-",IF(ISBLANK(Tbl_ResidentData[[#This Row],[Enrollment '[mmm-yyyy']]]),"-",AND((Tbl_ResidentData[[#This Row],[Enrollment '[mmm-yyyy']]]&lt;=AC$4),IF(ISBLANK(Tbl_ResidentData[[#This Row],[Discharge '[mmm-yyyy']]]),TRUE,(Tbl_ResidentData[[#This Row],[Discharge '[mmm-yyyy']]]&gt;=AC$4)))))</f>
        <v>-</v>
      </c>
      <c r="AD101" s="121" t="str">
        <f ca="1">IF(AD$4&gt;NOW(),"-",IF(ISBLANK(Tbl_ResidentData[[#This Row],[Enrollment '[mmm-yyyy']]]),"-",AND((Tbl_ResidentData[[#This Row],[Enrollment '[mmm-yyyy']]]&lt;=AD$4),IF(ISBLANK(Tbl_ResidentData[[#This Row],[Discharge '[mmm-yyyy']]]),TRUE,(Tbl_ResidentData[[#This Row],[Discharge '[mmm-yyyy']]]&gt;=AD$4)))))</f>
        <v>-</v>
      </c>
      <c r="AE101" s="121" t="str">
        <f ca="1">IF(AE$4&gt;NOW(),"-",IF(ISBLANK(Tbl_ResidentData[[#This Row],[Enrollment '[mmm-yyyy']]]),"-",AND((Tbl_ResidentData[[#This Row],[Enrollment '[mmm-yyyy']]]&lt;=AE$4),IF(ISBLANK(Tbl_ResidentData[[#This Row],[Discharge '[mmm-yyyy']]]),TRUE,(Tbl_ResidentData[[#This Row],[Discharge '[mmm-yyyy']]]&gt;=AE$4)))))</f>
        <v>-</v>
      </c>
      <c r="AF101" s="121" t="str">
        <f ca="1">IF(AF$4&gt;NOW(),"-",IF(ISBLANK(Tbl_ResidentData[[#This Row],[Enrollment '[mmm-yyyy']]]),"-",AND((Tbl_ResidentData[[#This Row],[Enrollment '[mmm-yyyy']]]&lt;=AF$4),IF(ISBLANK(Tbl_ResidentData[[#This Row],[Discharge '[mmm-yyyy']]]),TRUE,(Tbl_ResidentData[[#This Row],[Discharge '[mmm-yyyy']]]&gt;=AF$4)))))</f>
        <v>-</v>
      </c>
      <c r="AG101" s="121" t="str">
        <f ca="1">IF(AG$4&gt;NOW(),"-",IF(ISBLANK(Tbl_ResidentData[[#This Row],[Enrollment '[mmm-yyyy']]]),"-",AND((Tbl_ResidentData[[#This Row],[Enrollment '[mmm-yyyy']]]&lt;=AG$4),IF(ISBLANK(Tbl_ResidentData[[#This Row],[Discharge '[mmm-yyyy']]]),TRUE,(Tbl_ResidentData[[#This Row],[Discharge '[mmm-yyyy']]]&gt;=AG$4)))))</f>
        <v>-</v>
      </c>
      <c r="AH101" s="121" t="str">
        <f ca="1">IF(AH$4&gt;NOW(),"-",IF(ISBLANK(Tbl_ResidentData[[#This Row],[Enrollment '[mmm-yyyy']]]),"-",AND((Tbl_ResidentData[[#This Row],[Enrollment '[mmm-yyyy']]]&lt;=AH$4),IF(ISBLANK(Tbl_ResidentData[[#This Row],[Discharge '[mmm-yyyy']]]),TRUE,(Tbl_ResidentData[[#This Row],[Discharge '[mmm-yyyy']]]&gt;=AH$4)))))</f>
        <v>-</v>
      </c>
      <c r="AI101" s="121" t="str">
        <f ca="1">IF(AI$4&gt;NOW(),"-",IF(ISBLANK(Tbl_ResidentData[[#This Row],[Enrollment '[mmm-yyyy']]]),"-",AND((Tbl_ResidentData[[#This Row],[Enrollment '[mmm-yyyy']]]&lt;=AI$4),IF(ISBLANK(Tbl_ResidentData[[#This Row],[Discharge '[mmm-yyyy']]]),TRUE,(Tbl_ResidentData[[#This Row],[Discharge '[mmm-yyyy']]]&gt;=AI$4)))))</f>
        <v>-</v>
      </c>
      <c r="AJ101" s="121" t="str">
        <f ca="1">IF(AJ$4&gt;NOW(),"-",IF(ISBLANK(Tbl_ResidentData[[#This Row],[Enrollment '[mmm-yyyy']]]),"-",AND((Tbl_ResidentData[[#This Row],[Enrollment '[mmm-yyyy']]]&lt;=AJ$4),IF(ISBLANK(Tbl_ResidentData[[#This Row],[Discharge '[mmm-yyyy']]]),TRUE,(Tbl_ResidentData[[#This Row],[Discharge '[mmm-yyyy']]]&gt;=AJ$4)))))</f>
        <v>-</v>
      </c>
      <c r="AK101" s="121" t="str">
        <f ca="1">IF(AK$4&gt;NOW(),"-",IF(ISBLANK(Tbl_ResidentData[[#This Row],[Enrollment '[mmm-yyyy']]]),"-",AND((Tbl_ResidentData[[#This Row],[Enrollment '[mmm-yyyy']]]&lt;=AK$4),IF(ISBLANK(Tbl_ResidentData[[#This Row],[Discharge '[mmm-yyyy']]]),TRUE,(Tbl_ResidentData[[#This Row],[Discharge '[mmm-yyyy']]]&gt;=AK$4)))))</f>
        <v>-</v>
      </c>
      <c r="AL101" s="121" t="str">
        <f ca="1">IF(AL$4&gt;NOW(),"-",IF(ISBLANK(Tbl_ResidentData[[#This Row],[Enrollment '[mmm-yyyy']]]),"-",AND((Tbl_ResidentData[[#This Row],[Enrollment '[mmm-yyyy']]]&lt;=AL$4),IF(ISBLANK(Tbl_ResidentData[[#This Row],[Discharge '[mmm-yyyy']]]),TRUE,(Tbl_ResidentData[[#This Row],[Discharge '[mmm-yyyy']]]&gt;=AL$4)))))</f>
        <v>-</v>
      </c>
      <c r="AM101" s="121" t="str">
        <f ca="1">IF(AM$4&gt;NOW(),"-",IF(ISBLANK(Tbl_ResidentData[[#This Row],[Enrollment '[mmm-yyyy']]]),"-",AND((Tbl_ResidentData[[#This Row],[Enrollment '[mmm-yyyy']]]&lt;=AM$4),IF(ISBLANK(Tbl_ResidentData[[#This Row],[Discharge '[mmm-yyyy']]]),TRUE,(Tbl_ResidentData[[#This Row],[Discharge '[mmm-yyyy']]]&gt;=AM$4)))))</f>
        <v>-</v>
      </c>
      <c r="AN101" s="121" t="str">
        <f ca="1">IF(AN$4&gt;NOW(),"-",IF(ISBLANK(Tbl_ResidentData[[#This Row],[Enrollment '[mmm-yyyy']]]),"-",AND((Tbl_ResidentData[[#This Row],[Enrollment '[mmm-yyyy']]]&lt;=AN$4),IF(ISBLANK(Tbl_ResidentData[[#This Row],[Discharge '[mmm-yyyy']]]),TRUE,(Tbl_ResidentData[[#This Row],[Discharge '[mmm-yyyy']]]&gt;=AN$4)))))</f>
        <v>-</v>
      </c>
      <c r="AO101" s="121" t="str">
        <f ca="1">IF(AO$4&gt;NOW(),"-",IF(ISBLANK(Tbl_ResidentData[[#This Row],[Enrollment '[mmm-yyyy']]]),"-",AND((Tbl_ResidentData[[#This Row],[Enrollment '[mmm-yyyy']]]&lt;=AO$4),IF(ISBLANK(Tbl_ResidentData[[#This Row],[Discharge '[mmm-yyyy']]]),TRUE,(Tbl_ResidentData[[#This Row],[Discharge '[mmm-yyyy']]]&gt;=AO$4)))))</f>
        <v>-</v>
      </c>
      <c r="AP101" s="121" t="str">
        <f ca="1">IF(AP$4&gt;NOW(),"-",IF(ISBLANK(Tbl_ResidentData[[#This Row],[Enrollment '[mmm-yyyy']]]),"-",AND((Tbl_ResidentData[[#This Row],[Enrollment '[mmm-yyyy']]]&lt;=AP$4),IF(ISBLANK(Tbl_ResidentData[[#This Row],[Discharge '[mmm-yyyy']]]),TRUE,(Tbl_ResidentData[[#This Row],[Discharge '[mmm-yyyy']]]&gt;=AP$4)))))</f>
        <v>-</v>
      </c>
      <c r="AQ101" s="121" t="str">
        <f ca="1">IF(AQ$4&gt;NOW(),"-",IF(ISBLANK(Tbl_ResidentData[[#This Row],[Enrollment '[mmm-yyyy']]]),"-",AND((Tbl_ResidentData[[#This Row],[Enrollment '[mmm-yyyy']]]&lt;=AQ$4),IF(ISBLANK(Tbl_ResidentData[[#This Row],[Discharge '[mmm-yyyy']]]),TRUE,(Tbl_ResidentData[[#This Row],[Discharge '[mmm-yyyy']]]&gt;=AQ$4)))))</f>
        <v>-</v>
      </c>
      <c r="AR101" s="122" t="str">
        <f ca="1">IF(AR$4&gt;NOW(),"-",IF(ISBLANK(Tbl_ResidentData[[#This Row],[Enrollment '[mmm-yyyy']]]),"-",AND((Tbl_ResidentData[[#This Row],[Enrollment '[mmm-yyyy']]]&lt;=AR$4),IF(ISBLANK(Tbl_ResidentData[[#This Row],[Discharge '[mmm-yyyy']]]),TRUE,(Tbl_ResidentData[[#This Row],[Discharge '[mmm-yyyy']]]&gt;=AR$4)))))</f>
        <v>-</v>
      </c>
      <c r="AS10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1" s="120" t="b">
        <f ca="1">AND(Tbl_ResidentData[[#This Row],[PRN Med Started]]&lt;&gt;"",Tbl_ResidentData[[#This Row],[PRN Med Started]]&lt;=NOW(),Tbl_ResidentData[[#This Row],[PRN Med Started]]&lt;=AS$4,OR(Tbl_ResidentData[[#This Row],[PRN Med Discontinued]]&gt;AS$4,ISBLANK(Tbl_ResidentData[[#This Row],[PRN Med Discontinued]])))</f>
        <v>0</v>
      </c>
      <c r="BR101" s="121" t="b">
        <f ca="1">AND(Tbl_ResidentData[[#This Row],[PRN Med Started]]&lt;&gt;"",Tbl_ResidentData[[#This Row],[PRN Med Started]]&lt;=NOW(),Tbl_ResidentData[[#This Row],[PRN Med Started]]&lt;=AT$4,OR(Tbl_ResidentData[[#This Row],[PRN Med Discontinued]]&gt;AT$4,ISBLANK(Tbl_ResidentData[[#This Row],[PRN Med Discontinued]])))</f>
        <v>0</v>
      </c>
      <c r="BS101" s="121" t="b">
        <f ca="1">AND(Tbl_ResidentData[[#This Row],[PRN Med Started]]&lt;&gt;"",Tbl_ResidentData[[#This Row],[PRN Med Started]]&lt;=NOW(),Tbl_ResidentData[[#This Row],[PRN Med Started]]&lt;=AU$4,OR(Tbl_ResidentData[[#This Row],[PRN Med Discontinued]]&gt;AU$4,ISBLANK(Tbl_ResidentData[[#This Row],[PRN Med Discontinued]])))</f>
        <v>0</v>
      </c>
      <c r="BT101" s="121" t="b">
        <f ca="1">AND(Tbl_ResidentData[[#This Row],[PRN Med Started]]&lt;&gt;"",Tbl_ResidentData[[#This Row],[PRN Med Started]]&lt;=NOW(),Tbl_ResidentData[[#This Row],[PRN Med Started]]&lt;=AV$4,OR(Tbl_ResidentData[[#This Row],[PRN Med Discontinued]]&gt;AV$4,ISBLANK(Tbl_ResidentData[[#This Row],[PRN Med Discontinued]])))</f>
        <v>0</v>
      </c>
      <c r="BU101" s="121" t="b">
        <f ca="1">AND(Tbl_ResidentData[[#This Row],[PRN Med Started]]&lt;&gt;"",Tbl_ResidentData[[#This Row],[PRN Med Started]]&lt;=NOW(),Tbl_ResidentData[[#This Row],[PRN Med Started]]&lt;=AW$4,OR(Tbl_ResidentData[[#This Row],[PRN Med Discontinued]]&gt;AW$4,ISBLANK(Tbl_ResidentData[[#This Row],[PRN Med Discontinued]])))</f>
        <v>0</v>
      </c>
      <c r="BV101" s="121" t="b">
        <f ca="1">AND(Tbl_ResidentData[[#This Row],[PRN Med Started]]&lt;&gt;"",Tbl_ResidentData[[#This Row],[PRN Med Started]]&lt;=NOW(),Tbl_ResidentData[[#This Row],[PRN Med Started]]&lt;=AX$4,OR(Tbl_ResidentData[[#This Row],[PRN Med Discontinued]]&gt;AX$4,ISBLANK(Tbl_ResidentData[[#This Row],[PRN Med Discontinued]])))</f>
        <v>0</v>
      </c>
      <c r="BW101" s="121" t="b">
        <f ca="1">AND(Tbl_ResidentData[[#This Row],[PRN Med Started]]&lt;&gt;"",Tbl_ResidentData[[#This Row],[PRN Med Started]]&lt;=NOW(),Tbl_ResidentData[[#This Row],[PRN Med Started]]&lt;=AY$4,OR(Tbl_ResidentData[[#This Row],[PRN Med Discontinued]]&gt;AY$4,ISBLANK(Tbl_ResidentData[[#This Row],[PRN Med Discontinued]])))</f>
        <v>0</v>
      </c>
      <c r="BX101" s="121" t="b">
        <f ca="1">AND(Tbl_ResidentData[[#This Row],[PRN Med Started]]&lt;&gt;"",Tbl_ResidentData[[#This Row],[PRN Med Started]]&lt;=NOW(),Tbl_ResidentData[[#This Row],[PRN Med Started]]&lt;=AZ$4,OR(Tbl_ResidentData[[#This Row],[PRN Med Discontinued]]&gt;AZ$4,ISBLANK(Tbl_ResidentData[[#This Row],[PRN Med Discontinued]])))</f>
        <v>0</v>
      </c>
      <c r="BY101" s="121" t="b">
        <f ca="1">AND(Tbl_ResidentData[[#This Row],[PRN Med Started]]&lt;&gt;"",Tbl_ResidentData[[#This Row],[PRN Med Started]]&lt;=NOW(),Tbl_ResidentData[[#This Row],[PRN Med Started]]&lt;=BA$4,OR(Tbl_ResidentData[[#This Row],[PRN Med Discontinued]]&gt;BA$4,ISBLANK(Tbl_ResidentData[[#This Row],[PRN Med Discontinued]])))</f>
        <v>0</v>
      </c>
      <c r="BZ101" s="121" t="b">
        <f ca="1">AND(Tbl_ResidentData[[#This Row],[PRN Med Started]]&lt;&gt;"",Tbl_ResidentData[[#This Row],[PRN Med Started]]&lt;=NOW(),Tbl_ResidentData[[#This Row],[PRN Med Started]]&lt;=BB$4,OR(Tbl_ResidentData[[#This Row],[PRN Med Discontinued]]&gt;BB$4,ISBLANK(Tbl_ResidentData[[#This Row],[PRN Med Discontinued]])))</f>
        <v>0</v>
      </c>
      <c r="CA101" s="121" t="b">
        <f ca="1">AND(Tbl_ResidentData[[#This Row],[PRN Med Started]]&lt;&gt;"",Tbl_ResidentData[[#This Row],[PRN Med Started]]&lt;=NOW(),Tbl_ResidentData[[#This Row],[PRN Med Started]]&lt;=BC$4,OR(Tbl_ResidentData[[#This Row],[PRN Med Discontinued]]&gt;BC$4,ISBLANK(Tbl_ResidentData[[#This Row],[PRN Med Discontinued]])))</f>
        <v>0</v>
      </c>
      <c r="CB101" s="121" t="b">
        <f ca="1">AND(Tbl_ResidentData[[#This Row],[PRN Med Started]]&lt;&gt;"",Tbl_ResidentData[[#This Row],[PRN Med Started]]&lt;=NOW(),Tbl_ResidentData[[#This Row],[PRN Med Started]]&lt;=BD$4,OR(Tbl_ResidentData[[#This Row],[PRN Med Discontinued]]&gt;BD$4,ISBLANK(Tbl_ResidentData[[#This Row],[PRN Med Discontinued]])))</f>
        <v>0</v>
      </c>
      <c r="CC101" s="121" t="b">
        <f ca="1">AND(Tbl_ResidentData[[#This Row],[PRN Med Started]]&lt;&gt;"",Tbl_ResidentData[[#This Row],[PRN Med Started]]&lt;=NOW(),Tbl_ResidentData[[#This Row],[PRN Med Started]]&lt;=BE$4,OR(Tbl_ResidentData[[#This Row],[PRN Med Discontinued]]&gt;BE$4,ISBLANK(Tbl_ResidentData[[#This Row],[PRN Med Discontinued]])))</f>
        <v>0</v>
      </c>
      <c r="CD101" s="121" t="b">
        <f ca="1">AND(Tbl_ResidentData[[#This Row],[PRN Med Started]]&lt;&gt;"",Tbl_ResidentData[[#This Row],[PRN Med Started]]&lt;=NOW(),Tbl_ResidentData[[#This Row],[PRN Med Started]]&lt;=BF$4,OR(Tbl_ResidentData[[#This Row],[PRN Med Discontinued]]&gt;BF$4,ISBLANK(Tbl_ResidentData[[#This Row],[PRN Med Discontinued]])))</f>
        <v>0</v>
      </c>
      <c r="CE101" s="121" t="b">
        <f ca="1">AND(Tbl_ResidentData[[#This Row],[PRN Med Started]]&lt;&gt;"",Tbl_ResidentData[[#This Row],[PRN Med Started]]&lt;=NOW(),Tbl_ResidentData[[#This Row],[PRN Med Started]]&lt;=BG$4,OR(Tbl_ResidentData[[#This Row],[PRN Med Discontinued]]&gt;BG$4,ISBLANK(Tbl_ResidentData[[#This Row],[PRN Med Discontinued]])))</f>
        <v>0</v>
      </c>
      <c r="CF101" s="121" t="b">
        <f ca="1">AND(Tbl_ResidentData[[#This Row],[PRN Med Started]]&lt;&gt;"",Tbl_ResidentData[[#This Row],[PRN Med Started]]&lt;=NOW(),Tbl_ResidentData[[#This Row],[PRN Med Started]]&lt;=BH$4,OR(Tbl_ResidentData[[#This Row],[PRN Med Discontinued]]&gt;BH$4,ISBLANK(Tbl_ResidentData[[#This Row],[PRN Med Discontinued]])))</f>
        <v>0</v>
      </c>
      <c r="CG101" s="121" t="b">
        <f ca="1">AND(Tbl_ResidentData[[#This Row],[PRN Med Started]]&lt;&gt;"",Tbl_ResidentData[[#This Row],[PRN Med Started]]&lt;=NOW(),Tbl_ResidentData[[#This Row],[PRN Med Started]]&lt;=BI$4,OR(Tbl_ResidentData[[#This Row],[PRN Med Discontinued]]&gt;BI$4,ISBLANK(Tbl_ResidentData[[#This Row],[PRN Med Discontinued]])))</f>
        <v>0</v>
      </c>
      <c r="CH101" s="121" t="b">
        <f ca="1">AND(Tbl_ResidentData[[#This Row],[PRN Med Started]]&lt;&gt;"",Tbl_ResidentData[[#This Row],[PRN Med Started]]&lt;=NOW(),Tbl_ResidentData[[#This Row],[PRN Med Started]]&lt;=BJ$4,OR(Tbl_ResidentData[[#This Row],[PRN Med Discontinued]]&gt;BJ$4,ISBLANK(Tbl_ResidentData[[#This Row],[PRN Med Discontinued]])))</f>
        <v>0</v>
      </c>
      <c r="CI101" s="121" t="b">
        <f ca="1">AND(Tbl_ResidentData[[#This Row],[PRN Med Started]]&lt;&gt;"",Tbl_ResidentData[[#This Row],[PRN Med Started]]&lt;=NOW(),Tbl_ResidentData[[#This Row],[PRN Med Started]]&lt;=BK$4,OR(Tbl_ResidentData[[#This Row],[PRN Med Discontinued]]&gt;BK$4,ISBLANK(Tbl_ResidentData[[#This Row],[PRN Med Discontinued]])))</f>
        <v>0</v>
      </c>
      <c r="CJ101" s="121" t="b">
        <f ca="1">AND(Tbl_ResidentData[[#This Row],[PRN Med Started]]&lt;&gt;"",Tbl_ResidentData[[#This Row],[PRN Med Started]]&lt;=NOW(),Tbl_ResidentData[[#This Row],[PRN Med Started]]&lt;=BL$4,OR(Tbl_ResidentData[[#This Row],[PRN Med Discontinued]]&gt;BL$4,ISBLANK(Tbl_ResidentData[[#This Row],[PRN Med Discontinued]])))</f>
        <v>0</v>
      </c>
      <c r="CK101" s="121" t="b">
        <f ca="1">AND(Tbl_ResidentData[[#This Row],[PRN Med Started]]&lt;&gt;"",Tbl_ResidentData[[#This Row],[PRN Med Started]]&lt;=NOW(),Tbl_ResidentData[[#This Row],[PRN Med Started]]&lt;=BM$4,OR(Tbl_ResidentData[[#This Row],[PRN Med Discontinued]]&gt;BM$4,ISBLANK(Tbl_ResidentData[[#This Row],[PRN Med Discontinued]])))</f>
        <v>0</v>
      </c>
      <c r="CL101" s="121" t="b">
        <f ca="1">AND(Tbl_ResidentData[[#This Row],[PRN Med Started]]&lt;&gt;"",Tbl_ResidentData[[#This Row],[PRN Med Started]]&lt;=NOW(),Tbl_ResidentData[[#This Row],[PRN Med Started]]&lt;=BN$4,OR(Tbl_ResidentData[[#This Row],[PRN Med Discontinued]]&gt;BN$4,ISBLANK(Tbl_ResidentData[[#This Row],[PRN Med Discontinued]])))</f>
        <v>0</v>
      </c>
      <c r="CM101" s="121" t="b">
        <f ca="1">AND(Tbl_ResidentData[[#This Row],[PRN Med Started]]&lt;&gt;"",Tbl_ResidentData[[#This Row],[PRN Med Started]]&lt;=NOW(),Tbl_ResidentData[[#This Row],[PRN Med Started]]&lt;=BO$4,OR(Tbl_ResidentData[[#This Row],[PRN Med Discontinued]]&gt;BO$4,ISBLANK(Tbl_ResidentData[[#This Row],[PRN Med Discontinued]])))</f>
        <v>0</v>
      </c>
      <c r="CN101" s="122" t="b">
        <f ca="1">AND(Tbl_ResidentData[[#This Row],[PRN Med Started]]&lt;&gt;"",Tbl_ResidentData[[#This Row],[PRN Med Started]]&lt;=NOW(),Tbl_ResidentData[[#This Row],[PRN Med Started]]&lt;=BP$4,OR(Tbl_ResidentData[[#This Row],[PRN Med Discontinued]]&gt;BP$4,ISBLANK(Tbl_ResidentData[[#This Row],[PRN Med Discontinued]])))</f>
        <v>0</v>
      </c>
      <c r="CO101" s="120">
        <f ca="1">IF(OR(Tbl_ResidentData[[#This Row],[S1]]=TRUE,Tbl_ResidentData[[#This Row],[P1]]=TRUE),1,0)</f>
        <v>0</v>
      </c>
      <c r="CP101" s="121">
        <f ca="1">IF(OR(Tbl_ResidentData[[#This Row],[S2]]=TRUE,Tbl_ResidentData[[#This Row],[P2]]=TRUE),1,0)</f>
        <v>0</v>
      </c>
      <c r="CQ101" s="121">
        <f ca="1">IF(OR(Tbl_ResidentData[[#This Row],[S3]]=TRUE,Tbl_ResidentData[[#This Row],[P3]]=TRUE),1,0)</f>
        <v>0</v>
      </c>
      <c r="CR101" s="120">
        <f ca="1">IF(OR(Tbl_ResidentData[[#This Row],[S4]]=TRUE,Tbl_ResidentData[[#This Row],[P4]]=TRUE),1,0)</f>
        <v>0</v>
      </c>
      <c r="CS101" s="120">
        <f ca="1">IF(OR(Tbl_ResidentData[[#This Row],[S5]]=TRUE,Tbl_ResidentData[[#This Row],[P5]]=TRUE),1,0)</f>
        <v>0</v>
      </c>
      <c r="CT101" s="120">
        <f ca="1">IF(OR(Tbl_ResidentData[[#This Row],[S6]]=TRUE,Tbl_ResidentData[[#This Row],[P6]]=TRUE),1,0)</f>
        <v>0</v>
      </c>
      <c r="CU101" s="120">
        <f ca="1">IF(OR(Tbl_ResidentData[[#This Row],[S7]]=TRUE,Tbl_ResidentData[[#This Row],[P7]]=TRUE),1,0)</f>
        <v>0</v>
      </c>
      <c r="CV101" s="120">
        <f ca="1">IF(OR(Tbl_ResidentData[[#This Row],[S8]]=TRUE,Tbl_ResidentData[[#This Row],[P8]]=TRUE),1,0)</f>
        <v>0</v>
      </c>
      <c r="CW101" s="120">
        <f ca="1">IF(OR(Tbl_ResidentData[[#This Row],[S9]]=TRUE,Tbl_ResidentData[[#This Row],[P9]]=TRUE),1,0)</f>
        <v>0</v>
      </c>
      <c r="CX101" s="120">
        <f ca="1">IF(OR(Tbl_ResidentData[[#This Row],[S10]]=TRUE,Tbl_ResidentData[[#This Row],[P10]]=TRUE),1,0)</f>
        <v>0</v>
      </c>
      <c r="CY101" s="120">
        <f ca="1">IF(OR(Tbl_ResidentData[[#This Row],[S11]]=TRUE,Tbl_ResidentData[[#This Row],[P11]]=TRUE),1,0)</f>
        <v>0</v>
      </c>
      <c r="CZ101" s="120">
        <f ca="1">IF(OR(Tbl_ResidentData[[#This Row],[S12]]=TRUE,Tbl_ResidentData[[#This Row],[P12]]=TRUE),1,0)</f>
        <v>0</v>
      </c>
      <c r="DA101" s="120">
        <f ca="1">IF(OR(Tbl_ResidentData[[#This Row],[S13]]=TRUE,Tbl_ResidentData[[#This Row],[P13]]=TRUE),1,0)</f>
        <v>0</v>
      </c>
      <c r="DB101" s="120">
        <f ca="1">IF(OR(Tbl_ResidentData[[#This Row],[S14]]=TRUE,Tbl_ResidentData[[#This Row],[P14]]=TRUE),1,0)</f>
        <v>0</v>
      </c>
      <c r="DC101" s="120">
        <f ca="1">IF(OR(Tbl_ResidentData[[#This Row],[S15]]=TRUE,Tbl_ResidentData[[#This Row],[P15]]=TRUE),1,0)</f>
        <v>0</v>
      </c>
      <c r="DD101" s="120">
        <f ca="1">IF(OR(Tbl_ResidentData[[#This Row],[S16]]=TRUE,Tbl_ResidentData[[#This Row],[P16]]=TRUE),1,0)</f>
        <v>0</v>
      </c>
      <c r="DE101" s="120">
        <f ca="1">IF(OR(Tbl_ResidentData[[#This Row],[S17]]=TRUE,Tbl_ResidentData[[#This Row],[P17]]=TRUE),1,0)</f>
        <v>0</v>
      </c>
      <c r="DF101" s="120">
        <f ca="1">IF(OR(Tbl_ResidentData[[#This Row],[S18]]=TRUE,Tbl_ResidentData[[#This Row],[P18]]=TRUE),1,0)</f>
        <v>0</v>
      </c>
      <c r="DG101" s="120">
        <f ca="1">IF(OR(Tbl_ResidentData[[#This Row],[S19]]=TRUE,Tbl_ResidentData[[#This Row],[P19]]=TRUE),1,0)</f>
        <v>0</v>
      </c>
      <c r="DH101" s="120">
        <f ca="1">IF(OR(Tbl_ResidentData[[#This Row],[S20]]=TRUE,Tbl_ResidentData[[#This Row],[P20]]=TRUE),1,0)</f>
        <v>0</v>
      </c>
      <c r="DI101" s="120">
        <f ca="1">IF(OR(Tbl_ResidentData[[#This Row],[S21]]=TRUE,Tbl_ResidentData[[#This Row],[P21]]=TRUE),1,0)</f>
        <v>0</v>
      </c>
      <c r="DJ101" s="120">
        <f ca="1">IF(OR(Tbl_ResidentData[[#This Row],[S22]]=TRUE,Tbl_ResidentData[[#This Row],[P22]]=TRUE),1,0)</f>
        <v>0</v>
      </c>
      <c r="DK101" s="120">
        <f ca="1">IF(OR(Tbl_ResidentData[[#This Row],[S23]]=TRUE,Tbl_ResidentData[[#This Row],[P23]]=TRUE),1,0)</f>
        <v>0</v>
      </c>
      <c r="DL101" s="120">
        <f ca="1">IF(OR(Tbl_ResidentData[[#This Row],[S24]]=TRUE,Tbl_ResidentData[[#This Row],[P24]]=TRUE),1,0)</f>
        <v>0</v>
      </c>
      <c r="DM101" s="123" t="str">
        <f ca="1">IFERROR(INDEX($CO$4:$DL$4,MATCH(TRUE,INDEX((Tbl_ResidentData[[#This Row],[Over1]:[Over24]]&lt;&gt;0),0),0)),"")</f>
        <v/>
      </c>
      <c r="DN101" s="133" t="str">
        <f>IFERROR(INDEX(Tbl_PDSAData[Last DRT],MATCH(Tbl_ResidentData[Resident Name '[last, first']],Tbl_PDSAData[Resident Name (last, first)],0)),"")</f>
        <v/>
      </c>
      <c r="DO101" s="222" t="str">
        <f>IFERROR(INDEX(Tbl_PDSAData[Last MR],MATCH(Tbl_ResidentData[Resident Name '[last, first']],Tbl_PDSAData[Resident Name (last, first)],0)),"")</f>
        <v/>
      </c>
    </row>
    <row r="102" spans="1:119" x14ac:dyDescent="0.25">
      <c r="A102" s="179"/>
      <c r="B102" s="180"/>
      <c r="C102" s="180"/>
      <c r="D102" s="218"/>
      <c r="E102" s="179"/>
      <c r="F102" s="181"/>
      <c r="G102" s="181"/>
      <c r="H102" s="182"/>
      <c r="I102" s="185"/>
      <c r="J102" s="387"/>
      <c r="K102" s="178"/>
      <c r="L102" s="388"/>
      <c r="M102" s="185"/>
      <c r="N102" s="386"/>
      <c r="O102" s="178"/>
      <c r="P102" s="388"/>
      <c r="Q102" s="394"/>
      <c r="R102" s="388"/>
      <c r="S102" s="131" t="str">
        <f>IF(ISBLANK(Tbl_ResidentData[[#This Row],[Discharge '[mmm-yyyy']]]),IF(ISBLANK(Tbl_ResidentData[[#This Row],[Enrollment '[mmm-yyyy']]]),"","In Care Home"),"Discharged")</f>
        <v/>
      </c>
      <c r="T102" s="119" t="str">
        <f>IF(ISBLANK(Tbl_ResidentData[[#This Row],[Diagnosis (RAI)]]),IF(ISBLANK(Tbl_ResidentData[[#This Row],[Resident Name '[last, first']]]),"",0),IF(Tbl_ResidentData[[#This Row],[Diagnosis (RAI)]]="Other (see clinical notes)",0,1))</f>
        <v/>
      </c>
      <c r="U102" s="120" t="str">
        <f ca="1">IF(U$4&gt;NOW(),"-",IF(ISBLANK(Tbl_ResidentData[[#This Row],[Enrollment '[mmm-yyyy']]]),"-",AND((Tbl_ResidentData[[#This Row],[Enrollment '[mmm-yyyy']]]&lt;=U$4),IF(ISBLANK(Tbl_ResidentData[[#This Row],[Discharge '[mmm-yyyy']]]),TRUE,(Tbl_ResidentData[[#This Row],[Discharge '[mmm-yyyy']]]&gt;=U$4)))))</f>
        <v>-</v>
      </c>
      <c r="V102" s="121" t="str">
        <f ca="1">IF(V$4&gt;NOW(),"-",IF(ISBLANK(Tbl_ResidentData[[#This Row],[Enrollment '[mmm-yyyy']]]),"-",AND((Tbl_ResidentData[[#This Row],[Enrollment '[mmm-yyyy']]]&lt;=V$4),IF(ISBLANK(Tbl_ResidentData[[#This Row],[Discharge '[mmm-yyyy']]]),TRUE,(Tbl_ResidentData[[#This Row],[Discharge '[mmm-yyyy']]]&gt;=V$4)))))</f>
        <v>-</v>
      </c>
      <c r="W102" s="121" t="str">
        <f ca="1">IF(W$4&gt;NOW(),"-",IF(ISBLANK(Tbl_ResidentData[[#This Row],[Enrollment '[mmm-yyyy']]]),"-",AND((Tbl_ResidentData[[#This Row],[Enrollment '[mmm-yyyy']]]&lt;=W$4),IF(ISBLANK(Tbl_ResidentData[[#This Row],[Discharge '[mmm-yyyy']]]),TRUE,(Tbl_ResidentData[[#This Row],[Discharge '[mmm-yyyy']]]&gt;=W$4)))))</f>
        <v>-</v>
      </c>
      <c r="X102" s="121" t="str">
        <f ca="1">IF(X$4&gt;NOW(),"-",IF(ISBLANK(Tbl_ResidentData[[#This Row],[Enrollment '[mmm-yyyy']]]),"-",AND((Tbl_ResidentData[[#This Row],[Enrollment '[mmm-yyyy']]]&lt;=X$4),IF(ISBLANK(Tbl_ResidentData[[#This Row],[Discharge '[mmm-yyyy']]]),TRUE,(Tbl_ResidentData[[#This Row],[Discharge '[mmm-yyyy']]]&gt;=X$4)))))</f>
        <v>-</v>
      </c>
      <c r="Y102" s="121" t="str">
        <f ca="1">IF(Y$4&gt;NOW(),"-",IF(ISBLANK(Tbl_ResidentData[[#This Row],[Enrollment '[mmm-yyyy']]]),"-",AND((Tbl_ResidentData[[#This Row],[Enrollment '[mmm-yyyy']]]&lt;=Y$4),IF(ISBLANK(Tbl_ResidentData[[#This Row],[Discharge '[mmm-yyyy']]]),TRUE,(Tbl_ResidentData[[#This Row],[Discharge '[mmm-yyyy']]]&gt;=Y$4)))))</f>
        <v>-</v>
      </c>
      <c r="Z102" s="121" t="str">
        <f ca="1">IF(Z$4&gt;NOW(),"-",IF(ISBLANK(Tbl_ResidentData[[#This Row],[Enrollment '[mmm-yyyy']]]),"-",AND((Tbl_ResidentData[[#This Row],[Enrollment '[mmm-yyyy']]]&lt;=Z$4),IF(ISBLANK(Tbl_ResidentData[[#This Row],[Discharge '[mmm-yyyy']]]),TRUE,(Tbl_ResidentData[[#This Row],[Discharge '[mmm-yyyy']]]&gt;=Z$4)))))</f>
        <v>-</v>
      </c>
      <c r="AA102" s="121" t="str">
        <f ca="1">IF(AA$4&gt;NOW(),"-",IF(ISBLANK(Tbl_ResidentData[[#This Row],[Enrollment '[mmm-yyyy']]]),"-",AND((Tbl_ResidentData[[#This Row],[Enrollment '[mmm-yyyy']]]&lt;=AA$4),IF(ISBLANK(Tbl_ResidentData[[#This Row],[Discharge '[mmm-yyyy']]]),TRUE,(Tbl_ResidentData[[#This Row],[Discharge '[mmm-yyyy']]]&gt;=AA$4)))))</f>
        <v>-</v>
      </c>
      <c r="AB102" s="121" t="str">
        <f ca="1">IF(AB$4&gt;NOW(),"-",IF(ISBLANK(Tbl_ResidentData[[#This Row],[Enrollment '[mmm-yyyy']]]),"-",AND((Tbl_ResidentData[[#This Row],[Enrollment '[mmm-yyyy']]]&lt;=AB$4),IF(ISBLANK(Tbl_ResidentData[[#This Row],[Discharge '[mmm-yyyy']]]),TRUE,(Tbl_ResidentData[[#This Row],[Discharge '[mmm-yyyy']]]&gt;=AB$4)))))</f>
        <v>-</v>
      </c>
      <c r="AC102" s="121" t="str">
        <f ca="1">IF(AC$4&gt;NOW(),"-",IF(ISBLANK(Tbl_ResidentData[[#This Row],[Enrollment '[mmm-yyyy']]]),"-",AND((Tbl_ResidentData[[#This Row],[Enrollment '[mmm-yyyy']]]&lt;=AC$4),IF(ISBLANK(Tbl_ResidentData[[#This Row],[Discharge '[mmm-yyyy']]]),TRUE,(Tbl_ResidentData[[#This Row],[Discharge '[mmm-yyyy']]]&gt;=AC$4)))))</f>
        <v>-</v>
      </c>
      <c r="AD102" s="121" t="str">
        <f ca="1">IF(AD$4&gt;NOW(),"-",IF(ISBLANK(Tbl_ResidentData[[#This Row],[Enrollment '[mmm-yyyy']]]),"-",AND((Tbl_ResidentData[[#This Row],[Enrollment '[mmm-yyyy']]]&lt;=AD$4),IF(ISBLANK(Tbl_ResidentData[[#This Row],[Discharge '[mmm-yyyy']]]),TRUE,(Tbl_ResidentData[[#This Row],[Discharge '[mmm-yyyy']]]&gt;=AD$4)))))</f>
        <v>-</v>
      </c>
      <c r="AE102" s="121" t="str">
        <f ca="1">IF(AE$4&gt;NOW(),"-",IF(ISBLANK(Tbl_ResidentData[[#This Row],[Enrollment '[mmm-yyyy']]]),"-",AND((Tbl_ResidentData[[#This Row],[Enrollment '[mmm-yyyy']]]&lt;=AE$4),IF(ISBLANK(Tbl_ResidentData[[#This Row],[Discharge '[mmm-yyyy']]]),TRUE,(Tbl_ResidentData[[#This Row],[Discharge '[mmm-yyyy']]]&gt;=AE$4)))))</f>
        <v>-</v>
      </c>
      <c r="AF102" s="121" t="str">
        <f ca="1">IF(AF$4&gt;NOW(),"-",IF(ISBLANK(Tbl_ResidentData[[#This Row],[Enrollment '[mmm-yyyy']]]),"-",AND((Tbl_ResidentData[[#This Row],[Enrollment '[mmm-yyyy']]]&lt;=AF$4),IF(ISBLANK(Tbl_ResidentData[[#This Row],[Discharge '[mmm-yyyy']]]),TRUE,(Tbl_ResidentData[[#This Row],[Discharge '[mmm-yyyy']]]&gt;=AF$4)))))</f>
        <v>-</v>
      </c>
      <c r="AG102" s="121" t="str">
        <f ca="1">IF(AG$4&gt;NOW(),"-",IF(ISBLANK(Tbl_ResidentData[[#This Row],[Enrollment '[mmm-yyyy']]]),"-",AND((Tbl_ResidentData[[#This Row],[Enrollment '[mmm-yyyy']]]&lt;=AG$4),IF(ISBLANK(Tbl_ResidentData[[#This Row],[Discharge '[mmm-yyyy']]]),TRUE,(Tbl_ResidentData[[#This Row],[Discharge '[mmm-yyyy']]]&gt;=AG$4)))))</f>
        <v>-</v>
      </c>
      <c r="AH102" s="121" t="str">
        <f ca="1">IF(AH$4&gt;NOW(),"-",IF(ISBLANK(Tbl_ResidentData[[#This Row],[Enrollment '[mmm-yyyy']]]),"-",AND((Tbl_ResidentData[[#This Row],[Enrollment '[mmm-yyyy']]]&lt;=AH$4),IF(ISBLANK(Tbl_ResidentData[[#This Row],[Discharge '[mmm-yyyy']]]),TRUE,(Tbl_ResidentData[[#This Row],[Discharge '[mmm-yyyy']]]&gt;=AH$4)))))</f>
        <v>-</v>
      </c>
      <c r="AI102" s="121" t="str">
        <f ca="1">IF(AI$4&gt;NOW(),"-",IF(ISBLANK(Tbl_ResidentData[[#This Row],[Enrollment '[mmm-yyyy']]]),"-",AND((Tbl_ResidentData[[#This Row],[Enrollment '[mmm-yyyy']]]&lt;=AI$4),IF(ISBLANK(Tbl_ResidentData[[#This Row],[Discharge '[mmm-yyyy']]]),TRUE,(Tbl_ResidentData[[#This Row],[Discharge '[mmm-yyyy']]]&gt;=AI$4)))))</f>
        <v>-</v>
      </c>
      <c r="AJ102" s="121" t="str">
        <f ca="1">IF(AJ$4&gt;NOW(),"-",IF(ISBLANK(Tbl_ResidentData[[#This Row],[Enrollment '[mmm-yyyy']]]),"-",AND((Tbl_ResidentData[[#This Row],[Enrollment '[mmm-yyyy']]]&lt;=AJ$4),IF(ISBLANK(Tbl_ResidentData[[#This Row],[Discharge '[mmm-yyyy']]]),TRUE,(Tbl_ResidentData[[#This Row],[Discharge '[mmm-yyyy']]]&gt;=AJ$4)))))</f>
        <v>-</v>
      </c>
      <c r="AK102" s="121" t="str">
        <f ca="1">IF(AK$4&gt;NOW(),"-",IF(ISBLANK(Tbl_ResidentData[[#This Row],[Enrollment '[mmm-yyyy']]]),"-",AND((Tbl_ResidentData[[#This Row],[Enrollment '[mmm-yyyy']]]&lt;=AK$4),IF(ISBLANK(Tbl_ResidentData[[#This Row],[Discharge '[mmm-yyyy']]]),TRUE,(Tbl_ResidentData[[#This Row],[Discharge '[mmm-yyyy']]]&gt;=AK$4)))))</f>
        <v>-</v>
      </c>
      <c r="AL102" s="121" t="str">
        <f ca="1">IF(AL$4&gt;NOW(),"-",IF(ISBLANK(Tbl_ResidentData[[#This Row],[Enrollment '[mmm-yyyy']]]),"-",AND((Tbl_ResidentData[[#This Row],[Enrollment '[mmm-yyyy']]]&lt;=AL$4),IF(ISBLANK(Tbl_ResidentData[[#This Row],[Discharge '[mmm-yyyy']]]),TRUE,(Tbl_ResidentData[[#This Row],[Discharge '[mmm-yyyy']]]&gt;=AL$4)))))</f>
        <v>-</v>
      </c>
      <c r="AM102" s="121" t="str">
        <f ca="1">IF(AM$4&gt;NOW(),"-",IF(ISBLANK(Tbl_ResidentData[[#This Row],[Enrollment '[mmm-yyyy']]]),"-",AND((Tbl_ResidentData[[#This Row],[Enrollment '[mmm-yyyy']]]&lt;=AM$4),IF(ISBLANK(Tbl_ResidentData[[#This Row],[Discharge '[mmm-yyyy']]]),TRUE,(Tbl_ResidentData[[#This Row],[Discharge '[mmm-yyyy']]]&gt;=AM$4)))))</f>
        <v>-</v>
      </c>
      <c r="AN102" s="121" t="str">
        <f ca="1">IF(AN$4&gt;NOW(),"-",IF(ISBLANK(Tbl_ResidentData[[#This Row],[Enrollment '[mmm-yyyy']]]),"-",AND((Tbl_ResidentData[[#This Row],[Enrollment '[mmm-yyyy']]]&lt;=AN$4),IF(ISBLANK(Tbl_ResidentData[[#This Row],[Discharge '[mmm-yyyy']]]),TRUE,(Tbl_ResidentData[[#This Row],[Discharge '[mmm-yyyy']]]&gt;=AN$4)))))</f>
        <v>-</v>
      </c>
      <c r="AO102" s="121" t="str">
        <f ca="1">IF(AO$4&gt;NOW(),"-",IF(ISBLANK(Tbl_ResidentData[[#This Row],[Enrollment '[mmm-yyyy']]]),"-",AND((Tbl_ResidentData[[#This Row],[Enrollment '[mmm-yyyy']]]&lt;=AO$4),IF(ISBLANK(Tbl_ResidentData[[#This Row],[Discharge '[mmm-yyyy']]]),TRUE,(Tbl_ResidentData[[#This Row],[Discharge '[mmm-yyyy']]]&gt;=AO$4)))))</f>
        <v>-</v>
      </c>
      <c r="AP102" s="121" t="str">
        <f ca="1">IF(AP$4&gt;NOW(),"-",IF(ISBLANK(Tbl_ResidentData[[#This Row],[Enrollment '[mmm-yyyy']]]),"-",AND((Tbl_ResidentData[[#This Row],[Enrollment '[mmm-yyyy']]]&lt;=AP$4),IF(ISBLANK(Tbl_ResidentData[[#This Row],[Discharge '[mmm-yyyy']]]),TRUE,(Tbl_ResidentData[[#This Row],[Discharge '[mmm-yyyy']]]&gt;=AP$4)))))</f>
        <v>-</v>
      </c>
      <c r="AQ102" s="121" t="str">
        <f ca="1">IF(AQ$4&gt;NOW(),"-",IF(ISBLANK(Tbl_ResidentData[[#This Row],[Enrollment '[mmm-yyyy']]]),"-",AND((Tbl_ResidentData[[#This Row],[Enrollment '[mmm-yyyy']]]&lt;=AQ$4),IF(ISBLANK(Tbl_ResidentData[[#This Row],[Discharge '[mmm-yyyy']]]),TRUE,(Tbl_ResidentData[[#This Row],[Discharge '[mmm-yyyy']]]&gt;=AQ$4)))))</f>
        <v>-</v>
      </c>
      <c r="AR102" s="122" t="str">
        <f ca="1">IF(AR$4&gt;NOW(),"-",IF(ISBLANK(Tbl_ResidentData[[#This Row],[Enrollment '[mmm-yyyy']]]),"-",AND((Tbl_ResidentData[[#This Row],[Enrollment '[mmm-yyyy']]]&lt;=AR$4),IF(ISBLANK(Tbl_ResidentData[[#This Row],[Discharge '[mmm-yyyy']]]),TRUE,(Tbl_ResidentData[[#This Row],[Discharge '[mmm-yyyy']]]&gt;=AR$4)))))</f>
        <v>-</v>
      </c>
      <c r="AS10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2" s="120" t="b">
        <f ca="1">AND(Tbl_ResidentData[[#This Row],[PRN Med Started]]&lt;&gt;"",Tbl_ResidentData[[#This Row],[PRN Med Started]]&lt;=NOW(),Tbl_ResidentData[[#This Row],[PRN Med Started]]&lt;=AS$4,OR(Tbl_ResidentData[[#This Row],[PRN Med Discontinued]]&gt;AS$4,ISBLANK(Tbl_ResidentData[[#This Row],[PRN Med Discontinued]])))</f>
        <v>0</v>
      </c>
      <c r="BR102" s="121" t="b">
        <f ca="1">AND(Tbl_ResidentData[[#This Row],[PRN Med Started]]&lt;&gt;"",Tbl_ResidentData[[#This Row],[PRN Med Started]]&lt;=NOW(),Tbl_ResidentData[[#This Row],[PRN Med Started]]&lt;=AT$4,OR(Tbl_ResidentData[[#This Row],[PRN Med Discontinued]]&gt;AT$4,ISBLANK(Tbl_ResidentData[[#This Row],[PRN Med Discontinued]])))</f>
        <v>0</v>
      </c>
      <c r="BS102" s="121" t="b">
        <f ca="1">AND(Tbl_ResidentData[[#This Row],[PRN Med Started]]&lt;&gt;"",Tbl_ResidentData[[#This Row],[PRN Med Started]]&lt;=NOW(),Tbl_ResidentData[[#This Row],[PRN Med Started]]&lt;=AU$4,OR(Tbl_ResidentData[[#This Row],[PRN Med Discontinued]]&gt;AU$4,ISBLANK(Tbl_ResidentData[[#This Row],[PRN Med Discontinued]])))</f>
        <v>0</v>
      </c>
      <c r="BT102" s="121" t="b">
        <f ca="1">AND(Tbl_ResidentData[[#This Row],[PRN Med Started]]&lt;&gt;"",Tbl_ResidentData[[#This Row],[PRN Med Started]]&lt;=NOW(),Tbl_ResidentData[[#This Row],[PRN Med Started]]&lt;=AV$4,OR(Tbl_ResidentData[[#This Row],[PRN Med Discontinued]]&gt;AV$4,ISBLANK(Tbl_ResidentData[[#This Row],[PRN Med Discontinued]])))</f>
        <v>0</v>
      </c>
      <c r="BU102" s="121" t="b">
        <f ca="1">AND(Tbl_ResidentData[[#This Row],[PRN Med Started]]&lt;&gt;"",Tbl_ResidentData[[#This Row],[PRN Med Started]]&lt;=NOW(),Tbl_ResidentData[[#This Row],[PRN Med Started]]&lt;=AW$4,OR(Tbl_ResidentData[[#This Row],[PRN Med Discontinued]]&gt;AW$4,ISBLANK(Tbl_ResidentData[[#This Row],[PRN Med Discontinued]])))</f>
        <v>0</v>
      </c>
      <c r="BV102" s="121" t="b">
        <f ca="1">AND(Tbl_ResidentData[[#This Row],[PRN Med Started]]&lt;&gt;"",Tbl_ResidentData[[#This Row],[PRN Med Started]]&lt;=NOW(),Tbl_ResidentData[[#This Row],[PRN Med Started]]&lt;=AX$4,OR(Tbl_ResidentData[[#This Row],[PRN Med Discontinued]]&gt;AX$4,ISBLANK(Tbl_ResidentData[[#This Row],[PRN Med Discontinued]])))</f>
        <v>0</v>
      </c>
      <c r="BW102" s="121" t="b">
        <f ca="1">AND(Tbl_ResidentData[[#This Row],[PRN Med Started]]&lt;&gt;"",Tbl_ResidentData[[#This Row],[PRN Med Started]]&lt;=NOW(),Tbl_ResidentData[[#This Row],[PRN Med Started]]&lt;=AY$4,OR(Tbl_ResidentData[[#This Row],[PRN Med Discontinued]]&gt;AY$4,ISBLANK(Tbl_ResidentData[[#This Row],[PRN Med Discontinued]])))</f>
        <v>0</v>
      </c>
      <c r="BX102" s="121" t="b">
        <f ca="1">AND(Tbl_ResidentData[[#This Row],[PRN Med Started]]&lt;&gt;"",Tbl_ResidentData[[#This Row],[PRN Med Started]]&lt;=NOW(),Tbl_ResidentData[[#This Row],[PRN Med Started]]&lt;=AZ$4,OR(Tbl_ResidentData[[#This Row],[PRN Med Discontinued]]&gt;AZ$4,ISBLANK(Tbl_ResidentData[[#This Row],[PRN Med Discontinued]])))</f>
        <v>0</v>
      </c>
      <c r="BY102" s="121" t="b">
        <f ca="1">AND(Tbl_ResidentData[[#This Row],[PRN Med Started]]&lt;&gt;"",Tbl_ResidentData[[#This Row],[PRN Med Started]]&lt;=NOW(),Tbl_ResidentData[[#This Row],[PRN Med Started]]&lt;=BA$4,OR(Tbl_ResidentData[[#This Row],[PRN Med Discontinued]]&gt;BA$4,ISBLANK(Tbl_ResidentData[[#This Row],[PRN Med Discontinued]])))</f>
        <v>0</v>
      </c>
      <c r="BZ102" s="121" t="b">
        <f ca="1">AND(Tbl_ResidentData[[#This Row],[PRN Med Started]]&lt;&gt;"",Tbl_ResidentData[[#This Row],[PRN Med Started]]&lt;=NOW(),Tbl_ResidentData[[#This Row],[PRN Med Started]]&lt;=BB$4,OR(Tbl_ResidentData[[#This Row],[PRN Med Discontinued]]&gt;BB$4,ISBLANK(Tbl_ResidentData[[#This Row],[PRN Med Discontinued]])))</f>
        <v>0</v>
      </c>
      <c r="CA102" s="121" t="b">
        <f ca="1">AND(Tbl_ResidentData[[#This Row],[PRN Med Started]]&lt;&gt;"",Tbl_ResidentData[[#This Row],[PRN Med Started]]&lt;=NOW(),Tbl_ResidentData[[#This Row],[PRN Med Started]]&lt;=BC$4,OR(Tbl_ResidentData[[#This Row],[PRN Med Discontinued]]&gt;BC$4,ISBLANK(Tbl_ResidentData[[#This Row],[PRN Med Discontinued]])))</f>
        <v>0</v>
      </c>
      <c r="CB102" s="121" t="b">
        <f ca="1">AND(Tbl_ResidentData[[#This Row],[PRN Med Started]]&lt;&gt;"",Tbl_ResidentData[[#This Row],[PRN Med Started]]&lt;=NOW(),Tbl_ResidentData[[#This Row],[PRN Med Started]]&lt;=BD$4,OR(Tbl_ResidentData[[#This Row],[PRN Med Discontinued]]&gt;BD$4,ISBLANK(Tbl_ResidentData[[#This Row],[PRN Med Discontinued]])))</f>
        <v>0</v>
      </c>
      <c r="CC102" s="121" t="b">
        <f ca="1">AND(Tbl_ResidentData[[#This Row],[PRN Med Started]]&lt;&gt;"",Tbl_ResidentData[[#This Row],[PRN Med Started]]&lt;=NOW(),Tbl_ResidentData[[#This Row],[PRN Med Started]]&lt;=BE$4,OR(Tbl_ResidentData[[#This Row],[PRN Med Discontinued]]&gt;BE$4,ISBLANK(Tbl_ResidentData[[#This Row],[PRN Med Discontinued]])))</f>
        <v>0</v>
      </c>
      <c r="CD102" s="121" t="b">
        <f ca="1">AND(Tbl_ResidentData[[#This Row],[PRN Med Started]]&lt;&gt;"",Tbl_ResidentData[[#This Row],[PRN Med Started]]&lt;=NOW(),Tbl_ResidentData[[#This Row],[PRN Med Started]]&lt;=BF$4,OR(Tbl_ResidentData[[#This Row],[PRN Med Discontinued]]&gt;BF$4,ISBLANK(Tbl_ResidentData[[#This Row],[PRN Med Discontinued]])))</f>
        <v>0</v>
      </c>
      <c r="CE102" s="121" t="b">
        <f ca="1">AND(Tbl_ResidentData[[#This Row],[PRN Med Started]]&lt;&gt;"",Tbl_ResidentData[[#This Row],[PRN Med Started]]&lt;=NOW(),Tbl_ResidentData[[#This Row],[PRN Med Started]]&lt;=BG$4,OR(Tbl_ResidentData[[#This Row],[PRN Med Discontinued]]&gt;BG$4,ISBLANK(Tbl_ResidentData[[#This Row],[PRN Med Discontinued]])))</f>
        <v>0</v>
      </c>
      <c r="CF102" s="121" t="b">
        <f ca="1">AND(Tbl_ResidentData[[#This Row],[PRN Med Started]]&lt;&gt;"",Tbl_ResidentData[[#This Row],[PRN Med Started]]&lt;=NOW(),Tbl_ResidentData[[#This Row],[PRN Med Started]]&lt;=BH$4,OR(Tbl_ResidentData[[#This Row],[PRN Med Discontinued]]&gt;BH$4,ISBLANK(Tbl_ResidentData[[#This Row],[PRN Med Discontinued]])))</f>
        <v>0</v>
      </c>
      <c r="CG102" s="121" t="b">
        <f ca="1">AND(Tbl_ResidentData[[#This Row],[PRN Med Started]]&lt;&gt;"",Tbl_ResidentData[[#This Row],[PRN Med Started]]&lt;=NOW(),Tbl_ResidentData[[#This Row],[PRN Med Started]]&lt;=BI$4,OR(Tbl_ResidentData[[#This Row],[PRN Med Discontinued]]&gt;BI$4,ISBLANK(Tbl_ResidentData[[#This Row],[PRN Med Discontinued]])))</f>
        <v>0</v>
      </c>
      <c r="CH102" s="121" t="b">
        <f ca="1">AND(Tbl_ResidentData[[#This Row],[PRN Med Started]]&lt;&gt;"",Tbl_ResidentData[[#This Row],[PRN Med Started]]&lt;=NOW(),Tbl_ResidentData[[#This Row],[PRN Med Started]]&lt;=BJ$4,OR(Tbl_ResidentData[[#This Row],[PRN Med Discontinued]]&gt;BJ$4,ISBLANK(Tbl_ResidentData[[#This Row],[PRN Med Discontinued]])))</f>
        <v>0</v>
      </c>
      <c r="CI102" s="121" t="b">
        <f ca="1">AND(Tbl_ResidentData[[#This Row],[PRN Med Started]]&lt;&gt;"",Tbl_ResidentData[[#This Row],[PRN Med Started]]&lt;=NOW(),Tbl_ResidentData[[#This Row],[PRN Med Started]]&lt;=BK$4,OR(Tbl_ResidentData[[#This Row],[PRN Med Discontinued]]&gt;BK$4,ISBLANK(Tbl_ResidentData[[#This Row],[PRN Med Discontinued]])))</f>
        <v>0</v>
      </c>
      <c r="CJ102" s="121" t="b">
        <f ca="1">AND(Tbl_ResidentData[[#This Row],[PRN Med Started]]&lt;&gt;"",Tbl_ResidentData[[#This Row],[PRN Med Started]]&lt;=NOW(),Tbl_ResidentData[[#This Row],[PRN Med Started]]&lt;=BL$4,OR(Tbl_ResidentData[[#This Row],[PRN Med Discontinued]]&gt;BL$4,ISBLANK(Tbl_ResidentData[[#This Row],[PRN Med Discontinued]])))</f>
        <v>0</v>
      </c>
      <c r="CK102" s="121" t="b">
        <f ca="1">AND(Tbl_ResidentData[[#This Row],[PRN Med Started]]&lt;&gt;"",Tbl_ResidentData[[#This Row],[PRN Med Started]]&lt;=NOW(),Tbl_ResidentData[[#This Row],[PRN Med Started]]&lt;=BM$4,OR(Tbl_ResidentData[[#This Row],[PRN Med Discontinued]]&gt;BM$4,ISBLANK(Tbl_ResidentData[[#This Row],[PRN Med Discontinued]])))</f>
        <v>0</v>
      </c>
      <c r="CL102" s="121" t="b">
        <f ca="1">AND(Tbl_ResidentData[[#This Row],[PRN Med Started]]&lt;&gt;"",Tbl_ResidentData[[#This Row],[PRN Med Started]]&lt;=NOW(),Tbl_ResidentData[[#This Row],[PRN Med Started]]&lt;=BN$4,OR(Tbl_ResidentData[[#This Row],[PRN Med Discontinued]]&gt;BN$4,ISBLANK(Tbl_ResidentData[[#This Row],[PRN Med Discontinued]])))</f>
        <v>0</v>
      </c>
      <c r="CM102" s="121" t="b">
        <f ca="1">AND(Tbl_ResidentData[[#This Row],[PRN Med Started]]&lt;&gt;"",Tbl_ResidentData[[#This Row],[PRN Med Started]]&lt;=NOW(),Tbl_ResidentData[[#This Row],[PRN Med Started]]&lt;=BO$4,OR(Tbl_ResidentData[[#This Row],[PRN Med Discontinued]]&gt;BO$4,ISBLANK(Tbl_ResidentData[[#This Row],[PRN Med Discontinued]])))</f>
        <v>0</v>
      </c>
      <c r="CN102" s="122" t="b">
        <f ca="1">AND(Tbl_ResidentData[[#This Row],[PRN Med Started]]&lt;&gt;"",Tbl_ResidentData[[#This Row],[PRN Med Started]]&lt;=NOW(),Tbl_ResidentData[[#This Row],[PRN Med Started]]&lt;=BP$4,OR(Tbl_ResidentData[[#This Row],[PRN Med Discontinued]]&gt;BP$4,ISBLANK(Tbl_ResidentData[[#This Row],[PRN Med Discontinued]])))</f>
        <v>0</v>
      </c>
      <c r="CO102" s="120">
        <f ca="1">IF(OR(Tbl_ResidentData[[#This Row],[S1]]=TRUE,Tbl_ResidentData[[#This Row],[P1]]=TRUE),1,0)</f>
        <v>0</v>
      </c>
      <c r="CP102" s="121">
        <f ca="1">IF(OR(Tbl_ResidentData[[#This Row],[S2]]=TRUE,Tbl_ResidentData[[#This Row],[P2]]=TRUE),1,0)</f>
        <v>0</v>
      </c>
      <c r="CQ102" s="121">
        <f ca="1">IF(OR(Tbl_ResidentData[[#This Row],[S3]]=TRUE,Tbl_ResidentData[[#This Row],[P3]]=TRUE),1,0)</f>
        <v>0</v>
      </c>
      <c r="CR102" s="120">
        <f ca="1">IF(OR(Tbl_ResidentData[[#This Row],[S4]]=TRUE,Tbl_ResidentData[[#This Row],[P4]]=TRUE),1,0)</f>
        <v>0</v>
      </c>
      <c r="CS102" s="120">
        <f ca="1">IF(OR(Tbl_ResidentData[[#This Row],[S5]]=TRUE,Tbl_ResidentData[[#This Row],[P5]]=TRUE),1,0)</f>
        <v>0</v>
      </c>
      <c r="CT102" s="120">
        <f ca="1">IF(OR(Tbl_ResidentData[[#This Row],[S6]]=TRUE,Tbl_ResidentData[[#This Row],[P6]]=TRUE),1,0)</f>
        <v>0</v>
      </c>
      <c r="CU102" s="120">
        <f ca="1">IF(OR(Tbl_ResidentData[[#This Row],[S7]]=TRUE,Tbl_ResidentData[[#This Row],[P7]]=TRUE),1,0)</f>
        <v>0</v>
      </c>
      <c r="CV102" s="120">
        <f ca="1">IF(OR(Tbl_ResidentData[[#This Row],[S8]]=TRUE,Tbl_ResidentData[[#This Row],[P8]]=TRUE),1,0)</f>
        <v>0</v>
      </c>
      <c r="CW102" s="120">
        <f ca="1">IF(OR(Tbl_ResidentData[[#This Row],[S9]]=TRUE,Tbl_ResidentData[[#This Row],[P9]]=TRUE),1,0)</f>
        <v>0</v>
      </c>
      <c r="CX102" s="120">
        <f ca="1">IF(OR(Tbl_ResidentData[[#This Row],[S10]]=TRUE,Tbl_ResidentData[[#This Row],[P10]]=TRUE),1,0)</f>
        <v>0</v>
      </c>
      <c r="CY102" s="120">
        <f ca="1">IF(OR(Tbl_ResidentData[[#This Row],[S11]]=TRUE,Tbl_ResidentData[[#This Row],[P11]]=TRUE),1,0)</f>
        <v>0</v>
      </c>
      <c r="CZ102" s="120">
        <f ca="1">IF(OR(Tbl_ResidentData[[#This Row],[S12]]=TRUE,Tbl_ResidentData[[#This Row],[P12]]=TRUE),1,0)</f>
        <v>0</v>
      </c>
      <c r="DA102" s="120">
        <f ca="1">IF(OR(Tbl_ResidentData[[#This Row],[S13]]=TRUE,Tbl_ResidentData[[#This Row],[P13]]=TRUE),1,0)</f>
        <v>0</v>
      </c>
      <c r="DB102" s="120">
        <f ca="1">IF(OR(Tbl_ResidentData[[#This Row],[S14]]=TRUE,Tbl_ResidentData[[#This Row],[P14]]=TRUE),1,0)</f>
        <v>0</v>
      </c>
      <c r="DC102" s="120">
        <f ca="1">IF(OR(Tbl_ResidentData[[#This Row],[S15]]=TRUE,Tbl_ResidentData[[#This Row],[P15]]=TRUE),1,0)</f>
        <v>0</v>
      </c>
      <c r="DD102" s="120">
        <f ca="1">IF(OR(Tbl_ResidentData[[#This Row],[S16]]=TRUE,Tbl_ResidentData[[#This Row],[P16]]=TRUE),1,0)</f>
        <v>0</v>
      </c>
      <c r="DE102" s="120">
        <f ca="1">IF(OR(Tbl_ResidentData[[#This Row],[S17]]=TRUE,Tbl_ResidentData[[#This Row],[P17]]=TRUE),1,0)</f>
        <v>0</v>
      </c>
      <c r="DF102" s="120">
        <f ca="1">IF(OR(Tbl_ResidentData[[#This Row],[S18]]=TRUE,Tbl_ResidentData[[#This Row],[P18]]=TRUE),1,0)</f>
        <v>0</v>
      </c>
      <c r="DG102" s="120">
        <f ca="1">IF(OR(Tbl_ResidentData[[#This Row],[S19]]=TRUE,Tbl_ResidentData[[#This Row],[P19]]=TRUE),1,0)</f>
        <v>0</v>
      </c>
      <c r="DH102" s="120">
        <f ca="1">IF(OR(Tbl_ResidentData[[#This Row],[S20]]=TRUE,Tbl_ResidentData[[#This Row],[P20]]=TRUE),1,0)</f>
        <v>0</v>
      </c>
      <c r="DI102" s="120">
        <f ca="1">IF(OR(Tbl_ResidentData[[#This Row],[S21]]=TRUE,Tbl_ResidentData[[#This Row],[P21]]=TRUE),1,0)</f>
        <v>0</v>
      </c>
      <c r="DJ102" s="120">
        <f ca="1">IF(OR(Tbl_ResidentData[[#This Row],[S22]]=TRUE,Tbl_ResidentData[[#This Row],[P22]]=TRUE),1,0)</f>
        <v>0</v>
      </c>
      <c r="DK102" s="120">
        <f ca="1">IF(OR(Tbl_ResidentData[[#This Row],[S23]]=TRUE,Tbl_ResidentData[[#This Row],[P23]]=TRUE),1,0)</f>
        <v>0</v>
      </c>
      <c r="DL102" s="120">
        <f ca="1">IF(OR(Tbl_ResidentData[[#This Row],[S24]]=TRUE,Tbl_ResidentData[[#This Row],[P24]]=TRUE),1,0)</f>
        <v>0</v>
      </c>
      <c r="DM102" s="123" t="str">
        <f ca="1">IFERROR(INDEX($CO$4:$DL$4,MATCH(TRUE,INDEX((Tbl_ResidentData[[#This Row],[Over1]:[Over24]]&lt;&gt;0),0),0)),"")</f>
        <v/>
      </c>
      <c r="DN102" s="133" t="str">
        <f>IFERROR(INDEX(Tbl_PDSAData[Last DRT],MATCH(Tbl_ResidentData[Resident Name '[last, first']],Tbl_PDSAData[Resident Name (last, first)],0)),"")</f>
        <v/>
      </c>
      <c r="DO102" s="222" t="str">
        <f>IFERROR(INDEX(Tbl_PDSAData[Last MR],MATCH(Tbl_ResidentData[Resident Name '[last, first']],Tbl_PDSAData[Resident Name (last, first)],0)),"")</f>
        <v/>
      </c>
    </row>
    <row r="103" spans="1:119" x14ac:dyDescent="0.25">
      <c r="A103" s="179"/>
      <c r="B103" s="180"/>
      <c r="C103" s="180"/>
      <c r="D103" s="218"/>
      <c r="E103" s="179"/>
      <c r="F103" s="181"/>
      <c r="G103" s="181"/>
      <c r="H103" s="375"/>
      <c r="I103" s="185"/>
      <c r="J103" s="387"/>
      <c r="K103" s="178"/>
      <c r="L103" s="388"/>
      <c r="M103" s="185"/>
      <c r="N103" s="386"/>
      <c r="O103" s="178"/>
      <c r="P103" s="388"/>
      <c r="Q103" s="395"/>
      <c r="R103" s="396"/>
      <c r="S103" s="131" t="str">
        <f>IF(ISBLANK(Tbl_ResidentData[[#This Row],[Discharge '[mmm-yyyy']]]),IF(ISBLANK(Tbl_ResidentData[[#This Row],[Enrollment '[mmm-yyyy']]]),"","In Care Home"),"Discharged")</f>
        <v/>
      </c>
      <c r="T103" s="119" t="str">
        <f>IF(ISBLANK(Tbl_ResidentData[[#This Row],[Diagnosis (RAI)]]),IF(ISBLANK(Tbl_ResidentData[[#This Row],[Resident Name '[last, first']]]),"",0),IF(Tbl_ResidentData[[#This Row],[Diagnosis (RAI)]]="Other (see clinical notes)",0,1))</f>
        <v/>
      </c>
      <c r="U103" s="120" t="str">
        <f ca="1">IF(U$4&gt;NOW(),"-",IF(ISBLANK(Tbl_ResidentData[[#This Row],[Enrollment '[mmm-yyyy']]]),"-",AND((Tbl_ResidentData[[#This Row],[Enrollment '[mmm-yyyy']]]&lt;=U$4),IF(ISBLANK(Tbl_ResidentData[[#This Row],[Discharge '[mmm-yyyy']]]),TRUE,(Tbl_ResidentData[[#This Row],[Discharge '[mmm-yyyy']]]&gt;=U$4)))))</f>
        <v>-</v>
      </c>
      <c r="V103" s="121" t="str">
        <f ca="1">IF(V$4&gt;NOW(),"-",IF(ISBLANK(Tbl_ResidentData[[#This Row],[Enrollment '[mmm-yyyy']]]),"-",AND((Tbl_ResidentData[[#This Row],[Enrollment '[mmm-yyyy']]]&lt;=V$4),IF(ISBLANK(Tbl_ResidentData[[#This Row],[Discharge '[mmm-yyyy']]]),TRUE,(Tbl_ResidentData[[#This Row],[Discharge '[mmm-yyyy']]]&gt;=V$4)))))</f>
        <v>-</v>
      </c>
      <c r="W103" s="121" t="str">
        <f ca="1">IF(W$4&gt;NOW(),"-",IF(ISBLANK(Tbl_ResidentData[[#This Row],[Enrollment '[mmm-yyyy']]]),"-",AND((Tbl_ResidentData[[#This Row],[Enrollment '[mmm-yyyy']]]&lt;=W$4),IF(ISBLANK(Tbl_ResidentData[[#This Row],[Discharge '[mmm-yyyy']]]),TRUE,(Tbl_ResidentData[[#This Row],[Discharge '[mmm-yyyy']]]&gt;=W$4)))))</f>
        <v>-</v>
      </c>
      <c r="X103" s="121" t="str">
        <f ca="1">IF(X$4&gt;NOW(),"-",IF(ISBLANK(Tbl_ResidentData[[#This Row],[Enrollment '[mmm-yyyy']]]),"-",AND((Tbl_ResidentData[[#This Row],[Enrollment '[mmm-yyyy']]]&lt;=X$4),IF(ISBLANK(Tbl_ResidentData[[#This Row],[Discharge '[mmm-yyyy']]]),TRUE,(Tbl_ResidentData[[#This Row],[Discharge '[mmm-yyyy']]]&gt;=X$4)))))</f>
        <v>-</v>
      </c>
      <c r="Y103" s="121" t="str">
        <f ca="1">IF(Y$4&gt;NOW(),"-",IF(ISBLANK(Tbl_ResidentData[[#This Row],[Enrollment '[mmm-yyyy']]]),"-",AND((Tbl_ResidentData[[#This Row],[Enrollment '[mmm-yyyy']]]&lt;=Y$4),IF(ISBLANK(Tbl_ResidentData[[#This Row],[Discharge '[mmm-yyyy']]]),TRUE,(Tbl_ResidentData[[#This Row],[Discharge '[mmm-yyyy']]]&gt;=Y$4)))))</f>
        <v>-</v>
      </c>
      <c r="Z103" s="121" t="str">
        <f ca="1">IF(Z$4&gt;NOW(),"-",IF(ISBLANK(Tbl_ResidentData[[#This Row],[Enrollment '[mmm-yyyy']]]),"-",AND((Tbl_ResidentData[[#This Row],[Enrollment '[mmm-yyyy']]]&lt;=Z$4),IF(ISBLANK(Tbl_ResidentData[[#This Row],[Discharge '[mmm-yyyy']]]),TRUE,(Tbl_ResidentData[[#This Row],[Discharge '[mmm-yyyy']]]&gt;=Z$4)))))</f>
        <v>-</v>
      </c>
      <c r="AA103" s="121" t="str">
        <f ca="1">IF(AA$4&gt;NOW(),"-",IF(ISBLANK(Tbl_ResidentData[[#This Row],[Enrollment '[mmm-yyyy']]]),"-",AND((Tbl_ResidentData[[#This Row],[Enrollment '[mmm-yyyy']]]&lt;=AA$4),IF(ISBLANK(Tbl_ResidentData[[#This Row],[Discharge '[mmm-yyyy']]]),TRUE,(Tbl_ResidentData[[#This Row],[Discharge '[mmm-yyyy']]]&gt;=AA$4)))))</f>
        <v>-</v>
      </c>
      <c r="AB103" s="121" t="str">
        <f ca="1">IF(AB$4&gt;NOW(),"-",IF(ISBLANK(Tbl_ResidentData[[#This Row],[Enrollment '[mmm-yyyy']]]),"-",AND((Tbl_ResidentData[[#This Row],[Enrollment '[mmm-yyyy']]]&lt;=AB$4),IF(ISBLANK(Tbl_ResidentData[[#This Row],[Discharge '[mmm-yyyy']]]),TRUE,(Tbl_ResidentData[[#This Row],[Discharge '[mmm-yyyy']]]&gt;=AB$4)))))</f>
        <v>-</v>
      </c>
      <c r="AC103" s="121" t="str">
        <f ca="1">IF(AC$4&gt;NOW(),"-",IF(ISBLANK(Tbl_ResidentData[[#This Row],[Enrollment '[mmm-yyyy']]]),"-",AND((Tbl_ResidentData[[#This Row],[Enrollment '[mmm-yyyy']]]&lt;=AC$4),IF(ISBLANK(Tbl_ResidentData[[#This Row],[Discharge '[mmm-yyyy']]]),TRUE,(Tbl_ResidentData[[#This Row],[Discharge '[mmm-yyyy']]]&gt;=AC$4)))))</f>
        <v>-</v>
      </c>
      <c r="AD103" s="121" t="str">
        <f ca="1">IF(AD$4&gt;NOW(),"-",IF(ISBLANK(Tbl_ResidentData[[#This Row],[Enrollment '[mmm-yyyy']]]),"-",AND((Tbl_ResidentData[[#This Row],[Enrollment '[mmm-yyyy']]]&lt;=AD$4),IF(ISBLANK(Tbl_ResidentData[[#This Row],[Discharge '[mmm-yyyy']]]),TRUE,(Tbl_ResidentData[[#This Row],[Discharge '[mmm-yyyy']]]&gt;=AD$4)))))</f>
        <v>-</v>
      </c>
      <c r="AE103" s="121" t="str">
        <f ca="1">IF(AE$4&gt;NOW(),"-",IF(ISBLANK(Tbl_ResidentData[[#This Row],[Enrollment '[mmm-yyyy']]]),"-",AND((Tbl_ResidentData[[#This Row],[Enrollment '[mmm-yyyy']]]&lt;=AE$4),IF(ISBLANK(Tbl_ResidentData[[#This Row],[Discharge '[mmm-yyyy']]]),TRUE,(Tbl_ResidentData[[#This Row],[Discharge '[mmm-yyyy']]]&gt;=AE$4)))))</f>
        <v>-</v>
      </c>
      <c r="AF103" s="121" t="str">
        <f ca="1">IF(AF$4&gt;NOW(),"-",IF(ISBLANK(Tbl_ResidentData[[#This Row],[Enrollment '[mmm-yyyy']]]),"-",AND((Tbl_ResidentData[[#This Row],[Enrollment '[mmm-yyyy']]]&lt;=AF$4),IF(ISBLANK(Tbl_ResidentData[[#This Row],[Discharge '[mmm-yyyy']]]),TRUE,(Tbl_ResidentData[[#This Row],[Discharge '[mmm-yyyy']]]&gt;=AF$4)))))</f>
        <v>-</v>
      </c>
      <c r="AG103" s="121" t="str">
        <f ca="1">IF(AG$4&gt;NOW(),"-",IF(ISBLANK(Tbl_ResidentData[[#This Row],[Enrollment '[mmm-yyyy']]]),"-",AND((Tbl_ResidentData[[#This Row],[Enrollment '[mmm-yyyy']]]&lt;=AG$4),IF(ISBLANK(Tbl_ResidentData[[#This Row],[Discharge '[mmm-yyyy']]]),TRUE,(Tbl_ResidentData[[#This Row],[Discharge '[mmm-yyyy']]]&gt;=AG$4)))))</f>
        <v>-</v>
      </c>
      <c r="AH103" s="121" t="str">
        <f ca="1">IF(AH$4&gt;NOW(),"-",IF(ISBLANK(Tbl_ResidentData[[#This Row],[Enrollment '[mmm-yyyy']]]),"-",AND((Tbl_ResidentData[[#This Row],[Enrollment '[mmm-yyyy']]]&lt;=AH$4),IF(ISBLANK(Tbl_ResidentData[[#This Row],[Discharge '[mmm-yyyy']]]),TRUE,(Tbl_ResidentData[[#This Row],[Discharge '[mmm-yyyy']]]&gt;=AH$4)))))</f>
        <v>-</v>
      </c>
      <c r="AI103" s="121" t="str">
        <f ca="1">IF(AI$4&gt;NOW(),"-",IF(ISBLANK(Tbl_ResidentData[[#This Row],[Enrollment '[mmm-yyyy']]]),"-",AND((Tbl_ResidentData[[#This Row],[Enrollment '[mmm-yyyy']]]&lt;=AI$4),IF(ISBLANK(Tbl_ResidentData[[#This Row],[Discharge '[mmm-yyyy']]]),TRUE,(Tbl_ResidentData[[#This Row],[Discharge '[mmm-yyyy']]]&gt;=AI$4)))))</f>
        <v>-</v>
      </c>
      <c r="AJ103" s="121" t="str">
        <f ca="1">IF(AJ$4&gt;NOW(),"-",IF(ISBLANK(Tbl_ResidentData[[#This Row],[Enrollment '[mmm-yyyy']]]),"-",AND((Tbl_ResidentData[[#This Row],[Enrollment '[mmm-yyyy']]]&lt;=AJ$4),IF(ISBLANK(Tbl_ResidentData[[#This Row],[Discharge '[mmm-yyyy']]]),TRUE,(Tbl_ResidentData[[#This Row],[Discharge '[mmm-yyyy']]]&gt;=AJ$4)))))</f>
        <v>-</v>
      </c>
      <c r="AK103" s="121" t="str">
        <f ca="1">IF(AK$4&gt;NOW(),"-",IF(ISBLANK(Tbl_ResidentData[[#This Row],[Enrollment '[mmm-yyyy']]]),"-",AND((Tbl_ResidentData[[#This Row],[Enrollment '[mmm-yyyy']]]&lt;=AK$4),IF(ISBLANK(Tbl_ResidentData[[#This Row],[Discharge '[mmm-yyyy']]]),TRUE,(Tbl_ResidentData[[#This Row],[Discharge '[mmm-yyyy']]]&gt;=AK$4)))))</f>
        <v>-</v>
      </c>
      <c r="AL103" s="121" t="str">
        <f ca="1">IF(AL$4&gt;NOW(),"-",IF(ISBLANK(Tbl_ResidentData[[#This Row],[Enrollment '[mmm-yyyy']]]),"-",AND((Tbl_ResidentData[[#This Row],[Enrollment '[mmm-yyyy']]]&lt;=AL$4),IF(ISBLANK(Tbl_ResidentData[[#This Row],[Discharge '[mmm-yyyy']]]),TRUE,(Tbl_ResidentData[[#This Row],[Discharge '[mmm-yyyy']]]&gt;=AL$4)))))</f>
        <v>-</v>
      </c>
      <c r="AM103" s="121" t="str">
        <f ca="1">IF(AM$4&gt;NOW(),"-",IF(ISBLANK(Tbl_ResidentData[[#This Row],[Enrollment '[mmm-yyyy']]]),"-",AND((Tbl_ResidentData[[#This Row],[Enrollment '[mmm-yyyy']]]&lt;=AM$4),IF(ISBLANK(Tbl_ResidentData[[#This Row],[Discharge '[mmm-yyyy']]]),TRUE,(Tbl_ResidentData[[#This Row],[Discharge '[mmm-yyyy']]]&gt;=AM$4)))))</f>
        <v>-</v>
      </c>
      <c r="AN103" s="121" t="str">
        <f ca="1">IF(AN$4&gt;NOW(),"-",IF(ISBLANK(Tbl_ResidentData[[#This Row],[Enrollment '[mmm-yyyy']]]),"-",AND((Tbl_ResidentData[[#This Row],[Enrollment '[mmm-yyyy']]]&lt;=AN$4),IF(ISBLANK(Tbl_ResidentData[[#This Row],[Discharge '[mmm-yyyy']]]),TRUE,(Tbl_ResidentData[[#This Row],[Discharge '[mmm-yyyy']]]&gt;=AN$4)))))</f>
        <v>-</v>
      </c>
      <c r="AO103" s="121" t="str">
        <f ca="1">IF(AO$4&gt;NOW(),"-",IF(ISBLANK(Tbl_ResidentData[[#This Row],[Enrollment '[mmm-yyyy']]]),"-",AND((Tbl_ResidentData[[#This Row],[Enrollment '[mmm-yyyy']]]&lt;=AO$4),IF(ISBLANK(Tbl_ResidentData[[#This Row],[Discharge '[mmm-yyyy']]]),TRUE,(Tbl_ResidentData[[#This Row],[Discharge '[mmm-yyyy']]]&gt;=AO$4)))))</f>
        <v>-</v>
      </c>
      <c r="AP103" s="121" t="str">
        <f ca="1">IF(AP$4&gt;NOW(),"-",IF(ISBLANK(Tbl_ResidentData[[#This Row],[Enrollment '[mmm-yyyy']]]),"-",AND((Tbl_ResidentData[[#This Row],[Enrollment '[mmm-yyyy']]]&lt;=AP$4),IF(ISBLANK(Tbl_ResidentData[[#This Row],[Discharge '[mmm-yyyy']]]),TRUE,(Tbl_ResidentData[[#This Row],[Discharge '[mmm-yyyy']]]&gt;=AP$4)))))</f>
        <v>-</v>
      </c>
      <c r="AQ103" s="121" t="str">
        <f ca="1">IF(AQ$4&gt;NOW(),"-",IF(ISBLANK(Tbl_ResidentData[[#This Row],[Enrollment '[mmm-yyyy']]]),"-",AND((Tbl_ResidentData[[#This Row],[Enrollment '[mmm-yyyy']]]&lt;=AQ$4),IF(ISBLANK(Tbl_ResidentData[[#This Row],[Discharge '[mmm-yyyy']]]),TRUE,(Tbl_ResidentData[[#This Row],[Discharge '[mmm-yyyy']]]&gt;=AQ$4)))))</f>
        <v>-</v>
      </c>
      <c r="AR103" s="122" t="str">
        <f ca="1">IF(AR$4&gt;NOW(),"-",IF(ISBLANK(Tbl_ResidentData[[#This Row],[Enrollment '[mmm-yyyy']]]),"-",AND((Tbl_ResidentData[[#This Row],[Enrollment '[mmm-yyyy']]]&lt;=AR$4),IF(ISBLANK(Tbl_ResidentData[[#This Row],[Discharge '[mmm-yyyy']]]),TRUE,(Tbl_ResidentData[[#This Row],[Discharge '[mmm-yyyy']]]&gt;=AR$4)))))</f>
        <v>-</v>
      </c>
      <c r="AS10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3" s="120" t="b">
        <f ca="1">AND(Tbl_ResidentData[[#This Row],[PRN Med Started]]&lt;&gt;"",Tbl_ResidentData[[#This Row],[PRN Med Started]]&lt;=NOW(),Tbl_ResidentData[[#This Row],[PRN Med Started]]&lt;=AS$4,OR(Tbl_ResidentData[[#This Row],[PRN Med Discontinued]]&gt;AS$4,ISBLANK(Tbl_ResidentData[[#This Row],[PRN Med Discontinued]])))</f>
        <v>0</v>
      </c>
      <c r="BR103" s="121" t="b">
        <f ca="1">AND(Tbl_ResidentData[[#This Row],[PRN Med Started]]&lt;&gt;"",Tbl_ResidentData[[#This Row],[PRN Med Started]]&lt;=NOW(),Tbl_ResidentData[[#This Row],[PRN Med Started]]&lt;=AT$4,OR(Tbl_ResidentData[[#This Row],[PRN Med Discontinued]]&gt;AT$4,ISBLANK(Tbl_ResidentData[[#This Row],[PRN Med Discontinued]])))</f>
        <v>0</v>
      </c>
      <c r="BS103" s="121" t="b">
        <f ca="1">AND(Tbl_ResidentData[[#This Row],[PRN Med Started]]&lt;&gt;"",Tbl_ResidentData[[#This Row],[PRN Med Started]]&lt;=NOW(),Tbl_ResidentData[[#This Row],[PRN Med Started]]&lt;=AU$4,OR(Tbl_ResidentData[[#This Row],[PRN Med Discontinued]]&gt;AU$4,ISBLANK(Tbl_ResidentData[[#This Row],[PRN Med Discontinued]])))</f>
        <v>0</v>
      </c>
      <c r="BT103" s="121" t="b">
        <f ca="1">AND(Tbl_ResidentData[[#This Row],[PRN Med Started]]&lt;&gt;"",Tbl_ResidentData[[#This Row],[PRN Med Started]]&lt;=NOW(),Tbl_ResidentData[[#This Row],[PRN Med Started]]&lt;=AV$4,OR(Tbl_ResidentData[[#This Row],[PRN Med Discontinued]]&gt;AV$4,ISBLANK(Tbl_ResidentData[[#This Row],[PRN Med Discontinued]])))</f>
        <v>0</v>
      </c>
      <c r="BU103" s="121" t="b">
        <f ca="1">AND(Tbl_ResidentData[[#This Row],[PRN Med Started]]&lt;&gt;"",Tbl_ResidentData[[#This Row],[PRN Med Started]]&lt;=NOW(),Tbl_ResidentData[[#This Row],[PRN Med Started]]&lt;=AW$4,OR(Tbl_ResidentData[[#This Row],[PRN Med Discontinued]]&gt;AW$4,ISBLANK(Tbl_ResidentData[[#This Row],[PRN Med Discontinued]])))</f>
        <v>0</v>
      </c>
      <c r="BV103" s="121" t="b">
        <f ca="1">AND(Tbl_ResidentData[[#This Row],[PRN Med Started]]&lt;&gt;"",Tbl_ResidentData[[#This Row],[PRN Med Started]]&lt;=NOW(),Tbl_ResidentData[[#This Row],[PRN Med Started]]&lt;=AX$4,OR(Tbl_ResidentData[[#This Row],[PRN Med Discontinued]]&gt;AX$4,ISBLANK(Tbl_ResidentData[[#This Row],[PRN Med Discontinued]])))</f>
        <v>0</v>
      </c>
      <c r="BW103" s="121" t="b">
        <f ca="1">AND(Tbl_ResidentData[[#This Row],[PRN Med Started]]&lt;&gt;"",Tbl_ResidentData[[#This Row],[PRN Med Started]]&lt;=NOW(),Tbl_ResidentData[[#This Row],[PRN Med Started]]&lt;=AY$4,OR(Tbl_ResidentData[[#This Row],[PRN Med Discontinued]]&gt;AY$4,ISBLANK(Tbl_ResidentData[[#This Row],[PRN Med Discontinued]])))</f>
        <v>0</v>
      </c>
      <c r="BX103" s="121" t="b">
        <f ca="1">AND(Tbl_ResidentData[[#This Row],[PRN Med Started]]&lt;&gt;"",Tbl_ResidentData[[#This Row],[PRN Med Started]]&lt;=NOW(),Tbl_ResidentData[[#This Row],[PRN Med Started]]&lt;=AZ$4,OR(Tbl_ResidentData[[#This Row],[PRN Med Discontinued]]&gt;AZ$4,ISBLANK(Tbl_ResidentData[[#This Row],[PRN Med Discontinued]])))</f>
        <v>0</v>
      </c>
      <c r="BY103" s="121" t="b">
        <f ca="1">AND(Tbl_ResidentData[[#This Row],[PRN Med Started]]&lt;&gt;"",Tbl_ResidentData[[#This Row],[PRN Med Started]]&lt;=NOW(),Tbl_ResidentData[[#This Row],[PRN Med Started]]&lt;=BA$4,OR(Tbl_ResidentData[[#This Row],[PRN Med Discontinued]]&gt;BA$4,ISBLANK(Tbl_ResidentData[[#This Row],[PRN Med Discontinued]])))</f>
        <v>0</v>
      </c>
      <c r="BZ103" s="121" t="b">
        <f ca="1">AND(Tbl_ResidentData[[#This Row],[PRN Med Started]]&lt;&gt;"",Tbl_ResidentData[[#This Row],[PRN Med Started]]&lt;=NOW(),Tbl_ResidentData[[#This Row],[PRN Med Started]]&lt;=BB$4,OR(Tbl_ResidentData[[#This Row],[PRN Med Discontinued]]&gt;BB$4,ISBLANK(Tbl_ResidentData[[#This Row],[PRN Med Discontinued]])))</f>
        <v>0</v>
      </c>
      <c r="CA103" s="121" t="b">
        <f ca="1">AND(Tbl_ResidentData[[#This Row],[PRN Med Started]]&lt;&gt;"",Tbl_ResidentData[[#This Row],[PRN Med Started]]&lt;=NOW(),Tbl_ResidentData[[#This Row],[PRN Med Started]]&lt;=BC$4,OR(Tbl_ResidentData[[#This Row],[PRN Med Discontinued]]&gt;BC$4,ISBLANK(Tbl_ResidentData[[#This Row],[PRN Med Discontinued]])))</f>
        <v>0</v>
      </c>
      <c r="CB103" s="121" t="b">
        <f ca="1">AND(Tbl_ResidentData[[#This Row],[PRN Med Started]]&lt;&gt;"",Tbl_ResidentData[[#This Row],[PRN Med Started]]&lt;=NOW(),Tbl_ResidentData[[#This Row],[PRN Med Started]]&lt;=BD$4,OR(Tbl_ResidentData[[#This Row],[PRN Med Discontinued]]&gt;BD$4,ISBLANK(Tbl_ResidentData[[#This Row],[PRN Med Discontinued]])))</f>
        <v>0</v>
      </c>
      <c r="CC103" s="121" t="b">
        <f ca="1">AND(Tbl_ResidentData[[#This Row],[PRN Med Started]]&lt;&gt;"",Tbl_ResidentData[[#This Row],[PRN Med Started]]&lt;=NOW(),Tbl_ResidentData[[#This Row],[PRN Med Started]]&lt;=BE$4,OR(Tbl_ResidentData[[#This Row],[PRN Med Discontinued]]&gt;BE$4,ISBLANK(Tbl_ResidentData[[#This Row],[PRN Med Discontinued]])))</f>
        <v>0</v>
      </c>
      <c r="CD103" s="121" t="b">
        <f ca="1">AND(Tbl_ResidentData[[#This Row],[PRN Med Started]]&lt;&gt;"",Tbl_ResidentData[[#This Row],[PRN Med Started]]&lt;=NOW(),Tbl_ResidentData[[#This Row],[PRN Med Started]]&lt;=BF$4,OR(Tbl_ResidentData[[#This Row],[PRN Med Discontinued]]&gt;BF$4,ISBLANK(Tbl_ResidentData[[#This Row],[PRN Med Discontinued]])))</f>
        <v>0</v>
      </c>
      <c r="CE103" s="121" t="b">
        <f ca="1">AND(Tbl_ResidentData[[#This Row],[PRN Med Started]]&lt;&gt;"",Tbl_ResidentData[[#This Row],[PRN Med Started]]&lt;=NOW(),Tbl_ResidentData[[#This Row],[PRN Med Started]]&lt;=BG$4,OR(Tbl_ResidentData[[#This Row],[PRN Med Discontinued]]&gt;BG$4,ISBLANK(Tbl_ResidentData[[#This Row],[PRN Med Discontinued]])))</f>
        <v>0</v>
      </c>
      <c r="CF103" s="121" t="b">
        <f ca="1">AND(Tbl_ResidentData[[#This Row],[PRN Med Started]]&lt;&gt;"",Tbl_ResidentData[[#This Row],[PRN Med Started]]&lt;=NOW(),Tbl_ResidentData[[#This Row],[PRN Med Started]]&lt;=BH$4,OR(Tbl_ResidentData[[#This Row],[PRN Med Discontinued]]&gt;BH$4,ISBLANK(Tbl_ResidentData[[#This Row],[PRN Med Discontinued]])))</f>
        <v>0</v>
      </c>
      <c r="CG103" s="121" t="b">
        <f ca="1">AND(Tbl_ResidentData[[#This Row],[PRN Med Started]]&lt;&gt;"",Tbl_ResidentData[[#This Row],[PRN Med Started]]&lt;=NOW(),Tbl_ResidentData[[#This Row],[PRN Med Started]]&lt;=BI$4,OR(Tbl_ResidentData[[#This Row],[PRN Med Discontinued]]&gt;BI$4,ISBLANK(Tbl_ResidentData[[#This Row],[PRN Med Discontinued]])))</f>
        <v>0</v>
      </c>
      <c r="CH103" s="121" t="b">
        <f ca="1">AND(Tbl_ResidentData[[#This Row],[PRN Med Started]]&lt;&gt;"",Tbl_ResidentData[[#This Row],[PRN Med Started]]&lt;=NOW(),Tbl_ResidentData[[#This Row],[PRN Med Started]]&lt;=BJ$4,OR(Tbl_ResidentData[[#This Row],[PRN Med Discontinued]]&gt;BJ$4,ISBLANK(Tbl_ResidentData[[#This Row],[PRN Med Discontinued]])))</f>
        <v>0</v>
      </c>
      <c r="CI103" s="121" t="b">
        <f ca="1">AND(Tbl_ResidentData[[#This Row],[PRN Med Started]]&lt;&gt;"",Tbl_ResidentData[[#This Row],[PRN Med Started]]&lt;=NOW(),Tbl_ResidentData[[#This Row],[PRN Med Started]]&lt;=BK$4,OR(Tbl_ResidentData[[#This Row],[PRN Med Discontinued]]&gt;BK$4,ISBLANK(Tbl_ResidentData[[#This Row],[PRN Med Discontinued]])))</f>
        <v>0</v>
      </c>
      <c r="CJ103" s="121" t="b">
        <f ca="1">AND(Tbl_ResidentData[[#This Row],[PRN Med Started]]&lt;&gt;"",Tbl_ResidentData[[#This Row],[PRN Med Started]]&lt;=NOW(),Tbl_ResidentData[[#This Row],[PRN Med Started]]&lt;=BL$4,OR(Tbl_ResidentData[[#This Row],[PRN Med Discontinued]]&gt;BL$4,ISBLANK(Tbl_ResidentData[[#This Row],[PRN Med Discontinued]])))</f>
        <v>0</v>
      </c>
      <c r="CK103" s="121" t="b">
        <f ca="1">AND(Tbl_ResidentData[[#This Row],[PRN Med Started]]&lt;&gt;"",Tbl_ResidentData[[#This Row],[PRN Med Started]]&lt;=NOW(),Tbl_ResidentData[[#This Row],[PRN Med Started]]&lt;=BM$4,OR(Tbl_ResidentData[[#This Row],[PRN Med Discontinued]]&gt;BM$4,ISBLANK(Tbl_ResidentData[[#This Row],[PRN Med Discontinued]])))</f>
        <v>0</v>
      </c>
      <c r="CL103" s="121" t="b">
        <f ca="1">AND(Tbl_ResidentData[[#This Row],[PRN Med Started]]&lt;&gt;"",Tbl_ResidentData[[#This Row],[PRN Med Started]]&lt;=NOW(),Tbl_ResidentData[[#This Row],[PRN Med Started]]&lt;=BN$4,OR(Tbl_ResidentData[[#This Row],[PRN Med Discontinued]]&gt;BN$4,ISBLANK(Tbl_ResidentData[[#This Row],[PRN Med Discontinued]])))</f>
        <v>0</v>
      </c>
      <c r="CM103" s="121" t="b">
        <f ca="1">AND(Tbl_ResidentData[[#This Row],[PRN Med Started]]&lt;&gt;"",Tbl_ResidentData[[#This Row],[PRN Med Started]]&lt;=NOW(),Tbl_ResidentData[[#This Row],[PRN Med Started]]&lt;=BO$4,OR(Tbl_ResidentData[[#This Row],[PRN Med Discontinued]]&gt;BO$4,ISBLANK(Tbl_ResidentData[[#This Row],[PRN Med Discontinued]])))</f>
        <v>0</v>
      </c>
      <c r="CN103" s="122" t="b">
        <f ca="1">AND(Tbl_ResidentData[[#This Row],[PRN Med Started]]&lt;&gt;"",Tbl_ResidentData[[#This Row],[PRN Med Started]]&lt;=NOW(),Tbl_ResidentData[[#This Row],[PRN Med Started]]&lt;=BP$4,OR(Tbl_ResidentData[[#This Row],[PRN Med Discontinued]]&gt;BP$4,ISBLANK(Tbl_ResidentData[[#This Row],[PRN Med Discontinued]])))</f>
        <v>0</v>
      </c>
      <c r="CO103" s="120">
        <f ca="1">IF(OR(Tbl_ResidentData[[#This Row],[S1]]=TRUE,Tbl_ResidentData[[#This Row],[P1]]=TRUE),1,0)</f>
        <v>0</v>
      </c>
      <c r="CP103" s="121">
        <f ca="1">IF(OR(Tbl_ResidentData[[#This Row],[S2]]=TRUE,Tbl_ResidentData[[#This Row],[P2]]=TRUE),1,0)</f>
        <v>0</v>
      </c>
      <c r="CQ103" s="121">
        <f ca="1">IF(OR(Tbl_ResidentData[[#This Row],[S3]]=TRUE,Tbl_ResidentData[[#This Row],[P3]]=TRUE),1,0)</f>
        <v>0</v>
      </c>
      <c r="CR103" s="120">
        <f ca="1">IF(OR(Tbl_ResidentData[[#This Row],[S4]]=TRUE,Tbl_ResidentData[[#This Row],[P4]]=TRUE),1,0)</f>
        <v>0</v>
      </c>
      <c r="CS103" s="120">
        <f ca="1">IF(OR(Tbl_ResidentData[[#This Row],[S5]]=TRUE,Tbl_ResidentData[[#This Row],[P5]]=TRUE),1,0)</f>
        <v>0</v>
      </c>
      <c r="CT103" s="120">
        <f ca="1">IF(OR(Tbl_ResidentData[[#This Row],[S6]]=TRUE,Tbl_ResidentData[[#This Row],[P6]]=TRUE),1,0)</f>
        <v>0</v>
      </c>
      <c r="CU103" s="120">
        <f ca="1">IF(OR(Tbl_ResidentData[[#This Row],[S7]]=TRUE,Tbl_ResidentData[[#This Row],[P7]]=TRUE),1,0)</f>
        <v>0</v>
      </c>
      <c r="CV103" s="120">
        <f ca="1">IF(OR(Tbl_ResidentData[[#This Row],[S8]]=TRUE,Tbl_ResidentData[[#This Row],[P8]]=TRUE),1,0)</f>
        <v>0</v>
      </c>
      <c r="CW103" s="120">
        <f ca="1">IF(OR(Tbl_ResidentData[[#This Row],[S9]]=TRUE,Tbl_ResidentData[[#This Row],[P9]]=TRUE),1,0)</f>
        <v>0</v>
      </c>
      <c r="CX103" s="120">
        <f ca="1">IF(OR(Tbl_ResidentData[[#This Row],[S10]]=TRUE,Tbl_ResidentData[[#This Row],[P10]]=TRUE),1,0)</f>
        <v>0</v>
      </c>
      <c r="CY103" s="120">
        <f ca="1">IF(OR(Tbl_ResidentData[[#This Row],[S11]]=TRUE,Tbl_ResidentData[[#This Row],[P11]]=TRUE),1,0)</f>
        <v>0</v>
      </c>
      <c r="CZ103" s="120">
        <f ca="1">IF(OR(Tbl_ResidentData[[#This Row],[S12]]=TRUE,Tbl_ResidentData[[#This Row],[P12]]=TRUE),1,0)</f>
        <v>0</v>
      </c>
      <c r="DA103" s="120">
        <f ca="1">IF(OR(Tbl_ResidentData[[#This Row],[S13]]=TRUE,Tbl_ResidentData[[#This Row],[P13]]=TRUE),1,0)</f>
        <v>0</v>
      </c>
      <c r="DB103" s="120">
        <f ca="1">IF(OR(Tbl_ResidentData[[#This Row],[S14]]=TRUE,Tbl_ResidentData[[#This Row],[P14]]=TRUE),1,0)</f>
        <v>0</v>
      </c>
      <c r="DC103" s="120">
        <f ca="1">IF(OR(Tbl_ResidentData[[#This Row],[S15]]=TRUE,Tbl_ResidentData[[#This Row],[P15]]=TRUE),1,0)</f>
        <v>0</v>
      </c>
      <c r="DD103" s="120">
        <f ca="1">IF(OR(Tbl_ResidentData[[#This Row],[S16]]=TRUE,Tbl_ResidentData[[#This Row],[P16]]=TRUE),1,0)</f>
        <v>0</v>
      </c>
      <c r="DE103" s="120">
        <f ca="1">IF(OR(Tbl_ResidentData[[#This Row],[S17]]=TRUE,Tbl_ResidentData[[#This Row],[P17]]=TRUE),1,0)</f>
        <v>0</v>
      </c>
      <c r="DF103" s="120">
        <f ca="1">IF(OR(Tbl_ResidentData[[#This Row],[S18]]=TRUE,Tbl_ResidentData[[#This Row],[P18]]=TRUE),1,0)</f>
        <v>0</v>
      </c>
      <c r="DG103" s="120">
        <f ca="1">IF(OR(Tbl_ResidentData[[#This Row],[S19]]=TRUE,Tbl_ResidentData[[#This Row],[P19]]=TRUE),1,0)</f>
        <v>0</v>
      </c>
      <c r="DH103" s="120">
        <f ca="1">IF(OR(Tbl_ResidentData[[#This Row],[S20]]=TRUE,Tbl_ResidentData[[#This Row],[P20]]=TRUE),1,0)</f>
        <v>0</v>
      </c>
      <c r="DI103" s="120">
        <f ca="1">IF(OR(Tbl_ResidentData[[#This Row],[S21]]=TRUE,Tbl_ResidentData[[#This Row],[P21]]=TRUE),1,0)</f>
        <v>0</v>
      </c>
      <c r="DJ103" s="120">
        <f ca="1">IF(OR(Tbl_ResidentData[[#This Row],[S22]]=TRUE,Tbl_ResidentData[[#This Row],[P22]]=TRUE),1,0)</f>
        <v>0</v>
      </c>
      <c r="DK103" s="120">
        <f ca="1">IF(OR(Tbl_ResidentData[[#This Row],[S23]]=TRUE,Tbl_ResidentData[[#This Row],[P23]]=TRUE),1,0)</f>
        <v>0</v>
      </c>
      <c r="DL103" s="120">
        <f ca="1">IF(OR(Tbl_ResidentData[[#This Row],[S24]]=TRUE,Tbl_ResidentData[[#This Row],[P24]]=TRUE),1,0)</f>
        <v>0</v>
      </c>
      <c r="DM103" s="123" t="str">
        <f ca="1">IFERROR(INDEX($CO$4:$DL$4,MATCH(TRUE,INDEX((Tbl_ResidentData[[#This Row],[Over1]:[Over24]]&lt;&gt;0),0),0)),"")</f>
        <v/>
      </c>
      <c r="DN103" s="133" t="str">
        <f>IFERROR(INDEX(Tbl_PDSAData[Last DRT],MATCH(Tbl_ResidentData[Resident Name '[last, first']],Tbl_PDSAData[Resident Name (last, first)],0)),"")</f>
        <v/>
      </c>
      <c r="DO103" s="222" t="str">
        <f>IFERROR(INDEX(Tbl_PDSAData[Last MR],MATCH(Tbl_ResidentData[Resident Name '[last, first']],Tbl_PDSAData[Resident Name (last, first)],0)),"")</f>
        <v/>
      </c>
    </row>
    <row r="104" spans="1:119" x14ac:dyDescent="0.25">
      <c r="A104" s="179"/>
      <c r="B104" s="180"/>
      <c r="C104" s="180"/>
      <c r="D104" s="218"/>
      <c r="E104" s="179"/>
      <c r="F104" s="181"/>
      <c r="G104" s="181"/>
      <c r="H104" s="375"/>
      <c r="I104" s="185"/>
      <c r="J104" s="387"/>
      <c r="K104" s="178"/>
      <c r="L104" s="388"/>
      <c r="M104" s="185"/>
      <c r="N104" s="386"/>
      <c r="O104" s="178"/>
      <c r="P104" s="388"/>
      <c r="Q104" s="394"/>
      <c r="R104" s="388"/>
      <c r="S104" s="131" t="str">
        <f>IF(ISBLANK(Tbl_ResidentData[[#This Row],[Discharge '[mmm-yyyy']]]),IF(ISBLANK(Tbl_ResidentData[[#This Row],[Enrollment '[mmm-yyyy']]]),"","In Care Home"),"Discharged")</f>
        <v/>
      </c>
      <c r="T104" s="119" t="str">
        <f>IF(ISBLANK(Tbl_ResidentData[[#This Row],[Diagnosis (RAI)]]),IF(ISBLANK(Tbl_ResidentData[[#This Row],[Resident Name '[last, first']]]),"",0),IF(Tbl_ResidentData[[#This Row],[Diagnosis (RAI)]]="Other (see clinical notes)",0,1))</f>
        <v/>
      </c>
      <c r="U104" s="120" t="str">
        <f ca="1">IF(U$4&gt;NOW(),"-",IF(ISBLANK(Tbl_ResidentData[[#This Row],[Enrollment '[mmm-yyyy']]]),"-",AND((Tbl_ResidentData[[#This Row],[Enrollment '[mmm-yyyy']]]&lt;=U$4),IF(ISBLANK(Tbl_ResidentData[[#This Row],[Discharge '[mmm-yyyy']]]),TRUE,(Tbl_ResidentData[[#This Row],[Discharge '[mmm-yyyy']]]&gt;=U$4)))))</f>
        <v>-</v>
      </c>
      <c r="V104" s="121" t="str">
        <f ca="1">IF(V$4&gt;NOW(),"-",IF(ISBLANK(Tbl_ResidentData[[#This Row],[Enrollment '[mmm-yyyy']]]),"-",AND((Tbl_ResidentData[[#This Row],[Enrollment '[mmm-yyyy']]]&lt;=V$4),IF(ISBLANK(Tbl_ResidentData[[#This Row],[Discharge '[mmm-yyyy']]]),TRUE,(Tbl_ResidentData[[#This Row],[Discharge '[mmm-yyyy']]]&gt;=V$4)))))</f>
        <v>-</v>
      </c>
      <c r="W104" s="121" t="str">
        <f ca="1">IF(W$4&gt;NOW(),"-",IF(ISBLANK(Tbl_ResidentData[[#This Row],[Enrollment '[mmm-yyyy']]]),"-",AND((Tbl_ResidentData[[#This Row],[Enrollment '[mmm-yyyy']]]&lt;=W$4),IF(ISBLANK(Tbl_ResidentData[[#This Row],[Discharge '[mmm-yyyy']]]),TRUE,(Tbl_ResidentData[[#This Row],[Discharge '[mmm-yyyy']]]&gt;=W$4)))))</f>
        <v>-</v>
      </c>
      <c r="X104" s="121" t="str">
        <f ca="1">IF(X$4&gt;NOW(),"-",IF(ISBLANK(Tbl_ResidentData[[#This Row],[Enrollment '[mmm-yyyy']]]),"-",AND((Tbl_ResidentData[[#This Row],[Enrollment '[mmm-yyyy']]]&lt;=X$4),IF(ISBLANK(Tbl_ResidentData[[#This Row],[Discharge '[mmm-yyyy']]]),TRUE,(Tbl_ResidentData[[#This Row],[Discharge '[mmm-yyyy']]]&gt;=X$4)))))</f>
        <v>-</v>
      </c>
      <c r="Y104" s="121" t="str">
        <f ca="1">IF(Y$4&gt;NOW(),"-",IF(ISBLANK(Tbl_ResidentData[[#This Row],[Enrollment '[mmm-yyyy']]]),"-",AND((Tbl_ResidentData[[#This Row],[Enrollment '[mmm-yyyy']]]&lt;=Y$4),IF(ISBLANK(Tbl_ResidentData[[#This Row],[Discharge '[mmm-yyyy']]]),TRUE,(Tbl_ResidentData[[#This Row],[Discharge '[mmm-yyyy']]]&gt;=Y$4)))))</f>
        <v>-</v>
      </c>
      <c r="Z104" s="121" t="str">
        <f ca="1">IF(Z$4&gt;NOW(),"-",IF(ISBLANK(Tbl_ResidentData[[#This Row],[Enrollment '[mmm-yyyy']]]),"-",AND((Tbl_ResidentData[[#This Row],[Enrollment '[mmm-yyyy']]]&lt;=Z$4),IF(ISBLANK(Tbl_ResidentData[[#This Row],[Discharge '[mmm-yyyy']]]),TRUE,(Tbl_ResidentData[[#This Row],[Discharge '[mmm-yyyy']]]&gt;=Z$4)))))</f>
        <v>-</v>
      </c>
      <c r="AA104" s="121" t="str">
        <f ca="1">IF(AA$4&gt;NOW(),"-",IF(ISBLANK(Tbl_ResidentData[[#This Row],[Enrollment '[mmm-yyyy']]]),"-",AND((Tbl_ResidentData[[#This Row],[Enrollment '[mmm-yyyy']]]&lt;=AA$4),IF(ISBLANK(Tbl_ResidentData[[#This Row],[Discharge '[mmm-yyyy']]]),TRUE,(Tbl_ResidentData[[#This Row],[Discharge '[mmm-yyyy']]]&gt;=AA$4)))))</f>
        <v>-</v>
      </c>
      <c r="AB104" s="121" t="str">
        <f ca="1">IF(AB$4&gt;NOW(),"-",IF(ISBLANK(Tbl_ResidentData[[#This Row],[Enrollment '[mmm-yyyy']]]),"-",AND((Tbl_ResidentData[[#This Row],[Enrollment '[mmm-yyyy']]]&lt;=AB$4),IF(ISBLANK(Tbl_ResidentData[[#This Row],[Discharge '[mmm-yyyy']]]),TRUE,(Tbl_ResidentData[[#This Row],[Discharge '[mmm-yyyy']]]&gt;=AB$4)))))</f>
        <v>-</v>
      </c>
      <c r="AC104" s="121" t="str">
        <f ca="1">IF(AC$4&gt;NOW(),"-",IF(ISBLANK(Tbl_ResidentData[[#This Row],[Enrollment '[mmm-yyyy']]]),"-",AND((Tbl_ResidentData[[#This Row],[Enrollment '[mmm-yyyy']]]&lt;=AC$4),IF(ISBLANK(Tbl_ResidentData[[#This Row],[Discharge '[mmm-yyyy']]]),TRUE,(Tbl_ResidentData[[#This Row],[Discharge '[mmm-yyyy']]]&gt;=AC$4)))))</f>
        <v>-</v>
      </c>
      <c r="AD104" s="121" t="str">
        <f ca="1">IF(AD$4&gt;NOW(),"-",IF(ISBLANK(Tbl_ResidentData[[#This Row],[Enrollment '[mmm-yyyy']]]),"-",AND((Tbl_ResidentData[[#This Row],[Enrollment '[mmm-yyyy']]]&lt;=AD$4),IF(ISBLANK(Tbl_ResidentData[[#This Row],[Discharge '[mmm-yyyy']]]),TRUE,(Tbl_ResidentData[[#This Row],[Discharge '[mmm-yyyy']]]&gt;=AD$4)))))</f>
        <v>-</v>
      </c>
      <c r="AE104" s="121" t="str">
        <f ca="1">IF(AE$4&gt;NOW(),"-",IF(ISBLANK(Tbl_ResidentData[[#This Row],[Enrollment '[mmm-yyyy']]]),"-",AND((Tbl_ResidentData[[#This Row],[Enrollment '[mmm-yyyy']]]&lt;=AE$4),IF(ISBLANK(Tbl_ResidentData[[#This Row],[Discharge '[mmm-yyyy']]]),TRUE,(Tbl_ResidentData[[#This Row],[Discharge '[mmm-yyyy']]]&gt;=AE$4)))))</f>
        <v>-</v>
      </c>
      <c r="AF104" s="121" t="str">
        <f ca="1">IF(AF$4&gt;NOW(),"-",IF(ISBLANK(Tbl_ResidentData[[#This Row],[Enrollment '[mmm-yyyy']]]),"-",AND((Tbl_ResidentData[[#This Row],[Enrollment '[mmm-yyyy']]]&lt;=AF$4),IF(ISBLANK(Tbl_ResidentData[[#This Row],[Discharge '[mmm-yyyy']]]),TRUE,(Tbl_ResidentData[[#This Row],[Discharge '[mmm-yyyy']]]&gt;=AF$4)))))</f>
        <v>-</v>
      </c>
      <c r="AG104" s="121" t="str">
        <f ca="1">IF(AG$4&gt;NOW(),"-",IF(ISBLANK(Tbl_ResidentData[[#This Row],[Enrollment '[mmm-yyyy']]]),"-",AND((Tbl_ResidentData[[#This Row],[Enrollment '[mmm-yyyy']]]&lt;=AG$4),IF(ISBLANK(Tbl_ResidentData[[#This Row],[Discharge '[mmm-yyyy']]]),TRUE,(Tbl_ResidentData[[#This Row],[Discharge '[mmm-yyyy']]]&gt;=AG$4)))))</f>
        <v>-</v>
      </c>
      <c r="AH104" s="121" t="str">
        <f ca="1">IF(AH$4&gt;NOW(),"-",IF(ISBLANK(Tbl_ResidentData[[#This Row],[Enrollment '[mmm-yyyy']]]),"-",AND((Tbl_ResidentData[[#This Row],[Enrollment '[mmm-yyyy']]]&lt;=AH$4),IF(ISBLANK(Tbl_ResidentData[[#This Row],[Discharge '[mmm-yyyy']]]),TRUE,(Tbl_ResidentData[[#This Row],[Discharge '[mmm-yyyy']]]&gt;=AH$4)))))</f>
        <v>-</v>
      </c>
      <c r="AI104" s="121" t="str">
        <f ca="1">IF(AI$4&gt;NOW(),"-",IF(ISBLANK(Tbl_ResidentData[[#This Row],[Enrollment '[mmm-yyyy']]]),"-",AND((Tbl_ResidentData[[#This Row],[Enrollment '[mmm-yyyy']]]&lt;=AI$4),IF(ISBLANK(Tbl_ResidentData[[#This Row],[Discharge '[mmm-yyyy']]]),TRUE,(Tbl_ResidentData[[#This Row],[Discharge '[mmm-yyyy']]]&gt;=AI$4)))))</f>
        <v>-</v>
      </c>
      <c r="AJ104" s="121" t="str">
        <f ca="1">IF(AJ$4&gt;NOW(),"-",IF(ISBLANK(Tbl_ResidentData[[#This Row],[Enrollment '[mmm-yyyy']]]),"-",AND((Tbl_ResidentData[[#This Row],[Enrollment '[mmm-yyyy']]]&lt;=AJ$4),IF(ISBLANK(Tbl_ResidentData[[#This Row],[Discharge '[mmm-yyyy']]]),TRUE,(Tbl_ResidentData[[#This Row],[Discharge '[mmm-yyyy']]]&gt;=AJ$4)))))</f>
        <v>-</v>
      </c>
      <c r="AK104" s="121" t="str">
        <f ca="1">IF(AK$4&gt;NOW(),"-",IF(ISBLANK(Tbl_ResidentData[[#This Row],[Enrollment '[mmm-yyyy']]]),"-",AND((Tbl_ResidentData[[#This Row],[Enrollment '[mmm-yyyy']]]&lt;=AK$4),IF(ISBLANK(Tbl_ResidentData[[#This Row],[Discharge '[mmm-yyyy']]]),TRUE,(Tbl_ResidentData[[#This Row],[Discharge '[mmm-yyyy']]]&gt;=AK$4)))))</f>
        <v>-</v>
      </c>
      <c r="AL104" s="121" t="str">
        <f ca="1">IF(AL$4&gt;NOW(),"-",IF(ISBLANK(Tbl_ResidentData[[#This Row],[Enrollment '[mmm-yyyy']]]),"-",AND((Tbl_ResidentData[[#This Row],[Enrollment '[mmm-yyyy']]]&lt;=AL$4),IF(ISBLANK(Tbl_ResidentData[[#This Row],[Discharge '[mmm-yyyy']]]),TRUE,(Tbl_ResidentData[[#This Row],[Discharge '[mmm-yyyy']]]&gt;=AL$4)))))</f>
        <v>-</v>
      </c>
      <c r="AM104" s="121" t="str">
        <f ca="1">IF(AM$4&gt;NOW(),"-",IF(ISBLANK(Tbl_ResidentData[[#This Row],[Enrollment '[mmm-yyyy']]]),"-",AND((Tbl_ResidentData[[#This Row],[Enrollment '[mmm-yyyy']]]&lt;=AM$4),IF(ISBLANK(Tbl_ResidentData[[#This Row],[Discharge '[mmm-yyyy']]]),TRUE,(Tbl_ResidentData[[#This Row],[Discharge '[mmm-yyyy']]]&gt;=AM$4)))))</f>
        <v>-</v>
      </c>
      <c r="AN104" s="121" t="str">
        <f ca="1">IF(AN$4&gt;NOW(),"-",IF(ISBLANK(Tbl_ResidentData[[#This Row],[Enrollment '[mmm-yyyy']]]),"-",AND((Tbl_ResidentData[[#This Row],[Enrollment '[mmm-yyyy']]]&lt;=AN$4),IF(ISBLANK(Tbl_ResidentData[[#This Row],[Discharge '[mmm-yyyy']]]),TRUE,(Tbl_ResidentData[[#This Row],[Discharge '[mmm-yyyy']]]&gt;=AN$4)))))</f>
        <v>-</v>
      </c>
      <c r="AO104" s="121" t="str">
        <f ca="1">IF(AO$4&gt;NOW(),"-",IF(ISBLANK(Tbl_ResidentData[[#This Row],[Enrollment '[mmm-yyyy']]]),"-",AND((Tbl_ResidentData[[#This Row],[Enrollment '[mmm-yyyy']]]&lt;=AO$4),IF(ISBLANK(Tbl_ResidentData[[#This Row],[Discharge '[mmm-yyyy']]]),TRUE,(Tbl_ResidentData[[#This Row],[Discharge '[mmm-yyyy']]]&gt;=AO$4)))))</f>
        <v>-</v>
      </c>
      <c r="AP104" s="121" t="str">
        <f ca="1">IF(AP$4&gt;NOW(),"-",IF(ISBLANK(Tbl_ResidentData[[#This Row],[Enrollment '[mmm-yyyy']]]),"-",AND((Tbl_ResidentData[[#This Row],[Enrollment '[mmm-yyyy']]]&lt;=AP$4),IF(ISBLANK(Tbl_ResidentData[[#This Row],[Discharge '[mmm-yyyy']]]),TRUE,(Tbl_ResidentData[[#This Row],[Discharge '[mmm-yyyy']]]&gt;=AP$4)))))</f>
        <v>-</v>
      </c>
      <c r="AQ104" s="121" t="str">
        <f ca="1">IF(AQ$4&gt;NOW(),"-",IF(ISBLANK(Tbl_ResidentData[[#This Row],[Enrollment '[mmm-yyyy']]]),"-",AND((Tbl_ResidentData[[#This Row],[Enrollment '[mmm-yyyy']]]&lt;=AQ$4),IF(ISBLANK(Tbl_ResidentData[[#This Row],[Discharge '[mmm-yyyy']]]),TRUE,(Tbl_ResidentData[[#This Row],[Discharge '[mmm-yyyy']]]&gt;=AQ$4)))))</f>
        <v>-</v>
      </c>
      <c r="AR104" s="122" t="str">
        <f ca="1">IF(AR$4&gt;NOW(),"-",IF(ISBLANK(Tbl_ResidentData[[#This Row],[Enrollment '[mmm-yyyy']]]),"-",AND((Tbl_ResidentData[[#This Row],[Enrollment '[mmm-yyyy']]]&lt;=AR$4),IF(ISBLANK(Tbl_ResidentData[[#This Row],[Discharge '[mmm-yyyy']]]),TRUE,(Tbl_ResidentData[[#This Row],[Discharge '[mmm-yyyy']]]&gt;=AR$4)))))</f>
        <v>-</v>
      </c>
      <c r="AS10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4" s="120" t="b">
        <f ca="1">AND(Tbl_ResidentData[[#This Row],[PRN Med Started]]&lt;&gt;"",Tbl_ResidentData[[#This Row],[PRN Med Started]]&lt;=NOW(),Tbl_ResidentData[[#This Row],[PRN Med Started]]&lt;=AS$4,OR(Tbl_ResidentData[[#This Row],[PRN Med Discontinued]]&gt;AS$4,ISBLANK(Tbl_ResidentData[[#This Row],[PRN Med Discontinued]])))</f>
        <v>0</v>
      </c>
      <c r="BR104" s="121" t="b">
        <f ca="1">AND(Tbl_ResidentData[[#This Row],[PRN Med Started]]&lt;&gt;"",Tbl_ResidentData[[#This Row],[PRN Med Started]]&lt;=NOW(),Tbl_ResidentData[[#This Row],[PRN Med Started]]&lt;=AT$4,OR(Tbl_ResidentData[[#This Row],[PRN Med Discontinued]]&gt;AT$4,ISBLANK(Tbl_ResidentData[[#This Row],[PRN Med Discontinued]])))</f>
        <v>0</v>
      </c>
      <c r="BS104" s="121" t="b">
        <f ca="1">AND(Tbl_ResidentData[[#This Row],[PRN Med Started]]&lt;&gt;"",Tbl_ResidentData[[#This Row],[PRN Med Started]]&lt;=NOW(),Tbl_ResidentData[[#This Row],[PRN Med Started]]&lt;=AU$4,OR(Tbl_ResidentData[[#This Row],[PRN Med Discontinued]]&gt;AU$4,ISBLANK(Tbl_ResidentData[[#This Row],[PRN Med Discontinued]])))</f>
        <v>0</v>
      </c>
      <c r="BT104" s="121" t="b">
        <f ca="1">AND(Tbl_ResidentData[[#This Row],[PRN Med Started]]&lt;&gt;"",Tbl_ResidentData[[#This Row],[PRN Med Started]]&lt;=NOW(),Tbl_ResidentData[[#This Row],[PRN Med Started]]&lt;=AV$4,OR(Tbl_ResidentData[[#This Row],[PRN Med Discontinued]]&gt;AV$4,ISBLANK(Tbl_ResidentData[[#This Row],[PRN Med Discontinued]])))</f>
        <v>0</v>
      </c>
      <c r="BU104" s="121" t="b">
        <f ca="1">AND(Tbl_ResidentData[[#This Row],[PRN Med Started]]&lt;&gt;"",Tbl_ResidentData[[#This Row],[PRN Med Started]]&lt;=NOW(),Tbl_ResidentData[[#This Row],[PRN Med Started]]&lt;=AW$4,OR(Tbl_ResidentData[[#This Row],[PRN Med Discontinued]]&gt;AW$4,ISBLANK(Tbl_ResidentData[[#This Row],[PRN Med Discontinued]])))</f>
        <v>0</v>
      </c>
      <c r="BV104" s="121" t="b">
        <f ca="1">AND(Tbl_ResidentData[[#This Row],[PRN Med Started]]&lt;&gt;"",Tbl_ResidentData[[#This Row],[PRN Med Started]]&lt;=NOW(),Tbl_ResidentData[[#This Row],[PRN Med Started]]&lt;=AX$4,OR(Tbl_ResidentData[[#This Row],[PRN Med Discontinued]]&gt;AX$4,ISBLANK(Tbl_ResidentData[[#This Row],[PRN Med Discontinued]])))</f>
        <v>0</v>
      </c>
      <c r="BW104" s="121" t="b">
        <f ca="1">AND(Tbl_ResidentData[[#This Row],[PRN Med Started]]&lt;&gt;"",Tbl_ResidentData[[#This Row],[PRN Med Started]]&lt;=NOW(),Tbl_ResidentData[[#This Row],[PRN Med Started]]&lt;=AY$4,OR(Tbl_ResidentData[[#This Row],[PRN Med Discontinued]]&gt;AY$4,ISBLANK(Tbl_ResidentData[[#This Row],[PRN Med Discontinued]])))</f>
        <v>0</v>
      </c>
      <c r="BX104" s="121" t="b">
        <f ca="1">AND(Tbl_ResidentData[[#This Row],[PRN Med Started]]&lt;&gt;"",Tbl_ResidentData[[#This Row],[PRN Med Started]]&lt;=NOW(),Tbl_ResidentData[[#This Row],[PRN Med Started]]&lt;=AZ$4,OR(Tbl_ResidentData[[#This Row],[PRN Med Discontinued]]&gt;AZ$4,ISBLANK(Tbl_ResidentData[[#This Row],[PRN Med Discontinued]])))</f>
        <v>0</v>
      </c>
      <c r="BY104" s="121" t="b">
        <f ca="1">AND(Tbl_ResidentData[[#This Row],[PRN Med Started]]&lt;&gt;"",Tbl_ResidentData[[#This Row],[PRN Med Started]]&lt;=NOW(),Tbl_ResidentData[[#This Row],[PRN Med Started]]&lt;=BA$4,OR(Tbl_ResidentData[[#This Row],[PRN Med Discontinued]]&gt;BA$4,ISBLANK(Tbl_ResidentData[[#This Row],[PRN Med Discontinued]])))</f>
        <v>0</v>
      </c>
      <c r="BZ104" s="121" t="b">
        <f ca="1">AND(Tbl_ResidentData[[#This Row],[PRN Med Started]]&lt;&gt;"",Tbl_ResidentData[[#This Row],[PRN Med Started]]&lt;=NOW(),Tbl_ResidentData[[#This Row],[PRN Med Started]]&lt;=BB$4,OR(Tbl_ResidentData[[#This Row],[PRN Med Discontinued]]&gt;BB$4,ISBLANK(Tbl_ResidentData[[#This Row],[PRN Med Discontinued]])))</f>
        <v>0</v>
      </c>
      <c r="CA104" s="121" t="b">
        <f ca="1">AND(Tbl_ResidentData[[#This Row],[PRN Med Started]]&lt;&gt;"",Tbl_ResidentData[[#This Row],[PRN Med Started]]&lt;=NOW(),Tbl_ResidentData[[#This Row],[PRN Med Started]]&lt;=BC$4,OR(Tbl_ResidentData[[#This Row],[PRN Med Discontinued]]&gt;BC$4,ISBLANK(Tbl_ResidentData[[#This Row],[PRN Med Discontinued]])))</f>
        <v>0</v>
      </c>
      <c r="CB104" s="121" t="b">
        <f ca="1">AND(Tbl_ResidentData[[#This Row],[PRN Med Started]]&lt;&gt;"",Tbl_ResidentData[[#This Row],[PRN Med Started]]&lt;=NOW(),Tbl_ResidentData[[#This Row],[PRN Med Started]]&lt;=BD$4,OR(Tbl_ResidentData[[#This Row],[PRN Med Discontinued]]&gt;BD$4,ISBLANK(Tbl_ResidentData[[#This Row],[PRN Med Discontinued]])))</f>
        <v>0</v>
      </c>
      <c r="CC104" s="121" t="b">
        <f ca="1">AND(Tbl_ResidentData[[#This Row],[PRN Med Started]]&lt;&gt;"",Tbl_ResidentData[[#This Row],[PRN Med Started]]&lt;=NOW(),Tbl_ResidentData[[#This Row],[PRN Med Started]]&lt;=BE$4,OR(Tbl_ResidentData[[#This Row],[PRN Med Discontinued]]&gt;BE$4,ISBLANK(Tbl_ResidentData[[#This Row],[PRN Med Discontinued]])))</f>
        <v>0</v>
      </c>
      <c r="CD104" s="121" t="b">
        <f ca="1">AND(Tbl_ResidentData[[#This Row],[PRN Med Started]]&lt;&gt;"",Tbl_ResidentData[[#This Row],[PRN Med Started]]&lt;=NOW(),Tbl_ResidentData[[#This Row],[PRN Med Started]]&lt;=BF$4,OR(Tbl_ResidentData[[#This Row],[PRN Med Discontinued]]&gt;BF$4,ISBLANK(Tbl_ResidentData[[#This Row],[PRN Med Discontinued]])))</f>
        <v>0</v>
      </c>
      <c r="CE104" s="121" t="b">
        <f ca="1">AND(Tbl_ResidentData[[#This Row],[PRN Med Started]]&lt;&gt;"",Tbl_ResidentData[[#This Row],[PRN Med Started]]&lt;=NOW(),Tbl_ResidentData[[#This Row],[PRN Med Started]]&lt;=BG$4,OR(Tbl_ResidentData[[#This Row],[PRN Med Discontinued]]&gt;BG$4,ISBLANK(Tbl_ResidentData[[#This Row],[PRN Med Discontinued]])))</f>
        <v>0</v>
      </c>
      <c r="CF104" s="121" t="b">
        <f ca="1">AND(Tbl_ResidentData[[#This Row],[PRN Med Started]]&lt;&gt;"",Tbl_ResidentData[[#This Row],[PRN Med Started]]&lt;=NOW(),Tbl_ResidentData[[#This Row],[PRN Med Started]]&lt;=BH$4,OR(Tbl_ResidentData[[#This Row],[PRN Med Discontinued]]&gt;BH$4,ISBLANK(Tbl_ResidentData[[#This Row],[PRN Med Discontinued]])))</f>
        <v>0</v>
      </c>
      <c r="CG104" s="121" t="b">
        <f ca="1">AND(Tbl_ResidentData[[#This Row],[PRN Med Started]]&lt;&gt;"",Tbl_ResidentData[[#This Row],[PRN Med Started]]&lt;=NOW(),Tbl_ResidentData[[#This Row],[PRN Med Started]]&lt;=BI$4,OR(Tbl_ResidentData[[#This Row],[PRN Med Discontinued]]&gt;BI$4,ISBLANK(Tbl_ResidentData[[#This Row],[PRN Med Discontinued]])))</f>
        <v>0</v>
      </c>
      <c r="CH104" s="121" t="b">
        <f ca="1">AND(Tbl_ResidentData[[#This Row],[PRN Med Started]]&lt;&gt;"",Tbl_ResidentData[[#This Row],[PRN Med Started]]&lt;=NOW(),Tbl_ResidentData[[#This Row],[PRN Med Started]]&lt;=BJ$4,OR(Tbl_ResidentData[[#This Row],[PRN Med Discontinued]]&gt;BJ$4,ISBLANK(Tbl_ResidentData[[#This Row],[PRN Med Discontinued]])))</f>
        <v>0</v>
      </c>
      <c r="CI104" s="121" t="b">
        <f ca="1">AND(Tbl_ResidentData[[#This Row],[PRN Med Started]]&lt;&gt;"",Tbl_ResidentData[[#This Row],[PRN Med Started]]&lt;=NOW(),Tbl_ResidentData[[#This Row],[PRN Med Started]]&lt;=BK$4,OR(Tbl_ResidentData[[#This Row],[PRN Med Discontinued]]&gt;BK$4,ISBLANK(Tbl_ResidentData[[#This Row],[PRN Med Discontinued]])))</f>
        <v>0</v>
      </c>
      <c r="CJ104" s="121" t="b">
        <f ca="1">AND(Tbl_ResidentData[[#This Row],[PRN Med Started]]&lt;&gt;"",Tbl_ResidentData[[#This Row],[PRN Med Started]]&lt;=NOW(),Tbl_ResidentData[[#This Row],[PRN Med Started]]&lt;=BL$4,OR(Tbl_ResidentData[[#This Row],[PRN Med Discontinued]]&gt;BL$4,ISBLANK(Tbl_ResidentData[[#This Row],[PRN Med Discontinued]])))</f>
        <v>0</v>
      </c>
      <c r="CK104" s="121" t="b">
        <f ca="1">AND(Tbl_ResidentData[[#This Row],[PRN Med Started]]&lt;&gt;"",Tbl_ResidentData[[#This Row],[PRN Med Started]]&lt;=NOW(),Tbl_ResidentData[[#This Row],[PRN Med Started]]&lt;=BM$4,OR(Tbl_ResidentData[[#This Row],[PRN Med Discontinued]]&gt;BM$4,ISBLANK(Tbl_ResidentData[[#This Row],[PRN Med Discontinued]])))</f>
        <v>0</v>
      </c>
      <c r="CL104" s="121" t="b">
        <f ca="1">AND(Tbl_ResidentData[[#This Row],[PRN Med Started]]&lt;&gt;"",Tbl_ResidentData[[#This Row],[PRN Med Started]]&lt;=NOW(),Tbl_ResidentData[[#This Row],[PRN Med Started]]&lt;=BN$4,OR(Tbl_ResidentData[[#This Row],[PRN Med Discontinued]]&gt;BN$4,ISBLANK(Tbl_ResidentData[[#This Row],[PRN Med Discontinued]])))</f>
        <v>0</v>
      </c>
      <c r="CM104" s="121" t="b">
        <f ca="1">AND(Tbl_ResidentData[[#This Row],[PRN Med Started]]&lt;&gt;"",Tbl_ResidentData[[#This Row],[PRN Med Started]]&lt;=NOW(),Tbl_ResidentData[[#This Row],[PRN Med Started]]&lt;=BO$4,OR(Tbl_ResidentData[[#This Row],[PRN Med Discontinued]]&gt;BO$4,ISBLANK(Tbl_ResidentData[[#This Row],[PRN Med Discontinued]])))</f>
        <v>0</v>
      </c>
      <c r="CN104" s="122" t="b">
        <f ca="1">AND(Tbl_ResidentData[[#This Row],[PRN Med Started]]&lt;&gt;"",Tbl_ResidentData[[#This Row],[PRN Med Started]]&lt;=NOW(),Tbl_ResidentData[[#This Row],[PRN Med Started]]&lt;=BP$4,OR(Tbl_ResidentData[[#This Row],[PRN Med Discontinued]]&gt;BP$4,ISBLANK(Tbl_ResidentData[[#This Row],[PRN Med Discontinued]])))</f>
        <v>0</v>
      </c>
      <c r="CO104" s="120">
        <f ca="1">IF(OR(Tbl_ResidentData[[#This Row],[S1]]=TRUE,Tbl_ResidentData[[#This Row],[P1]]=TRUE),1,0)</f>
        <v>0</v>
      </c>
      <c r="CP104" s="121">
        <f ca="1">IF(OR(Tbl_ResidentData[[#This Row],[S2]]=TRUE,Tbl_ResidentData[[#This Row],[P2]]=TRUE),1,0)</f>
        <v>0</v>
      </c>
      <c r="CQ104" s="121">
        <f ca="1">IF(OR(Tbl_ResidentData[[#This Row],[S3]]=TRUE,Tbl_ResidentData[[#This Row],[P3]]=TRUE),1,0)</f>
        <v>0</v>
      </c>
      <c r="CR104" s="120">
        <f ca="1">IF(OR(Tbl_ResidentData[[#This Row],[S4]]=TRUE,Tbl_ResidentData[[#This Row],[P4]]=TRUE),1,0)</f>
        <v>0</v>
      </c>
      <c r="CS104" s="120">
        <f ca="1">IF(OR(Tbl_ResidentData[[#This Row],[S5]]=TRUE,Tbl_ResidentData[[#This Row],[P5]]=TRUE),1,0)</f>
        <v>0</v>
      </c>
      <c r="CT104" s="120">
        <f ca="1">IF(OR(Tbl_ResidentData[[#This Row],[S6]]=TRUE,Tbl_ResidentData[[#This Row],[P6]]=TRUE),1,0)</f>
        <v>0</v>
      </c>
      <c r="CU104" s="120">
        <f ca="1">IF(OR(Tbl_ResidentData[[#This Row],[S7]]=TRUE,Tbl_ResidentData[[#This Row],[P7]]=TRUE),1,0)</f>
        <v>0</v>
      </c>
      <c r="CV104" s="120">
        <f ca="1">IF(OR(Tbl_ResidentData[[#This Row],[S8]]=TRUE,Tbl_ResidentData[[#This Row],[P8]]=TRUE),1,0)</f>
        <v>0</v>
      </c>
      <c r="CW104" s="120">
        <f ca="1">IF(OR(Tbl_ResidentData[[#This Row],[S9]]=TRUE,Tbl_ResidentData[[#This Row],[P9]]=TRUE),1,0)</f>
        <v>0</v>
      </c>
      <c r="CX104" s="120">
        <f ca="1">IF(OR(Tbl_ResidentData[[#This Row],[S10]]=TRUE,Tbl_ResidentData[[#This Row],[P10]]=TRUE),1,0)</f>
        <v>0</v>
      </c>
      <c r="CY104" s="120">
        <f ca="1">IF(OR(Tbl_ResidentData[[#This Row],[S11]]=TRUE,Tbl_ResidentData[[#This Row],[P11]]=TRUE),1,0)</f>
        <v>0</v>
      </c>
      <c r="CZ104" s="120">
        <f ca="1">IF(OR(Tbl_ResidentData[[#This Row],[S12]]=TRUE,Tbl_ResidentData[[#This Row],[P12]]=TRUE),1,0)</f>
        <v>0</v>
      </c>
      <c r="DA104" s="120">
        <f ca="1">IF(OR(Tbl_ResidentData[[#This Row],[S13]]=TRUE,Tbl_ResidentData[[#This Row],[P13]]=TRUE),1,0)</f>
        <v>0</v>
      </c>
      <c r="DB104" s="120">
        <f ca="1">IF(OR(Tbl_ResidentData[[#This Row],[S14]]=TRUE,Tbl_ResidentData[[#This Row],[P14]]=TRUE),1,0)</f>
        <v>0</v>
      </c>
      <c r="DC104" s="120">
        <f ca="1">IF(OR(Tbl_ResidentData[[#This Row],[S15]]=TRUE,Tbl_ResidentData[[#This Row],[P15]]=TRUE),1,0)</f>
        <v>0</v>
      </c>
      <c r="DD104" s="120">
        <f ca="1">IF(OR(Tbl_ResidentData[[#This Row],[S16]]=TRUE,Tbl_ResidentData[[#This Row],[P16]]=TRUE),1,0)</f>
        <v>0</v>
      </c>
      <c r="DE104" s="120">
        <f ca="1">IF(OR(Tbl_ResidentData[[#This Row],[S17]]=TRUE,Tbl_ResidentData[[#This Row],[P17]]=TRUE),1,0)</f>
        <v>0</v>
      </c>
      <c r="DF104" s="120">
        <f ca="1">IF(OR(Tbl_ResidentData[[#This Row],[S18]]=TRUE,Tbl_ResidentData[[#This Row],[P18]]=TRUE),1,0)</f>
        <v>0</v>
      </c>
      <c r="DG104" s="120">
        <f ca="1">IF(OR(Tbl_ResidentData[[#This Row],[S19]]=TRUE,Tbl_ResidentData[[#This Row],[P19]]=TRUE),1,0)</f>
        <v>0</v>
      </c>
      <c r="DH104" s="120">
        <f ca="1">IF(OR(Tbl_ResidentData[[#This Row],[S20]]=TRUE,Tbl_ResidentData[[#This Row],[P20]]=TRUE),1,0)</f>
        <v>0</v>
      </c>
      <c r="DI104" s="120">
        <f ca="1">IF(OR(Tbl_ResidentData[[#This Row],[S21]]=TRUE,Tbl_ResidentData[[#This Row],[P21]]=TRUE),1,0)</f>
        <v>0</v>
      </c>
      <c r="DJ104" s="120">
        <f ca="1">IF(OR(Tbl_ResidentData[[#This Row],[S22]]=TRUE,Tbl_ResidentData[[#This Row],[P22]]=TRUE),1,0)</f>
        <v>0</v>
      </c>
      <c r="DK104" s="120">
        <f ca="1">IF(OR(Tbl_ResidentData[[#This Row],[S23]]=TRUE,Tbl_ResidentData[[#This Row],[P23]]=TRUE),1,0)</f>
        <v>0</v>
      </c>
      <c r="DL104" s="120">
        <f ca="1">IF(OR(Tbl_ResidentData[[#This Row],[S24]]=TRUE,Tbl_ResidentData[[#This Row],[P24]]=TRUE),1,0)</f>
        <v>0</v>
      </c>
      <c r="DM104" s="123" t="str">
        <f ca="1">IFERROR(INDEX($CO$4:$DL$4,MATCH(TRUE,INDEX((Tbl_ResidentData[[#This Row],[Over1]:[Over24]]&lt;&gt;0),0),0)),"")</f>
        <v/>
      </c>
      <c r="DN104" s="133" t="str">
        <f>IFERROR(INDEX(Tbl_PDSAData[Last DRT],MATCH(Tbl_ResidentData[Resident Name '[last, first']],Tbl_PDSAData[Resident Name (last, first)],0)),"")</f>
        <v/>
      </c>
      <c r="DO104" s="222" t="str">
        <f>IFERROR(INDEX(Tbl_PDSAData[Last MR],MATCH(Tbl_ResidentData[Resident Name '[last, first']],Tbl_PDSAData[Resident Name (last, first)],0)),"")</f>
        <v/>
      </c>
    </row>
    <row r="105" spans="1:119" x14ac:dyDescent="0.25">
      <c r="A105" s="179"/>
      <c r="B105" s="180"/>
      <c r="C105" s="180"/>
      <c r="D105" s="217"/>
      <c r="E105" s="179"/>
      <c r="F105" s="181"/>
      <c r="G105" s="181"/>
      <c r="H105" s="182"/>
      <c r="I105" s="185"/>
      <c r="J105" s="387"/>
      <c r="K105" s="178"/>
      <c r="L105" s="388"/>
      <c r="M105" s="185"/>
      <c r="N105" s="386"/>
      <c r="O105" s="178"/>
      <c r="P105" s="388"/>
      <c r="Q105" s="395"/>
      <c r="R105" s="396"/>
      <c r="S105" s="131" t="str">
        <f>IF(ISBLANK(Tbl_ResidentData[[#This Row],[Discharge '[mmm-yyyy']]]),IF(ISBLANK(Tbl_ResidentData[[#This Row],[Enrollment '[mmm-yyyy']]]),"","In Care Home"),"Discharged")</f>
        <v/>
      </c>
      <c r="T105" s="119" t="str">
        <f>IF(ISBLANK(Tbl_ResidentData[[#This Row],[Diagnosis (RAI)]]),IF(ISBLANK(Tbl_ResidentData[[#This Row],[Resident Name '[last, first']]]),"",0),IF(Tbl_ResidentData[[#This Row],[Diagnosis (RAI)]]="Other (see clinical notes)",0,1))</f>
        <v/>
      </c>
      <c r="U105" s="120" t="str">
        <f ca="1">IF(U$4&gt;NOW(),"-",IF(ISBLANK(Tbl_ResidentData[[#This Row],[Enrollment '[mmm-yyyy']]]),"-",AND((Tbl_ResidentData[[#This Row],[Enrollment '[mmm-yyyy']]]&lt;=U$4),IF(ISBLANK(Tbl_ResidentData[[#This Row],[Discharge '[mmm-yyyy']]]),TRUE,(Tbl_ResidentData[[#This Row],[Discharge '[mmm-yyyy']]]&gt;=U$4)))))</f>
        <v>-</v>
      </c>
      <c r="V105" s="121" t="str">
        <f ca="1">IF(V$4&gt;NOW(),"-",IF(ISBLANK(Tbl_ResidentData[[#This Row],[Enrollment '[mmm-yyyy']]]),"-",AND((Tbl_ResidentData[[#This Row],[Enrollment '[mmm-yyyy']]]&lt;=V$4),IF(ISBLANK(Tbl_ResidentData[[#This Row],[Discharge '[mmm-yyyy']]]),TRUE,(Tbl_ResidentData[[#This Row],[Discharge '[mmm-yyyy']]]&gt;=V$4)))))</f>
        <v>-</v>
      </c>
      <c r="W105" s="121" t="str">
        <f ca="1">IF(W$4&gt;NOW(),"-",IF(ISBLANK(Tbl_ResidentData[[#This Row],[Enrollment '[mmm-yyyy']]]),"-",AND((Tbl_ResidentData[[#This Row],[Enrollment '[mmm-yyyy']]]&lt;=W$4),IF(ISBLANK(Tbl_ResidentData[[#This Row],[Discharge '[mmm-yyyy']]]),TRUE,(Tbl_ResidentData[[#This Row],[Discharge '[mmm-yyyy']]]&gt;=W$4)))))</f>
        <v>-</v>
      </c>
      <c r="X105" s="121" t="str">
        <f ca="1">IF(X$4&gt;NOW(),"-",IF(ISBLANK(Tbl_ResidentData[[#This Row],[Enrollment '[mmm-yyyy']]]),"-",AND((Tbl_ResidentData[[#This Row],[Enrollment '[mmm-yyyy']]]&lt;=X$4),IF(ISBLANK(Tbl_ResidentData[[#This Row],[Discharge '[mmm-yyyy']]]),TRUE,(Tbl_ResidentData[[#This Row],[Discharge '[mmm-yyyy']]]&gt;=X$4)))))</f>
        <v>-</v>
      </c>
      <c r="Y105" s="121" t="str">
        <f ca="1">IF(Y$4&gt;NOW(),"-",IF(ISBLANK(Tbl_ResidentData[[#This Row],[Enrollment '[mmm-yyyy']]]),"-",AND((Tbl_ResidentData[[#This Row],[Enrollment '[mmm-yyyy']]]&lt;=Y$4),IF(ISBLANK(Tbl_ResidentData[[#This Row],[Discharge '[mmm-yyyy']]]),TRUE,(Tbl_ResidentData[[#This Row],[Discharge '[mmm-yyyy']]]&gt;=Y$4)))))</f>
        <v>-</v>
      </c>
      <c r="Z105" s="121" t="str">
        <f ca="1">IF(Z$4&gt;NOW(),"-",IF(ISBLANK(Tbl_ResidentData[[#This Row],[Enrollment '[mmm-yyyy']]]),"-",AND((Tbl_ResidentData[[#This Row],[Enrollment '[mmm-yyyy']]]&lt;=Z$4),IF(ISBLANK(Tbl_ResidentData[[#This Row],[Discharge '[mmm-yyyy']]]),TRUE,(Tbl_ResidentData[[#This Row],[Discharge '[mmm-yyyy']]]&gt;=Z$4)))))</f>
        <v>-</v>
      </c>
      <c r="AA105" s="121" t="str">
        <f ca="1">IF(AA$4&gt;NOW(),"-",IF(ISBLANK(Tbl_ResidentData[[#This Row],[Enrollment '[mmm-yyyy']]]),"-",AND((Tbl_ResidentData[[#This Row],[Enrollment '[mmm-yyyy']]]&lt;=AA$4),IF(ISBLANK(Tbl_ResidentData[[#This Row],[Discharge '[mmm-yyyy']]]),TRUE,(Tbl_ResidentData[[#This Row],[Discharge '[mmm-yyyy']]]&gt;=AA$4)))))</f>
        <v>-</v>
      </c>
      <c r="AB105" s="121" t="str">
        <f ca="1">IF(AB$4&gt;NOW(),"-",IF(ISBLANK(Tbl_ResidentData[[#This Row],[Enrollment '[mmm-yyyy']]]),"-",AND((Tbl_ResidentData[[#This Row],[Enrollment '[mmm-yyyy']]]&lt;=AB$4),IF(ISBLANK(Tbl_ResidentData[[#This Row],[Discharge '[mmm-yyyy']]]),TRUE,(Tbl_ResidentData[[#This Row],[Discharge '[mmm-yyyy']]]&gt;=AB$4)))))</f>
        <v>-</v>
      </c>
      <c r="AC105" s="121" t="str">
        <f ca="1">IF(AC$4&gt;NOW(),"-",IF(ISBLANK(Tbl_ResidentData[[#This Row],[Enrollment '[mmm-yyyy']]]),"-",AND((Tbl_ResidentData[[#This Row],[Enrollment '[mmm-yyyy']]]&lt;=AC$4),IF(ISBLANK(Tbl_ResidentData[[#This Row],[Discharge '[mmm-yyyy']]]),TRUE,(Tbl_ResidentData[[#This Row],[Discharge '[mmm-yyyy']]]&gt;=AC$4)))))</f>
        <v>-</v>
      </c>
      <c r="AD105" s="121" t="str">
        <f ca="1">IF(AD$4&gt;NOW(),"-",IF(ISBLANK(Tbl_ResidentData[[#This Row],[Enrollment '[mmm-yyyy']]]),"-",AND((Tbl_ResidentData[[#This Row],[Enrollment '[mmm-yyyy']]]&lt;=AD$4),IF(ISBLANK(Tbl_ResidentData[[#This Row],[Discharge '[mmm-yyyy']]]),TRUE,(Tbl_ResidentData[[#This Row],[Discharge '[mmm-yyyy']]]&gt;=AD$4)))))</f>
        <v>-</v>
      </c>
      <c r="AE105" s="121" t="str">
        <f ca="1">IF(AE$4&gt;NOW(),"-",IF(ISBLANK(Tbl_ResidentData[[#This Row],[Enrollment '[mmm-yyyy']]]),"-",AND((Tbl_ResidentData[[#This Row],[Enrollment '[mmm-yyyy']]]&lt;=AE$4),IF(ISBLANK(Tbl_ResidentData[[#This Row],[Discharge '[mmm-yyyy']]]),TRUE,(Tbl_ResidentData[[#This Row],[Discharge '[mmm-yyyy']]]&gt;=AE$4)))))</f>
        <v>-</v>
      </c>
      <c r="AF105" s="121" t="str">
        <f ca="1">IF(AF$4&gt;NOW(),"-",IF(ISBLANK(Tbl_ResidentData[[#This Row],[Enrollment '[mmm-yyyy']]]),"-",AND((Tbl_ResidentData[[#This Row],[Enrollment '[mmm-yyyy']]]&lt;=AF$4),IF(ISBLANK(Tbl_ResidentData[[#This Row],[Discharge '[mmm-yyyy']]]),TRUE,(Tbl_ResidentData[[#This Row],[Discharge '[mmm-yyyy']]]&gt;=AF$4)))))</f>
        <v>-</v>
      </c>
      <c r="AG105" s="121" t="str">
        <f ca="1">IF(AG$4&gt;NOW(),"-",IF(ISBLANK(Tbl_ResidentData[[#This Row],[Enrollment '[mmm-yyyy']]]),"-",AND((Tbl_ResidentData[[#This Row],[Enrollment '[mmm-yyyy']]]&lt;=AG$4),IF(ISBLANK(Tbl_ResidentData[[#This Row],[Discharge '[mmm-yyyy']]]),TRUE,(Tbl_ResidentData[[#This Row],[Discharge '[mmm-yyyy']]]&gt;=AG$4)))))</f>
        <v>-</v>
      </c>
      <c r="AH105" s="121" t="str">
        <f ca="1">IF(AH$4&gt;NOW(),"-",IF(ISBLANK(Tbl_ResidentData[[#This Row],[Enrollment '[mmm-yyyy']]]),"-",AND((Tbl_ResidentData[[#This Row],[Enrollment '[mmm-yyyy']]]&lt;=AH$4),IF(ISBLANK(Tbl_ResidentData[[#This Row],[Discharge '[mmm-yyyy']]]),TRUE,(Tbl_ResidentData[[#This Row],[Discharge '[mmm-yyyy']]]&gt;=AH$4)))))</f>
        <v>-</v>
      </c>
      <c r="AI105" s="121" t="str">
        <f ca="1">IF(AI$4&gt;NOW(),"-",IF(ISBLANK(Tbl_ResidentData[[#This Row],[Enrollment '[mmm-yyyy']]]),"-",AND((Tbl_ResidentData[[#This Row],[Enrollment '[mmm-yyyy']]]&lt;=AI$4),IF(ISBLANK(Tbl_ResidentData[[#This Row],[Discharge '[mmm-yyyy']]]),TRUE,(Tbl_ResidentData[[#This Row],[Discharge '[mmm-yyyy']]]&gt;=AI$4)))))</f>
        <v>-</v>
      </c>
      <c r="AJ105" s="121" t="str">
        <f ca="1">IF(AJ$4&gt;NOW(),"-",IF(ISBLANK(Tbl_ResidentData[[#This Row],[Enrollment '[mmm-yyyy']]]),"-",AND((Tbl_ResidentData[[#This Row],[Enrollment '[mmm-yyyy']]]&lt;=AJ$4),IF(ISBLANK(Tbl_ResidentData[[#This Row],[Discharge '[mmm-yyyy']]]),TRUE,(Tbl_ResidentData[[#This Row],[Discharge '[mmm-yyyy']]]&gt;=AJ$4)))))</f>
        <v>-</v>
      </c>
      <c r="AK105" s="121" t="str">
        <f ca="1">IF(AK$4&gt;NOW(),"-",IF(ISBLANK(Tbl_ResidentData[[#This Row],[Enrollment '[mmm-yyyy']]]),"-",AND((Tbl_ResidentData[[#This Row],[Enrollment '[mmm-yyyy']]]&lt;=AK$4),IF(ISBLANK(Tbl_ResidentData[[#This Row],[Discharge '[mmm-yyyy']]]),TRUE,(Tbl_ResidentData[[#This Row],[Discharge '[mmm-yyyy']]]&gt;=AK$4)))))</f>
        <v>-</v>
      </c>
      <c r="AL105" s="121" t="str">
        <f ca="1">IF(AL$4&gt;NOW(),"-",IF(ISBLANK(Tbl_ResidentData[[#This Row],[Enrollment '[mmm-yyyy']]]),"-",AND((Tbl_ResidentData[[#This Row],[Enrollment '[mmm-yyyy']]]&lt;=AL$4),IF(ISBLANK(Tbl_ResidentData[[#This Row],[Discharge '[mmm-yyyy']]]),TRUE,(Tbl_ResidentData[[#This Row],[Discharge '[mmm-yyyy']]]&gt;=AL$4)))))</f>
        <v>-</v>
      </c>
      <c r="AM105" s="121" t="str">
        <f ca="1">IF(AM$4&gt;NOW(),"-",IF(ISBLANK(Tbl_ResidentData[[#This Row],[Enrollment '[mmm-yyyy']]]),"-",AND((Tbl_ResidentData[[#This Row],[Enrollment '[mmm-yyyy']]]&lt;=AM$4),IF(ISBLANK(Tbl_ResidentData[[#This Row],[Discharge '[mmm-yyyy']]]),TRUE,(Tbl_ResidentData[[#This Row],[Discharge '[mmm-yyyy']]]&gt;=AM$4)))))</f>
        <v>-</v>
      </c>
      <c r="AN105" s="121" t="str">
        <f ca="1">IF(AN$4&gt;NOW(),"-",IF(ISBLANK(Tbl_ResidentData[[#This Row],[Enrollment '[mmm-yyyy']]]),"-",AND((Tbl_ResidentData[[#This Row],[Enrollment '[mmm-yyyy']]]&lt;=AN$4),IF(ISBLANK(Tbl_ResidentData[[#This Row],[Discharge '[mmm-yyyy']]]),TRUE,(Tbl_ResidentData[[#This Row],[Discharge '[mmm-yyyy']]]&gt;=AN$4)))))</f>
        <v>-</v>
      </c>
      <c r="AO105" s="121" t="str">
        <f ca="1">IF(AO$4&gt;NOW(),"-",IF(ISBLANK(Tbl_ResidentData[[#This Row],[Enrollment '[mmm-yyyy']]]),"-",AND((Tbl_ResidentData[[#This Row],[Enrollment '[mmm-yyyy']]]&lt;=AO$4),IF(ISBLANK(Tbl_ResidentData[[#This Row],[Discharge '[mmm-yyyy']]]),TRUE,(Tbl_ResidentData[[#This Row],[Discharge '[mmm-yyyy']]]&gt;=AO$4)))))</f>
        <v>-</v>
      </c>
      <c r="AP105" s="121" t="str">
        <f ca="1">IF(AP$4&gt;NOW(),"-",IF(ISBLANK(Tbl_ResidentData[[#This Row],[Enrollment '[mmm-yyyy']]]),"-",AND((Tbl_ResidentData[[#This Row],[Enrollment '[mmm-yyyy']]]&lt;=AP$4),IF(ISBLANK(Tbl_ResidentData[[#This Row],[Discharge '[mmm-yyyy']]]),TRUE,(Tbl_ResidentData[[#This Row],[Discharge '[mmm-yyyy']]]&gt;=AP$4)))))</f>
        <v>-</v>
      </c>
      <c r="AQ105" s="121" t="str">
        <f ca="1">IF(AQ$4&gt;NOW(),"-",IF(ISBLANK(Tbl_ResidentData[[#This Row],[Enrollment '[mmm-yyyy']]]),"-",AND((Tbl_ResidentData[[#This Row],[Enrollment '[mmm-yyyy']]]&lt;=AQ$4),IF(ISBLANK(Tbl_ResidentData[[#This Row],[Discharge '[mmm-yyyy']]]),TRUE,(Tbl_ResidentData[[#This Row],[Discharge '[mmm-yyyy']]]&gt;=AQ$4)))))</f>
        <v>-</v>
      </c>
      <c r="AR105" s="122" t="str">
        <f ca="1">IF(AR$4&gt;NOW(),"-",IF(ISBLANK(Tbl_ResidentData[[#This Row],[Enrollment '[mmm-yyyy']]]),"-",AND((Tbl_ResidentData[[#This Row],[Enrollment '[mmm-yyyy']]]&lt;=AR$4),IF(ISBLANK(Tbl_ResidentData[[#This Row],[Discharge '[mmm-yyyy']]]),TRUE,(Tbl_ResidentData[[#This Row],[Discharge '[mmm-yyyy']]]&gt;=AR$4)))))</f>
        <v>-</v>
      </c>
      <c r="AS10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5" s="120" t="b">
        <f ca="1">AND(Tbl_ResidentData[[#This Row],[PRN Med Started]]&lt;&gt;"",Tbl_ResidentData[[#This Row],[PRN Med Started]]&lt;=NOW(),Tbl_ResidentData[[#This Row],[PRN Med Started]]&lt;=AS$4,OR(Tbl_ResidentData[[#This Row],[PRN Med Discontinued]]&gt;AS$4,ISBLANK(Tbl_ResidentData[[#This Row],[PRN Med Discontinued]])))</f>
        <v>0</v>
      </c>
      <c r="BR105" s="121" t="b">
        <f ca="1">AND(Tbl_ResidentData[[#This Row],[PRN Med Started]]&lt;&gt;"",Tbl_ResidentData[[#This Row],[PRN Med Started]]&lt;=NOW(),Tbl_ResidentData[[#This Row],[PRN Med Started]]&lt;=AT$4,OR(Tbl_ResidentData[[#This Row],[PRN Med Discontinued]]&gt;AT$4,ISBLANK(Tbl_ResidentData[[#This Row],[PRN Med Discontinued]])))</f>
        <v>0</v>
      </c>
      <c r="BS105" s="121" t="b">
        <f ca="1">AND(Tbl_ResidentData[[#This Row],[PRN Med Started]]&lt;&gt;"",Tbl_ResidentData[[#This Row],[PRN Med Started]]&lt;=NOW(),Tbl_ResidentData[[#This Row],[PRN Med Started]]&lt;=AU$4,OR(Tbl_ResidentData[[#This Row],[PRN Med Discontinued]]&gt;AU$4,ISBLANK(Tbl_ResidentData[[#This Row],[PRN Med Discontinued]])))</f>
        <v>0</v>
      </c>
      <c r="BT105" s="121" t="b">
        <f ca="1">AND(Tbl_ResidentData[[#This Row],[PRN Med Started]]&lt;&gt;"",Tbl_ResidentData[[#This Row],[PRN Med Started]]&lt;=NOW(),Tbl_ResidentData[[#This Row],[PRN Med Started]]&lt;=AV$4,OR(Tbl_ResidentData[[#This Row],[PRN Med Discontinued]]&gt;AV$4,ISBLANK(Tbl_ResidentData[[#This Row],[PRN Med Discontinued]])))</f>
        <v>0</v>
      </c>
      <c r="BU105" s="121" t="b">
        <f ca="1">AND(Tbl_ResidentData[[#This Row],[PRN Med Started]]&lt;&gt;"",Tbl_ResidentData[[#This Row],[PRN Med Started]]&lt;=NOW(),Tbl_ResidentData[[#This Row],[PRN Med Started]]&lt;=AW$4,OR(Tbl_ResidentData[[#This Row],[PRN Med Discontinued]]&gt;AW$4,ISBLANK(Tbl_ResidentData[[#This Row],[PRN Med Discontinued]])))</f>
        <v>0</v>
      </c>
      <c r="BV105" s="121" t="b">
        <f ca="1">AND(Tbl_ResidentData[[#This Row],[PRN Med Started]]&lt;&gt;"",Tbl_ResidentData[[#This Row],[PRN Med Started]]&lt;=NOW(),Tbl_ResidentData[[#This Row],[PRN Med Started]]&lt;=AX$4,OR(Tbl_ResidentData[[#This Row],[PRN Med Discontinued]]&gt;AX$4,ISBLANK(Tbl_ResidentData[[#This Row],[PRN Med Discontinued]])))</f>
        <v>0</v>
      </c>
      <c r="BW105" s="121" t="b">
        <f ca="1">AND(Tbl_ResidentData[[#This Row],[PRN Med Started]]&lt;&gt;"",Tbl_ResidentData[[#This Row],[PRN Med Started]]&lt;=NOW(),Tbl_ResidentData[[#This Row],[PRN Med Started]]&lt;=AY$4,OR(Tbl_ResidentData[[#This Row],[PRN Med Discontinued]]&gt;AY$4,ISBLANK(Tbl_ResidentData[[#This Row],[PRN Med Discontinued]])))</f>
        <v>0</v>
      </c>
      <c r="BX105" s="121" t="b">
        <f ca="1">AND(Tbl_ResidentData[[#This Row],[PRN Med Started]]&lt;&gt;"",Tbl_ResidentData[[#This Row],[PRN Med Started]]&lt;=NOW(),Tbl_ResidentData[[#This Row],[PRN Med Started]]&lt;=AZ$4,OR(Tbl_ResidentData[[#This Row],[PRN Med Discontinued]]&gt;AZ$4,ISBLANK(Tbl_ResidentData[[#This Row],[PRN Med Discontinued]])))</f>
        <v>0</v>
      </c>
      <c r="BY105" s="121" t="b">
        <f ca="1">AND(Tbl_ResidentData[[#This Row],[PRN Med Started]]&lt;&gt;"",Tbl_ResidentData[[#This Row],[PRN Med Started]]&lt;=NOW(),Tbl_ResidentData[[#This Row],[PRN Med Started]]&lt;=BA$4,OR(Tbl_ResidentData[[#This Row],[PRN Med Discontinued]]&gt;BA$4,ISBLANK(Tbl_ResidentData[[#This Row],[PRN Med Discontinued]])))</f>
        <v>0</v>
      </c>
      <c r="BZ105" s="121" t="b">
        <f ca="1">AND(Tbl_ResidentData[[#This Row],[PRN Med Started]]&lt;&gt;"",Tbl_ResidentData[[#This Row],[PRN Med Started]]&lt;=NOW(),Tbl_ResidentData[[#This Row],[PRN Med Started]]&lt;=BB$4,OR(Tbl_ResidentData[[#This Row],[PRN Med Discontinued]]&gt;BB$4,ISBLANK(Tbl_ResidentData[[#This Row],[PRN Med Discontinued]])))</f>
        <v>0</v>
      </c>
      <c r="CA105" s="121" t="b">
        <f ca="1">AND(Tbl_ResidentData[[#This Row],[PRN Med Started]]&lt;&gt;"",Tbl_ResidentData[[#This Row],[PRN Med Started]]&lt;=NOW(),Tbl_ResidentData[[#This Row],[PRN Med Started]]&lt;=BC$4,OR(Tbl_ResidentData[[#This Row],[PRN Med Discontinued]]&gt;BC$4,ISBLANK(Tbl_ResidentData[[#This Row],[PRN Med Discontinued]])))</f>
        <v>0</v>
      </c>
      <c r="CB105" s="121" t="b">
        <f ca="1">AND(Tbl_ResidentData[[#This Row],[PRN Med Started]]&lt;&gt;"",Tbl_ResidentData[[#This Row],[PRN Med Started]]&lt;=NOW(),Tbl_ResidentData[[#This Row],[PRN Med Started]]&lt;=BD$4,OR(Tbl_ResidentData[[#This Row],[PRN Med Discontinued]]&gt;BD$4,ISBLANK(Tbl_ResidentData[[#This Row],[PRN Med Discontinued]])))</f>
        <v>0</v>
      </c>
      <c r="CC105" s="121" t="b">
        <f ca="1">AND(Tbl_ResidentData[[#This Row],[PRN Med Started]]&lt;&gt;"",Tbl_ResidentData[[#This Row],[PRN Med Started]]&lt;=NOW(),Tbl_ResidentData[[#This Row],[PRN Med Started]]&lt;=BE$4,OR(Tbl_ResidentData[[#This Row],[PRN Med Discontinued]]&gt;BE$4,ISBLANK(Tbl_ResidentData[[#This Row],[PRN Med Discontinued]])))</f>
        <v>0</v>
      </c>
      <c r="CD105" s="121" t="b">
        <f ca="1">AND(Tbl_ResidentData[[#This Row],[PRN Med Started]]&lt;&gt;"",Tbl_ResidentData[[#This Row],[PRN Med Started]]&lt;=NOW(),Tbl_ResidentData[[#This Row],[PRN Med Started]]&lt;=BF$4,OR(Tbl_ResidentData[[#This Row],[PRN Med Discontinued]]&gt;BF$4,ISBLANK(Tbl_ResidentData[[#This Row],[PRN Med Discontinued]])))</f>
        <v>0</v>
      </c>
      <c r="CE105" s="121" t="b">
        <f ca="1">AND(Tbl_ResidentData[[#This Row],[PRN Med Started]]&lt;&gt;"",Tbl_ResidentData[[#This Row],[PRN Med Started]]&lt;=NOW(),Tbl_ResidentData[[#This Row],[PRN Med Started]]&lt;=BG$4,OR(Tbl_ResidentData[[#This Row],[PRN Med Discontinued]]&gt;BG$4,ISBLANK(Tbl_ResidentData[[#This Row],[PRN Med Discontinued]])))</f>
        <v>0</v>
      </c>
      <c r="CF105" s="121" t="b">
        <f ca="1">AND(Tbl_ResidentData[[#This Row],[PRN Med Started]]&lt;&gt;"",Tbl_ResidentData[[#This Row],[PRN Med Started]]&lt;=NOW(),Tbl_ResidentData[[#This Row],[PRN Med Started]]&lt;=BH$4,OR(Tbl_ResidentData[[#This Row],[PRN Med Discontinued]]&gt;BH$4,ISBLANK(Tbl_ResidentData[[#This Row],[PRN Med Discontinued]])))</f>
        <v>0</v>
      </c>
      <c r="CG105" s="121" t="b">
        <f ca="1">AND(Tbl_ResidentData[[#This Row],[PRN Med Started]]&lt;&gt;"",Tbl_ResidentData[[#This Row],[PRN Med Started]]&lt;=NOW(),Tbl_ResidentData[[#This Row],[PRN Med Started]]&lt;=BI$4,OR(Tbl_ResidentData[[#This Row],[PRN Med Discontinued]]&gt;BI$4,ISBLANK(Tbl_ResidentData[[#This Row],[PRN Med Discontinued]])))</f>
        <v>0</v>
      </c>
      <c r="CH105" s="121" t="b">
        <f ca="1">AND(Tbl_ResidentData[[#This Row],[PRN Med Started]]&lt;&gt;"",Tbl_ResidentData[[#This Row],[PRN Med Started]]&lt;=NOW(),Tbl_ResidentData[[#This Row],[PRN Med Started]]&lt;=BJ$4,OR(Tbl_ResidentData[[#This Row],[PRN Med Discontinued]]&gt;BJ$4,ISBLANK(Tbl_ResidentData[[#This Row],[PRN Med Discontinued]])))</f>
        <v>0</v>
      </c>
      <c r="CI105" s="121" t="b">
        <f ca="1">AND(Tbl_ResidentData[[#This Row],[PRN Med Started]]&lt;&gt;"",Tbl_ResidentData[[#This Row],[PRN Med Started]]&lt;=NOW(),Tbl_ResidentData[[#This Row],[PRN Med Started]]&lt;=BK$4,OR(Tbl_ResidentData[[#This Row],[PRN Med Discontinued]]&gt;BK$4,ISBLANK(Tbl_ResidentData[[#This Row],[PRN Med Discontinued]])))</f>
        <v>0</v>
      </c>
      <c r="CJ105" s="121" t="b">
        <f ca="1">AND(Tbl_ResidentData[[#This Row],[PRN Med Started]]&lt;&gt;"",Tbl_ResidentData[[#This Row],[PRN Med Started]]&lt;=NOW(),Tbl_ResidentData[[#This Row],[PRN Med Started]]&lt;=BL$4,OR(Tbl_ResidentData[[#This Row],[PRN Med Discontinued]]&gt;BL$4,ISBLANK(Tbl_ResidentData[[#This Row],[PRN Med Discontinued]])))</f>
        <v>0</v>
      </c>
      <c r="CK105" s="121" t="b">
        <f ca="1">AND(Tbl_ResidentData[[#This Row],[PRN Med Started]]&lt;&gt;"",Tbl_ResidentData[[#This Row],[PRN Med Started]]&lt;=NOW(),Tbl_ResidentData[[#This Row],[PRN Med Started]]&lt;=BM$4,OR(Tbl_ResidentData[[#This Row],[PRN Med Discontinued]]&gt;BM$4,ISBLANK(Tbl_ResidentData[[#This Row],[PRN Med Discontinued]])))</f>
        <v>0</v>
      </c>
      <c r="CL105" s="121" t="b">
        <f ca="1">AND(Tbl_ResidentData[[#This Row],[PRN Med Started]]&lt;&gt;"",Tbl_ResidentData[[#This Row],[PRN Med Started]]&lt;=NOW(),Tbl_ResidentData[[#This Row],[PRN Med Started]]&lt;=BN$4,OR(Tbl_ResidentData[[#This Row],[PRN Med Discontinued]]&gt;BN$4,ISBLANK(Tbl_ResidentData[[#This Row],[PRN Med Discontinued]])))</f>
        <v>0</v>
      </c>
      <c r="CM105" s="121" t="b">
        <f ca="1">AND(Tbl_ResidentData[[#This Row],[PRN Med Started]]&lt;&gt;"",Tbl_ResidentData[[#This Row],[PRN Med Started]]&lt;=NOW(),Tbl_ResidentData[[#This Row],[PRN Med Started]]&lt;=BO$4,OR(Tbl_ResidentData[[#This Row],[PRN Med Discontinued]]&gt;BO$4,ISBLANK(Tbl_ResidentData[[#This Row],[PRN Med Discontinued]])))</f>
        <v>0</v>
      </c>
      <c r="CN105" s="122" t="b">
        <f ca="1">AND(Tbl_ResidentData[[#This Row],[PRN Med Started]]&lt;&gt;"",Tbl_ResidentData[[#This Row],[PRN Med Started]]&lt;=NOW(),Tbl_ResidentData[[#This Row],[PRN Med Started]]&lt;=BP$4,OR(Tbl_ResidentData[[#This Row],[PRN Med Discontinued]]&gt;BP$4,ISBLANK(Tbl_ResidentData[[#This Row],[PRN Med Discontinued]])))</f>
        <v>0</v>
      </c>
      <c r="CO105" s="120">
        <f ca="1">IF(OR(Tbl_ResidentData[[#This Row],[S1]]=TRUE,Tbl_ResidentData[[#This Row],[P1]]=TRUE),1,0)</f>
        <v>0</v>
      </c>
      <c r="CP105" s="121">
        <f ca="1">IF(OR(Tbl_ResidentData[[#This Row],[S2]]=TRUE,Tbl_ResidentData[[#This Row],[P2]]=TRUE),1,0)</f>
        <v>0</v>
      </c>
      <c r="CQ105" s="121">
        <f ca="1">IF(OR(Tbl_ResidentData[[#This Row],[S3]]=TRUE,Tbl_ResidentData[[#This Row],[P3]]=TRUE),1,0)</f>
        <v>0</v>
      </c>
      <c r="CR105" s="120">
        <f ca="1">IF(OR(Tbl_ResidentData[[#This Row],[S4]]=TRUE,Tbl_ResidentData[[#This Row],[P4]]=TRUE),1,0)</f>
        <v>0</v>
      </c>
      <c r="CS105" s="120">
        <f ca="1">IF(OR(Tbl_ResidentData[[#This Row],[S5]]=TRUE,Tbl_ResidentData[[#This Row],[P5]]=TRUE),1,0)</f>
        <v>0</v>
      </c>
      <c r="CT105" s="120">
        <f ca="1">IF(OR(Tbl_ResidentData[[#This Row],[S6]]=TRUE,Tbl_ResidentData[[#This Row],[P6]]=TRUE),1,0)</f>
        <v>0</v>
      </c>
      <c r="CU105" s="120">
        <f ca="1">IF(OR(Tbl_ResidentData[[#This Row],[S7]]=TRUE,Tbl_ResidentData[[#This Row],[P7]]=TRUE),1,0)</f>
        <v>0</v>
      </c>
      <c r="CV105" s="120">
        <f ca="1">IF(OR(Tbl_ResidentData[[#This Row],[S8]]=TRUE,Tbl_ResidentData[[#This Row],[P8]]=TRUE),1,0)</f>
        <v>0</v>
      </c>
      <c r="CW105" s="120">
        <f ca="1">IF(OR(Tbl_ResidentData[[#This Row],[S9]]=TRUE,Tbl_ResidentData[[#This Row],[P9]]=TRUE),1,0)</f>
        <v>0</v>
      </c>
      <c r="CX105" s="120">
        <f ca="1">IF(OR(Tbl_ResidentData[[#This Row],[S10]]=TRUE,Tbl_ResidentData[[#This Row],[P10]]=TRUE),1,0)</f>
        <v>0</v>
      </c>
      <c r="CY105" s="120">
        <f ca="1">IF(OR(Tbl_ResidentData[[#This Row],[S11]]=TRUE,Tbl_ResidentData[[#This Row],[P11]]=TRUE),1,0)</f>
        <v>0</v>
      </c>
      <c r="CZ105" s="120">
        <f ca="1">IF(OR(Tbl_ResidentData[[#This Row],[S12]]=TRUE,Tbl_ResidentData[[#This Row],[P12]]=TRUE),1,0)</f>
        <v>0</v>
      </c>
      <c r="DA105" s="120">
        <f ca="1">IF(OR(Tbl_ResidentData[[#This Row],[S13]]=TRUE,Tbl_ResidentData[[#This Row],[P13]]=TRUE),1,0)</f>
        <v>0</v>
      </c>
      <c r="DB105" s="120">
        <f ca="1">IF(OR(Tbl_ResidentData[[#This Row],[S14]]=TRUE,Tbl_ResidentData[[#This Row],[P14]]=TRUE),1,0)</f>
        <v>0</v>
      </c>
      <c r="DC105" s="120">
        <f ca="1">IF(OR(Tbl_ResidentData[[#This Row],[S15]]=TRUE,Tbl_ResidentData[[#This Row],[P15]]=TRUE),1,0)</f>
        <v>0</v>
      </c>
      <c r="DD105" s="120">
        <f ca="1">IF(OR(Tbl_ResidentData[[#This Row],[S16]]=TRUE,Tbl_ResidentData[[#This Row],[P16]]=TRUE),1,0)</f>
        <v>0</v>
      </c>
      <c r="DE105" s="120">
        <f ca="1">IF(OR(Tbl_ResidentData[[#This Row],[S17]]=TRUE,Tbl_ResidentData[[#This Row],[P17]]=TRUE),1,0)</f>
        <v>0</v>
      </c>
      <c r="DF105" s="120">
        <f ca="1">IF(OR(Tbl_ResidentData[[#This Row],[S18]]=TRUE,Tbl_ResidentData[[#This Row],[P18]]=TRUE),1,0)</f>
        <v>0</v>
      </c>
      <c r="DG105" s="120">
        <f ca="1">IF(OR(Tbl_ResidentData[[#This Row],[S19]]=TRUE,Tbl_ResidentData[[#This Row],[P19]]=TRUE),1,0)</f>
        <v>0</v>
      </c>
      <c r="DH105" s="120">
        <f ca="1">IF(OR(Tbl_ResidentData[[#This Row],[S20]]=TRUE,Tbl_ResidentData[[#This Row],[P20]]=TRUE),1,0)</f>
        <v>0</v>
      </c>
      <c r="DI105" s="120">
        <f ca="1">IF(OR(Tbl_ResidentData[[#This Row],[S21]]=TRUE,Tbl_ResidentData[[#This Row],[P21]]=TRUE),1,0)</f>
        <v>0</v>
      </c>
      <c r="DJ105" s="120">
        <f ca="1">IF(OR(Tbl_ResidentData[[#This Row],[S22]]=TRUE,Tbl_ResidentData[[#This Row],[P22]]=TRUE),1,0)</f>
        <v>0</v>
      </c>
      <c r="DK105" s="120">
        <f ca="1">IF(OR(Tbl_ResidentData[[#This Row],[S23]]=TRUE,Tbl_ResidentData[[#This Row],[P23]]=TRUE),1,0)</f>
        <v>0</v>
      </c>
      <c r="DL105" s="120">
        <f ca="1">IF(OR(Tbl_ResidentData[[#This Row],[S24]]=TRUE,Tbl_ResidentData[[#This Row],[P24]]=TRUE),1,0)</f>
        <v>0</v>
      </c>
      <c r="DM105" s="123" t="str">
        <f ca="1">IFERROR(INDEX($CO$4:$DL$4,MATCH(TRUE,INDEX((Tbl_ResidentData[[#This Row],[Over1]:[Over24]]&lt;&gt;0),0),0)),"")</f>
        <v/>
      </c>
      <c r="DN105" s="133" t="str">
        <f>IFERROR(INDEX(Tbl_PDSAData[Last DRT],MATCH(Tbl_ResidentData[Resident Name '[last, first']],Tbl_PDSAData[Resident Name (last, first)],0)),"")</f>
        <v/>
      </c>
      <c r="DO105" s="222" t="str">
        <f>IFERROR(INDEX(Tbl_PDSAData[Last MR],MATCH(Tbl_ResidentData[Resident Name '[last, first']],Tbl_PDSAData[Resident Name (last, first)],0)),"")</f>
        <v/>
      </c>
    </row>
    <row r="106" spans="1:119" x14ac:dyDescent="0.25">
      <c r="A106" s="179"/>
      <c r="B106" s="180"/>
      <c r="C106" s="180"/>
      <c r="D106" s="218"/>
      <c r="E106" s="179"/>
      <c r="F106" s="181"/>
      <c r="G106" s="181"/>
      <c r="H106" s="375"/>
      <c r="I106" s="185"/>
      <c r="J106" s="387"/>
      <c r="K106" s="178"/>
      <c r="L106" s="388"/>
      <c r="M106" s="185"/>
      <c r="N106" s="386"/>
      <c r="O106" s="178"/>
      <c r="P106" s="388"/>
      <c r="Q106" s="394"/>
      <c r="R106" s="388"/>
      <c r="S106" s="131" t="str">
        <f>IF(ISBLANK(Tbl_ResidentData[[#This Row],[Discharge '[mmm-yyyy']]]),IF(ISBLANK(Tbl_ResidentData[[#This Row],[Enrollment '[mmm-yyyy']]]),"","In Care Home"),"Discharged")</f>
        <v/>
      </c>
      <c r="T106" s="119" t="str">
        <f>IF(ISBLANK(Tbl_ResidentData[[#This Row],[Diagnosis (RAI)]]),IF(ISBLANK(Tbl_ResidentData[[#This Row],[Resident Name '[last, first']]]),"",0),IF(Tbl_ResidentData[[#This Row],[Diagnosis (RAI)]]="Other (see clinical notes)",0,1))</f>
        <v/>
      </c>
      <c r="U106" s="120" t="str">
        <f ca="1">IF(U$4&gt;NOW(),"-",IF(ISBLANK(Tbl_ResidentData[[#This Row],[Enrollment '[mmm-yyyy']]]),"-",AND((Tbl_ResidentData[[#This Row],[Enrollment '[mmm-yyyy']]]&lt;=U$4),IF(ISBLANK(Tbl_ResidentData[[#This Row],[Discharge '[mmm-yyyy']]]),TRUE,(Tbl_ResidentData[[#This Row],[Discharge '[mmm-yyyy']]]&gt;=U$4)))))</f>
        <v>-</v>
      </c>
      <c r="V106" s="121" t="str">
        <f ca="1">IF(V$4&gt;NOW(),"-",IF(ISBLANK(Tbl_ResidentData[[#This Row],[Enrollment '[mmm-yyyy']]]),"-",AND((Tbl_ResidentData[[#This Row],[Enrollment '[mmm-yyyy']]]&lt;=V$4),IF(ISBLANK(Tbl_ResidentData[[#This Row],[Discharge '[mmm-yyyy']]]),TRUE,(Tbl_ResidentData[[#This Row],[Discharge '[mmm-yyyy']]]&gt;=V$4)))))</f>
        <v>-</v>
      </c>
      <c r="W106" s="121" t="str">
        <f ca="1">IF(W$4&gt;NOW(),"-",IF(ISBLANK(Tbl_ResidentData[[#This Row],[Enrollment '[mmm-yyyy']]]),"-",AND((Tbl_ResidentData[[#This Row],[Enrollment '[mmm-yyyy']]]&lt;=W$4),IF(ISBLANK(Tbl_ResidentData[[#This Row],[Discharge '[mmm-yyyy']]]),TRUE,(Tbl_ResidentData[[#This Row],[Discharge '[mmm-yyyy']]]&gt;=W$4)))))</f>
        <v>-</v>
      </c>
      <c r="X106" s="121" t="str">
        <f ca="1">IF(X$4&gt;NOW(),"-",IF(ISBLANK(Tbl_ResidentData[[#This Row],[Enrollment '[mmm-yyyy']]]),"-",AND((Tbl_ResidentData[[#This Row],[Enrollment '[mmm-yyyy']]]&lt;=X$4),IF(ISBLANK(Tbl_ResidentData[[#This Row],[Discharge '[mmm-yyyy']]]),TRUE,(Tbl_ResidentData[[#This Row],[Discharge '[mmm-yyyy']]]&gt;=X$4)))))</f>
        <v>-</v>
      </c>
      <c r="Y106" s="121" t="str">
        <f ca="1">IF(Y$4&gt;NOW(),"-",IF(ISBLANK(Tbl_ResidentData[[#This Row],[Enrollment '[mmm-yyyy']]]),"-",AND((Tbl_ResidentData[[#This Row],[Enrollment '[mmm-yyyy']]]&lt;=Y$4),IF(ISBLANK(Tbl_ResidentData[[#This Row],[Discharge '[mmm-yyyy']]]),TRUE,(Tbl_ResidentData[[#This Row],[Discharge '[mmm-yyyy']]]&gt;=Y$4)))))</f>
        <v>-</v>
      </c>
      <c r="Z106" s="121" t="str">
        <f ca="1">IF(Z$4&gt;NOW(),"-",IF(ISBLANK(Tbl_ResidentData[[#This Row],[Enrollment '[mmm-yyyy']]]),"-",AND((Tbl_ResidentData[[#This Row],[Enrollment '[mmm-yyyy']]]&lt;=Z$4),IF(ISBLANK(Tbl_ResidentData[[#This Row],[Discharge '[mmm-yyyy']]]),TRUE,(Tbl_ResidentData[[#This Row],[Discharge '[mmm-yyyy']]]&gt;=Z$4)))))</f>
        <v>-</v>
      </c>
      <c r="AA106" s="121" t="str">
        <f ca="1">IF(AA$4&gt;NOW(),"-",IF(ISBLANK(Tbl_ResidentData[[#This Row],[Enrollment '[mmm-yyyy']]]),"-",AND((Tbl_ResidentData[[#This Row],[Enrollment '[mmm-yyyy']]]&lt;=AA$4),IF(ISBLANK(Tbl_ResidentData[[#This Row],[Discharge '[mmm-yyyy']]]),TRUE,(Tbl_ResidentData[[#This Row],[Discharge '[mmm-yyyy']]]&gt;=AA$4)))))</f>
        <v>-</v>
      </c>
      <c r="AB106" s="121" t="str">
        <f ca="1">IF(AB$4&gt;NOW(),"-",IF(ISBLANK(Tbl_ResidentData[[#This Row],[Enrollment '[mmm-yyyy']]]),"-",AND((Tbl_ResidentData[[#This Row],[Enrollment '[mmm-yyyy']]]&lt;=AB$4),IF(ISBLANK(Tbl_ResidentData[[#This Row],[Discharge '[mmm-yyyy']]]),TRUE,(Tbl_ResidentData[[#This Row],[Discharge '[mmm-yyyy']]]&gt;=AB$4)))))</f>
        <v>-</v>
      </c>
      <c r="AC106" s="121" t="str">
        <f ca="1">IF(AC$4&gt;NOW(),"-",IF(ISBLANK(Tbl_ResidentData[[#This Row],[Enrollment '[mmm-yyyy']]]),"-",AND((Tbl_ResidentData[[#This Row],[Enrollment '[mmm-yyyy']]]&lt;=AC$4),IF(ISBLANK(Tbl_ResidentData[[#This Row],[Discharge '[mmm-yyyy']]]),TRUE,(Tbl_ResidentData[[#This Row],[Discharge '[mmm-yyyy']]]&gt;=AC$4)))))</f>
        <v>-</v>
      </c>
      <c r="AD106" s="121" t="str">
        <f ca="1">IF(AD$4&gt;NOW(),"-",IF(ISBLANK(Tbl_ResidentData[[#This Row],[Enrollment '[mmm-yyyy']]]),"-",AND((Tbl_ResidentData[[#This Row],[Enrollment '[mmm-yyyy']]]&lt;=AD$4),IF(ISBLANK(Tbl_ResidentData[[#This Row],[Discharge '[mmm-yyyy']]]),TRUE,(Tbl_ResidentData[[#This Row],[Discharge '[mmm-yyyy']]]&gt;=AD$4)))))</f>
        <v>-</v>
      </c>
      <c r="AE106" s="121" t="str">
        <f ca="1">IF(AE$4&gt;NOW(),"-",IF(ISBLANK(Tbl_ResidentData[[#This Row],[Enrollment '[mmm-yyyy']]]),"-",AND((Tbl_ResidentData[[#This Row],[Enrollment '[mmm-yyyy']]]&lt;=AE$4),IF(ISBLANK(Tbl_ResidentData[[#This Row],[Discharge '[mmm-yyyy']]]),TRUE,(Tbl_ResidentData[[#This Row],[Discharge '[mmm-yyyy']]]&gt;=AE$4)))))</f>
        <v>-</v>
      </c>
      <c r="AF106" s="121" t="str">
        <f ca="1">IF(AF$4&gt;NOW(),"-",IF(ISBLANK(Tbl_ResidentData[[#This Row],[Enrollment '[mmm-yyyy']]]),"-",AND((Tbl_ResidentData[[#This Row],[Enrollment '[mmm-yyyy']]]&lt;=AF$4),IF(ISBLANK(Tbl_ResidentData[[#This Row],[Discharge '[mmm-yyyy']]]),TRUE,(Tbl_ResidentData[[#This Row],[Discharge '[mmm-yyyy']]]&gt;=AF$4)))))</f>
        <v>-</v>
      </c>
      <c r="AG106" s="121" t="str">
        <f ca="1">IF(AG$4&gt;NOW(),"-",IF(ISBLANK(Tbl_ResidentData[[#This Row],[Enrollment '[mmm-yyyy']]]),"-",AND((Tbl_ResidentData[[#This Row],[Enrollment '[mmm-yyyy']]]&lt;=AG$4),IF(ISBLANK(Tbl_ResidentData[[#This Row],[Discharge '[mmm-yyyy']]]),TRUE,(Tbl_ResidentData[[#This Row],[Discharge '[mmm-yyyy']]]&gt;=AG$4)))))</f>
        <v>-</v>
      </c>
      <c r="AH106" s="121" t="str">
        <f ca="1">IF(AH$4&gt;NOW(),"-",IF(ISBLANK(Tbl_ResidentData[[#This Row],[Enrollment '[mmm-yyyy']]]),"-",AND((Tbl_ResidentData[[#This Row],[Enrollment '[mmm-yyyy']]]&lt;=AH$4),IF(ISBLANK(Tbl_ResidentData[[#This Row],[Discharge '[mmm-yyyy']]]),TRUE,(Tbl_ResidentData[[#This Row],[Discharge '[mmm-yyyy']]]&gt;=AH$4)))))</f>
        <v>-</v>
      </c>
      <c r="AI106" s="121" t="str">
        <f ca="1">IF(AI$4&gt;NOW(),"-",IF(ISBLANK(Tbl_ResidentData[[#This Row],[Enrollment '[mmm-yyyy']]]),"-",AND((Tbl_ResidentData[[#This Row],[Enrollment '[mmm-yyyy']]]&lt;=AI$4),IF(ISBLANK(Tbl_ResidentData[[#This Row],[Discharge '[mmm-yyyy']]]),TRUE,(Tbl_ResidentData[[#This Row],[Discharge '[mmm-yyyy']]]&gt;=AI$4)))))</f>
        <v>-</v>
      </c>
      <c r="AJ106" s="121" t="str">
        <f ca="1">IF(AJ$4&gt;NOW(),"-",IF(ISBLANK(Tbl_ResidentData[[#This Row],[Enrollment '[mmm-yyyy']]]),"-",AND((Tbl_ResidentData[[#This Row],[Enrollment '[mmm-yyyy']]]&lt;=AJ$4),IF(ISBLANK(Tbl_ResidentData[[#This Row],[Discharge '[mmm-yyyy']]]),TRUE,(Tbl_ResidentData[[#This Row],[Discharge '[mmm-yyyy']]]&gt;=AJ$4)))))</f>
        <v>-</v>
      </c>
      <c r="AK106" s="121" t="str">
        <f ca="1">IF(AK$4&gt;NOW(),"-",IF(ISBLANK(Tbl_ResidentData[[#This Row],[Enrollment '[mmm-yyyy']]]),"-",AND((Tbl_ResidentData[[#This Row],[Enrollment '[mmm-yyyy']]]&lt;=AK$4),IF(ISBLANK(Tbl_ResidentData[[#This Row],[Discharge '[mmm-yyyy']]]),TRUE,(Tbl_ResidentData[[#This Row],[Discharge '[mmm-yyyy']]]&gt;=AK$4)))))</f>
        <v>-</v>
      </c>
      <c r="AL106" s="121" t="str">
        <f ca="1">IF(AL$4&gt;NOW(),"-",IF(ISBLANK(Tbl_ResidentData[[#This Row],[Enrollment '[mmm-yyyy']]]),"-",AND((Tbl_ResidentData[[#This Row],[Enrollment '[mmm-yyyy']]]&lt;=AL$4),IF(ISBLANK(Tbl_ResidentData[[#This Row],[Discharge '[mmm-yyyy']]]),TRUE,(Tbl_ResidentData[[#This Row],[Discharge '[mmm-yyyy']]]&gt;=AL$4)))))</f>
        <v>-</v>
      </c>
      <c r="AM106" s="121" t="str">
        <f ca="1">IF(AM$4&gt;NOW(),"-",IF(ISBLANK(Tbl_ResidentData[[#This Row],[Enrollment '[mmm-yyyy']]]),"-",AND((Tbl_ResidentData[[#This Row],[Enrollment '[mmm-yyyy']]]&lt;=AM$4),IF(ISBLANK(Tbl_ResidentData[[#This Row],[Discharge '[mmm-yyyy']]]),TRUE,(Tbl_ResidentData[[#This Row],[Discharge '[mmm-yyyy']]]&gt;=AM$4)))))</f>
        <v>-</v>
      </c>
      <c r="AN106" s="121" t="str">
        <f ca="1">IF(AN$4&gt;NOW(),"-",IF(ISBLANK(Tbl_ResidentData[[#This Row],[Enrollment '[mmm-yyyy']]]),"-",AND((Tbl_ResidentData[[#This Row],[Enrollment '[mmm-yyyy']]]&lt;=AN$4),IF(ISBLANK(Tbl_ResidentData[[#This Row],[Discharge '[mmm-yyyy']]]),TRUE,(Tbl_ResidentData[[#This Row],[Discharge '[mmm-yyyy']]]&gt;=AN$4)))))</f>
        <v>-</v>
      </c>
      <c r="AO106" s="121" t="str">
        <f ca="1">IF(AO$4&gt;NOW(),"-",IF(ISBLANK(Tbl_ResidentData[[#This Row],[Enrollment '[mmm-yyyy']]]),"-",AND((Tbl_ResidentData[[#This Row],[Enrollment '[mmm-yyyy']]]&lt;=AO$4),IF(ISBLANK(Tbl_ResidentData[[#This Row],[Discharge '[mmm-yyyy']]]),TRUE,(Tbl_ResidentData[[#This Row],[Discharge '[mmm-yyyy']]]&gt;=AO$4)))))</f>
        <v>-</v>
      </c>
      <c r="AP106" s="121" t="str">
        <f ca="1">IF(AP$4&gt;NOW(),"-",IF(ISBLANK(Tbl_ResidentData[[#This Row],[Enrollment '[mmm-yyyy']]]),"-",AND((Tbl_ResidentData[[#This Row],[Enrollment '[mmm-yyyy']]]&lt;=AP$4),IF(ISBLANK(Tbl_ResidentData[[#This Row],[Discharge '[mmm-yyyy']]]),TRUE,(Tbl_ResidentData[[#This Row],[Discharge '[mmm-yyyy']]]&gt;=AP$4)))))</f>
        <v>-</v>
      </c>
      <c r="AQ106" s="121" t="str">
        <f ca="1">IF(AQ$4&gt;NOW(),"-",IF(ISBLANK(Tbl_ResidentData[[#This Row],[Enrollment '[mmm-yyyy']]]),"-",AND((Tbl_ResidentData[[#This Row],[Enrollment '[mmm-yyyy']]]&lt;=AQ$4),IF(ISBLANK(Tbl_ResidentData[[#This Row],[Discharge '[mmm-yyyy']]]),TRUE,(Tbl_ResidentData[[#This Row],[Discharge '[mmm-yyyy']]]&gt;=AQ$4)))))</f>
        <v>-</v>
      </c>
      <c r="AR106" s="122" t="str">
        <f ca="1">IF(AR$4&gt;NOW(),"-",IF(ISBLANK(Tbl_ResidentData[[#This Row],[Enrollment '[mmm-yyyy']]]),"-",AND((Tbl_ResidentData[[#This Row],[Enrollment '[mmm-yyyy']]]&lt;=AR$4),IF(ISBLANK(Tbl_ResidentData[[#This Row],[Discharge '[mmm-yyyy']]]),TRUE,(Tbl_ResidentData[[#This Row],[Discharge '[mmm-yyyy']]]&gt;=AR$4)))))</f>
        <v>-</v>
      </c>
      <c r="AS10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6" s="120" t="b">
        <f ca="1">AND(Tbl_ResidentData[[#This Row],[PRN Med Started]]&lt;&gt;"",Tbl_ResidentData[[#This Row],[PRN Med Started]]&lt;=NOW(),Tbl_ResidentData[[#This Row],[PRN Med Started]]&lt;=AS$4,OR(Tbl_ResidentData[[#This Row],[PRN Med Discontinued]]&gt;AS$4,ISBLANK(Tbl_ResidentData[[#This Row],[PRN Med Discontinued]])))</f>
        <v>0</v>
      </c>
      <c r="BR106" s="121" t="b">
        <f ca="1">AND(Tbl_ResidentData[[#This Row],[PRN Med Started]]&lt;&gt;"",Tbl_ResidentData[[#This Row],[PRN Med Started]]&lt;=NOW(),Tbl_ResidentData[[#This Row],[PRN Med Started]]&lt;=AT$4,OR(Tbl_ResidentData[[#This Row],[PRN Med Discontinued]]&gt;AT$4,ISBLANK(Tbl_ResidentData[[#This Row],[PRN Med Discontinued]])))</f>
        <v>0</v>
      </c>
      <c r="BS106" s="121" t="b">
        <f ca="1">AND(Tbl_ResidentData[[#This Row],[PRN Med Started]]&lt;&gt;"",Tbl_ResidentData[[#This Row],[PRN Med Started]]&lt;=NOW(),Tbl_ResidentData[[#This Row],[PRN Med Started]]&lt;=AU$4,OR(Tbl_ResidentData[[#This Row],[PRN Med Discontinued]]&gt;AU$4,ISBLANK(Tbl_ResidentData[[#This Row],[PRN Med Discontinued]])))</f>
        <v>0</v>
      </c>
      <c r="BT106" s="121" t="b">
        <f ca="1">AND(Tbl_ResidentData[[#This Row],[PRN Med Started]]&lt;&gt;"",Tbl_ResidentData[[#This Row],[PRN Med Started]]&lt;=NOW(),Tbl_ResidentData[[#This Row],[PRN Med Started]]&lt;=AV$4,OR(Tbl_ResidentData[[#This Row],[PRN Med Discontinued]]&gt;AV$4,ISBLANK(Tbl_ResidentData[[#This Row],[PRN Med Discontinued]])))</f>
        <v>0</v>
      </c>
      <c r="BU106" s="121" t="b">
        <f ca="1">AND(Tbl_ResidentData[[#This Row],[PRN Med Started]]&lt;&gt;"",Tbl_ResidentData[[#This Row],[PRN Med Started]]&lt;=NOW(),Tbl_ResidentData[[#This Row],[PRN Med Started]]&lt;=AW$4,OR(Tbl_ResidentData[[#This Row],[PRN Med Discontinued]]&gt;AW$4,ISBLANK(Tbl_ResidentData[[#This Row],[PRN Med Discontinued]])))</f>
        <v>0</v>
      </c>
      <c r="BV106" s="121" t="b">
        <f ca="1">AND(Tbl_ResidentData[[#This Row],[PRN Med Started]]&lt;&gt;"",Tbl_ResidentData[[#This Row],[PRN Med Started]]&lt;=NOW(),Tbl_ResidentData[[#This Row],[PRN Med Started]]&lt;=AX$4,OR(Tbl_ResidentData[[#This Row],[PRN Med Discontinued]]&gt;AX$4,ISBLANK(Tbl_ResidentData[[#This Row],[PRN Med Discontinued]])))</f>
        <v>0</v>
      </c>
      <c r="BW106" s="121" t="b">
        <f ca="1">AND(Tbl_ResidentData[[#This Row],[PRN Med Started]]&lt;&gt;"",Tbl_ResidentData[[#This Row],[PRN Med Started]]&lt;=NOW(),Tbl_ResidentData[[#This Row],[PRN Med Started]]&lt;=AY$4,OR(Tbl_ResidentData[[#This Row],[PRN Med Discontinued]]&gt;AY$4,ISBLANK(Tbl_ResidentData[[#This Row],[PRN Med Discontinued]])))</f>
        <v>0</v>
      </c>
      <c r="BX106" s="121" t="b">
        <f ca="1">AND(Tbl_ResidentData[[#This Row],[PRN Med Started]]&lt;&gt;"",Tbl_ResidentData[[#This Row],[PRN Med Started]]&lt;=NOW(),Tbl_ResidentData[[#This Row],[PRN Med Started]]&lt;=AZ$4,OR(Tbl_ResidentData[[#This Row],[PRN Med Discontinued]]&gt;AZ$4,ISBLANK(Tbl_ResidentData[[#This Row],[PRN Med Discontinued]])))</f>
        <v>0</v>
      </c>
      <c r="BY106" s="121" t="b">
        <f ca="1">AND(Tbl_ResidentData[[#This Row],[PRN Med Started]]&lt;&gt;"",Tbl_ResidentData[[#This Row],[PRN Med Started]]&lt;=NOW(),Tbl_ResidentData[[#This Row],[PRN Med Started]]&lt;=BA$4,OR(Tbl_ResidentData[[#This Row],[PRN Med Discontinued]]&gt;BA$4,ISBLANK(Tbl_ResidentData[[#This Row],[PRN Med Discontinued]])))</f>
        <v>0</v>
      </c>
      <c r="BZ106" s="121" t="b">
        <f ca="1">AND(Tbl_ResidentData[[#This Row],[PRN Med Started]]&lt;&gt;"",Tbl_ResidentData[[#This Row],[PRN Med Started]]&lt;=NOW(),Tbl_ResidentData[[#This Row],[PRN Med Started]]&lt;=BB$4,OR(Tbl_ResidentData[[#This Row],[PRN Med Discontinued]]&gt;BB$4,ISBLANK(Tbl_ResidentData[[#This Row],[PRN Med Discontinued]])))</f>
        <v>0</v>
      </c>
      <c r="CA106" s="121" t="b">
        <f ca="1">AND(Tbl_ResidentData[[#This Row],[PRN Med Started]]&lt;&gt;"",Tbl_ResidentData[[#This Row],[PRN Med Started]]&lt;=NOW(),Tbl_ResidentData[[#This Row],[PRN Med Started]]&lt;=BC$4,OR(Tbl_ResidentData[[#This Row],[PRN Med Discontinued]]&gt;BC$4,ISBLANK(Tbl_ResidentData[[#This Row],[PRN Med Discontinued]])))</f>
        <v>0</v>
      </c>
      <c r="CB106" s="121" t="b">
        <f ca="1">AND(Tbl_ResidentData[[#This Row],[PRN Med Started]]&lt;&gt;"",Tbl_ResidentData[[#This Row],[PRN Med Started]]&lt;=NOW(),Tbl_ResidentData[[#This Row],[PRN Med Started]]&lt;=BD$4,OR(Tbl_ResidentData[[#This Row],[PRN Med Discontinued]]&gt;BD$4,ISBLANK(Tbl_ResidentData[[#This Row],[PRN Med Discontinued]])))</f>
        <v>0</v>
      </c>
      <c r="CC106" s="121" t="b">
        <f ca="1">AND(Tbl_ResidentData[[#This Row],[PRN Med Started]]&lt;&gt;"",Tbl_ResidentData[[#This Row],[PRN Med Started]]&lt;=NOW(),Tbl_ResidentData[[#This Row],[PRN Med Started]]&lt;=BE$4,OR(Tbl_ResidentData[[#This Row],[PRN Med Discontinued]]&gt;BE$4,ISBLANK(Tbl_ResidentData[[#This Row],[PRN Med Discontinued]])))</f>
        <v>0</v>
      </c>
      <c r="CD106" s="121" t="b">
        <f ca="1">AND(Tbl_ResidentData[[#This Row],[PRN Med Started]]&lt;&gt;"",Tbl_ResidentData[[#This Row],[PRN Med Started]]&lt;=NOW(),Tbl_ResidentData[[#This Row],[PRN Med Started]]&lt;=BF$4,OR(Tbl_ResidentData[[#This Row],[PRN Med Discontinued]]&gt;BF$4,ISBLANK(Tbl_ResidentData[[#This Row],[PRN Med Discontinued]])))</f>
        <v>0</v>
      </c>
      <c r="CE106" s="121" t="b">
        <f ca="1">AND(Tbl_ResidentData[[#This Row],[PRN Med Started]]&lt;&gt;"",Tbl_ResidentData[[#This Row],[PRN Med Started]]&lt;=NOW(),Tbl_ResidentData[[#This Row],[PRN Med Started]]&lt;=BG$4,OR(Tbl_ResidentData[[#This Row],[PRN Med Discontinued]]&gt;BG$4,ISBLANK(Tbl_ResidentData[[#This Row],[PRN Med Discontinued]])))</f>
        <v>0</v>
      </c>
      <c r="CF106" s="121" t="b">
        <f ca="1">AND(Tbl_ResidentData[[#This Row],[PRN Med Started]]&lt;&gt;"",Tbl_ResidentData[[#This Row],[PRN Med Started]]&lt;=NOW(),Tbl_ResidentData[[#This Row],[PRN Med Started]]&lt;=BH$4,OR(Tbl_ResidentData[[#This Row],[PRN Med Discontinued]]&gt;BH$4,ISBLANK(Tbl_ResidentData[[#This Row],[PRN Med Discontinued]])))</f>
        <v>0</v>
      </c>
      <c r="CG106" s="121" t="b">
        <f ca="1">AND(Tbl_ResidentData[[#This Row],[PRN Med Started]]&lt;&gt;"",Tbl_ResidentData[[#This Row],[PRN Med Started]]&lt;=NOW(),Tbl_ResidentData[[#This Row],[PRN Med Started]]&lt;=BI$4,OR(Tbl_ResidentData[[#This Row],[PRN Med Discontinued]]&gt;BI$4,ISBLANK(Tbl_ResidentData[[#This Row],[PRN Med Discontinued]])))</f>
        <v>0</v>
      </c>
      <c r="CH106" s="121" t="b">
        <f ca="1">AND(Tbl_ResidentData[[#This Row],[PRN Med Started]]&lt;&gt;"",Tbl_ResidentData[[#This Row],[PRN Med Started]]&lt;=NOW(),Tbl_ResidentData[[#This Row],[PRN Med Started]]&lt;=BJ$4,OR(Tbl_ResidentData[[#This Row],[PRN Med Discontinued]]&gt;BJ$4,ISBLANK(Tbl_ResidentData[[#This Row],[PRN Med Discontinued]])))</f>
        <v>0</v>
      </c>
      <c r="CI106" s="121" t="b">
        <f ca="1">AND(Tbl_ResidentData[[#This Row],[PRN Med Started]]&lt;&gt;"",Tbl_ResidentData[[#This Row],[PRN Med Started]]&lt;=NOW(),Tbl_ResidentData[[#This Row],[PRN Med Started]]&lt;=BK$4,OR(Tbl_ResidentData[[#This Row],[PRN Med Discontinued]]&gt;BK$4,ISBLANK(Tbl_ResidentData[[#This Row],[PRN Med Discontinued]])))</f>
        <v>0</v>
      </c>
      <c r="CJ106" s="121" t="b">
        <f ca="1">AND(Tbl_ResidentData[[#This Row],[PRN Med Started]]&lt;&gt;"",Tbl_ResidentData[[#This Row],[PRN Med Started]]&lt;=NOW(),Tbl_ResidentData[[#This Row],[PRN Med Started]]&lt;=BL$4,OR(Tbl_ResidentData[[#This Row],[PRN Med Discontinued]]&gt;BL$4,ISBLANK(Tbl_ResidentData[[#This Row],[PRN Med Discontinued]])))</f>
        <v>0</v>
      </c>
      <c r="CK106" s="121" t="b">
        <f ca="1">AND(Tbl_ResidentData[[#This Row],[PRN Med Started]]&lt;&gt;"",Tbl_ResidentData[[#This Row],[PRN Med Started]]&lt;=NOW(),Tbl_ResidentData[[#This Row],[PRN Med Started]]&lt;=BM$4,OR(Tbl_ResidentData[[#This Row],[PRN Med Discontinued]]&gt;BM$4,ISBLANK(Tbl_ResidentData[[#This Row],[PRN Med Discontinued]])))</f>
        <v>0</v>
      </c>
      <c r="CL106" s="121" t="b">
        <f ca="1">AND(Tbl_ResidentData[[#This Row],[PRN Med Started]]&lt;&gt;"",Tbl_ResidentData[[#This Row],[PRN Med Started]]&lt;=NOW(),Tbl_ResidentData[[#This Row],[PRN Med Started]]&lt;=BN$4,OR(Tbl_ResidentData[[#This Row],[PRN Med Discontinued]]&gt;BN$4,ISBLANK(Tbl_ResidentData[[#This Row],[PRN Med Discontinued]])))</f>
        <v>0</v>
      </c>
      <c r="CM106" s="121" t="b">
        <f ca="1">AND(Tbl_ResidentData[[#This Row],[PRN Med Started]]&lt;&gt;"",Tbl_ResidentData[[#This Row],[PRN Med Started]]&lt;=NOW(),Tbl_ResidentData[[#This Row],[PRN Med Started]]&lt;=BO$4,OR(Tbl_ResidentData[[#This Row],[PRN Med Discontinued]]&gt;BO$4,ISBLANK(Tbl_ResidentData[[#This Row],[PRN Med Discontinued]])))</f>
        <v>0</v>
      </c>
      <c r="CN106" s="122" t="b">
        <f ca="1">AND(Tbl_ResidentData[[#This Row],[PRN Med Started]]&lt;&gt;"",Tbl_ResidentData[[#This Row],[PRN Med Started]]&lt;=NOW(),Tbl_ResidentData[[#This Row],[PRN Med Started]]&lt;=BP$4,OR(Tbl_ResidentData[[#This Row],[PRN Med Discontinued]]&gt;BP$4,ISBLANK(Tbl_ResidentData[[#This Row],[PRN Med Discontinued]])))</f>
        <v>0</v>
      </c>
      <c r="CO106" s="120">
        <f ca="1">IF(OR(Tbl_ResidentData[[#This Row],[S1]]=TRUE,Tbl_ResidentData[[#This Row],[P1]]=TRUE),1,0)</f>
        <v>0</v>
      </c>
      <c r="CP106" s="121">
        <f ca="1">IF(OR(Tbl_ResidentData[[#This Row],[S2]]=TRUE,Tbl_ResidentData[[#This Row],[P2]]=TRUE),1,0)</f>
        <v>0</v>
      </c>
      <c r="CQ106" s="121">
        <f ca="1">IF(OR(Tbl_ResidentData[[#This Row],[S3]]=TRUE,Tbl_ResidentData[[#This Row],[P3]]=TRUE),1,0)</f>
        <v>0</v>
      </c>
      <c r="CR106" s="120">
        <f ca="1">IF(OR(Tbl_ResidentData[[#This Row],[S4]]=TRUE,Tbl_ResidentData[[#This Row],[P4]]=TRUE),1,0)</f>
        <v>0</v>
      </c>
      <c r="CS106" s="120">
        <f ca="1">IF(OR(Tbl_ResidentData[[#This Row],[S5]]=TRUE,Tbl_ResidentData[[#This Row],[P5]]=TRUE),1,0)</f>
        <v>0</v>
      </c>
      <c r="CT106" s="120">
        <f ca="1">IF(OR(Tbl_ResidentData[[#This Row],[S6]]=TRUE,Tbl_ResidentData[[#This Row],[P6]]=TRUE),1,0)</f>
        <v>0</v>
      </c>
      <c r="CU106" s="120">
        <f ca="1">IF(OR(Tbl_ResidentData[[#This Row],[S7]]=TRUE,Tbl_ResidentData[[#This Row],[P7]]=TRUE),1,0)</f>
        <v>0</v>
      </c>
      <c r="CV106" s="120">
        <f ca="1">IF(OR(Tbl_ResidentData[[#This Row],[S8]]=TRUE,Tbl_ResidentData[[#This Row],[P8]]=TRUE),1,0)</f>
        <v>0</v>
      </c>
      <c r="CW106" s="120">
        <f ca="1">IF(OR(Tbl_ResidentData[[#This Row],[S9]]=TRUE,Tbl_ResidentData[[#This Row],[P9]]=TRUE),1,0)</f>
        <v>0</v>
      </c>
      <c r="CX106" s="120">
        <f ca="1">IF(OR(Tbl_ResidentData[[#This Row],[S10]]=TRUE,Tbl_ResidentData[[#This Row],[P10]]=TRUE),1,0)</f>
        <v>0</v>
      </c>
      <c r="CY106" s="120">
        <f ca="1">IF(OR(Tbl_ResidentData[[#This Row],[S11]]=TRUE,Tbl_ResidentData[[#This Row],[P11]]=TRUE),1,0)</f>
        <v>0</v>
      </c>
      <c r="CZ106" s="120">
        <f ca="1">IF(OR(Tbl_ResidentData[[#This Row],[S12]]=TRUE,Tbl_ResidentData[[#This Row],[P12]]=TRUE),1,0)</f>
        <v>0</v>
      </c>
      <c r="DA106" s="120">
        <f ca="1">IF(OR(Tbl_ResidentData[[#This Row],[S13]]=TRUE,Tbl_ResidentData[[#This Row],[P13]]=TRUE),1,0)</f>
        <v>0</v>
      </c>
      <c r="DB106" s="120">
        <f ca="1">IF(OR(Tbl_ResidentData[[#This Row],[S14]]=TRUE,Tbl_ResidentData[[#This Row],[P14]]=TRUE),1,0)</f>
        <v>0</v>
      </c>
      <c r="DC106" s="120">
        <f ca="1">IF(OR(Tbl_ResidentData[[#This Row],[S15]]=TRUE,Tbl_ResidentData[[#This Row],[P15]]=TRUE),1,0)</f>
        <v>0</v>
      </c>
      <c r="DD106" s="120">
        <f ca="1">IF(OR(Tbl_ResidentData[[#This Row],[S16]]=TRUE,Tbl_ResidentData[[#This Row],[P16]]=TRUE),1,0)</f>
        <v>0</v>
      </c>
      <c r="DE106" s="120">
        <f ca="1">IF(OR(Tbl_ResidentData[[#This Row],[S17]]=TRUE,Tbl_ResidentData[[#This Row],[P17]]=TRUE),1,0)</f>
        <v>0</v>
      </c>
      <c r="DF106" s="120">
        <f ca="1">IF(OR(Tbl_ResidentData[[#This Row],[S18]]=TRUE,Tbl_ResidentData[[#This Row],[P18]]=TRUE),1,0)</f>
        <v>0</v>
      </c>
      <c r="DG106" s="120">
        <f ca="1">IF(OR(Tbl_ResidentData[[#This Row],[S19]]=TRUE,Tbl_ResidentData[[#This Row],[P19]]=TRUE),1,0)</f>
        <v>0</v>
      </c>
      <c r="DH106" s="120">
        <f ca="1">IF(OR(Tbl_ResidentData[[#This Row],[S20]]=TRUE,Tbl_ResidentData[[#This Row],[P20]]=TRUE),1,0)</f>
        <v>0</v>
      </c>
      <c r="DI106" s="120">
        <f ca="1">IF(OR(Tbl_ResidentData[[#This Row],[S21]]=TRUE,Tbl_ResidentData[[#This Row],[P21]]=TRUE),1,0)</f>
        <v>0</v>
      </c>
      <c r="DJ106" s="120">
        <f ca="1">IF(OR(Tbl_ResidentData[[#This Row],[S22]]=TRUE,Tbl_ResidentData[[#This Row],[P22]]=TRUE),1,0)</f>
        <v>0</v>
      </c>
      <c r="DK106" s="120">
        <f ca="1">IF(OR(Tbl_ResidentData[[#This Row],[S23]]=TRUE,Tbl_ResidentData[[#This Row],[P23]]=TRUE),1,0)</f>
        <v>0</v>
      </c>
      <c r="DL106" s="120">
        <f ca="1">IF(OR(Tbl_ResidentData[[#This Row],[S24]]=TRUE,Tbl_ResidentData[[#This Row],[P24]]=TRUE),1,0)</f>
        <v>0</v>
      </c>
      <c r="DM106" s="123" t="str">
        <f ca="1">IFERROR(INDEX($CO$4:$DL$4,MATCH(TRUE,INDEX((Tbl_ResidentData[[#This Row],[Over1]:[Over24]]&lt;&gt;0),0),0)),"")</f>
        <v/>
      </c>
      <c r="DN106" s="133" t="str">
        <f>IFERROR(INDEX(Tbl_PDSAData[Last DRT],MATCH(Tbl_ResidentData[Resident Name '[last, first']],Tbl_PDSAData[Resident Name (last, first)],0)),"")</f>
        <v/>
      </c>
      <c r="DO106" s="222" t="str">
        <f>IFERROR(INDEX(Tbl_PDSAData[Last MR],MATCH(Tbl_ResidentData[Resident Name '[last, first']],Tbl_PDSAData[Resident Name (last, first)],0)),"")</f>
        <v/>
      </c>
    </row>
    <row r="107" spans="1:119" x14ac:dyDescent="0.25">
      <c r="A107" s="179"/>
      <c r="B107" s="180"/>
      <c r="C107" s="180"/>
      <c r="D107" s="218"/>
      <c r="E107" s="179"/>
      <c r="F107" s="181"/>
      <c r="G107" s="181"/>
      <c r="H107" s="375"/>
      <c r="I107" s="185"/>
      <c r="J107" s="387"/>
      <c r="K107" s="178"/>
      <c r="L107" s="388"/>
      <c r="M107" s="185"/>
      <c r="N107" s="386"/>
      <c r="O107" s="178"/>
      <c r="P107" s="388"/>
      <c r="Q107" s="395"/>
      <c r="R107" s="396"/>
      <c r="S107" s="131" t="str">
        <f>IF(ISBLANK(Tbl_ResidentData[[#This Row],[Discharge '[mmm-yyyy']]]),IF(ISBLANK(Tbl_ResidentData[[#This Row],[Enrollment '[mmm-yyyy']]]),"","In Care Home"),"Discharged")</f>
        <v/>
      </c>
      <c r="T107" s="119" t="str">
        <f>IF(ISBLANK(Tbl_ResidentData[[#This Row],[Diagnosis (RAI)]]),IF(ISBLANK(Tbl_ResidentData[[#This Row],[Resident Name '[last, first']]]),"",0),IF(Tbl_ResidentData[[#This Row],[Diagnosis (RAI)]]="Other (see clinical notes)",0,1))</f>
        <v/>
      </c>
      <c r="U107" s="120" t="str">
        <f ca="1">IF(U$4&gt;NOW(),"-",IF(ISBLANK(Tbl_ResidentData[[#This Row],[Enrollment '[mmm-yyyy']]]),"-",AND((Tbl_ResidentData[[#This Row],[Enrollment '[mmm-yyyy']]]&lt;=U$4),IF(ISBLANK(Tbl_ResidentData[[#This Row],[Discharge '[mmm-yyyy']]]),TRUE,(Tbl_ResidentData[[#This Row],[Discharge '[mmm-yyyy']]]&gt;=U$4)))))</f>
        <v>-</v>
      </c>
      <c r="V107" s="121" t="str">
        <f ca="1">IF(V$4&gt;NOW(),"-",IF(ISBLANK(Tbl_ResidentData[[#This Row],[Enrollment '[mmm-yyyy']]]),"-",AND((Tbl_ResidentData[[#This Row],[Enrollment '[mmm-yyyy']]]&lt;=V$4),IF(ISBLANK(Tbl_ResidentData[[#This Row],[Discharge '[mmm-yyyy']]]),TRUE,(Tbl_ResidentData[[#This Row],[Discharge '[mmm-yyyy']]]&gt;=V$4)))))</f>
        <v>-</v>
      </c>
      <c r="W107" s="121" t="str">
        <f ca="1">IF(W$4&gt;NOW(),"-",IF(ISBLANK(Tbl_ResidentData[[#This Row],[Enrollment '[mmm-yyyy']]]),"-",AND((Tbl_ResidentData[[#This Row],[Enrollment '[mmm-yyyy']]]&lt;=W$4),IF(ISBLANK(Tbl_ResidentData[[#This Row],[Discharge '[mmm-yyyy']]]),TRUE,(Tbl_ResidentData[[#This Row],[Discharge '[mmm-yyyy']]]&gt;=W$4)))))</f>
        <v>-</v>
      </c>
      <c r="X107" s="121" t="str">
        <f ca="1">IF(X$4&gt;NOW(),"-",IF(ISBLANK(Tbl_ResidentData[[#This Row],[Enrollment '[mmm-yyyy']]]),"-",AND((Tbl_ResidentData[[#This Row],[Enrollment '[mmm-yyyy']]]&lt;=X$4),IF(ISBLANK(Tbl_ResidentData[[#This Row],[Discharge '[mmm-yyyy']]]),TRUE,(Tbl_ResidentData[[#This Row],[Discharge '[mmm-yyyy']]]&gt;=X$4)))))</f>
        <v>-</v>
      </c>
      <c r="Y107" s="121" t="str">
        <f ca="1">IF(Y$4&gt;NOW(),"-",IF(ISBLANK(Tbl_ResidentData[[#This Row],[Enrollment '[mmm-yyyy']]]),"-",AND((Tbl_ResidentData[[#This Row],[Enrollment '[mmm-yyyy']]]&lt;=Y$4),IF(ISBLANK(Tbl_ResidentData[[#This Row],[Discharge '[mmm-yyyy']]]),TRUE,(Tbl_ResidentData[[#This Row],[Discharge '[mmm-yyyy']]]&gt;=Y$4)))))</f>
        <v>-</v>
      </c>
      <c r="Z107" s="121" t="str">
        <f ca="1">IF(Z$4&gt;NOW(),"-",IF(ISBLANK(Tbl_ResidentData[[#This Row],[Enrollment '[mmm-yyyy']]]),"-",AND((Tbl_ResidentData[[#This Row],[Enrollment '[mmm-yyyy']]]&lt;=Z$4),IF(ISBLANK(Tbl_ResidentData[[#This Row],[Discharge '[mmm-yyyy']]]),TRUE,(Tbl_ResidentData[[#This Row],[Discharge '[mmm-yyyy']]]&gt;=Z$4)))))</f>
        <v>-</v>
      </c>
      <c r="AA107" s="121" t="str">
        <f ca="1">IF(AA$4&gt;NOW(),"-",IF(ISBLANK(Tbl_ResidentData[[#This Row],[Enrollment '[mmm-yyyy']]]),"-",AND((Tbl_ResidentData[[#This Row],[Enrollment '[mmm-yyyy']]]&lt;=AA$4),IF(ISBLANK(Tbl_ResidentData[[#This Row],[Discharge '[mmm-yyyy']]]),TRUE,(Tbl_ResidentData[[#This Row],[Discharge '[mmm-yyyy']]]&gt;=AA$4)))))</f>
        <v>-</v>
      </c>
      <c r="AB107" s="121" t="str">
        <f ca="1">IF(AB$4&gt;NOW(),"-",IF(ISBLANK(Tbl_ResidentData[[#This Row],[Enrollment '[mmm-yyyy']]]),"-",AND((Tbl_ResidentData[[#This Row],[Enrollment '[mmm-yyyy']]]&lt;=AB$4),IF(ISBLANK(Tbl_ResidentData[[#This Row],[Discharge '[mmm-yyyy']]]),TRUE,(Tbl_ResidentData[[#This Row],[Discharge '[mmm-yyyy']]]&gt;=AB$4)))))</f>
        <v>-</v>
      </c>
      <c r="AC107" s="121" t="str">
        <f ca="1">IF(AC$4&gt;NOW(),"-",IF(ISBLANK(Tbl_ResidentData[[#This Row],[Enrollment '[mmm-yyyy']]]),"-",AND((Tbl_ResidentData[[#This Row],[Enrollment '[mmm-yyyy']]]&lt;=AC$4),IF(ISBLANK(Tbl_ResidentData[[#This Row],[Discharge '[mmm-yyyy']]]),TRUE,(Tbl_ResidentData[[#This Row],[Discharge '[mmm-yyyy']]]&gt;=AC$4)))))</f>
        <v>-</v>
      </c>
      <c r="AD107" s="121" t="str">
        <f ca="1">IF(AD$4&gt;NOW(),"-",IF(ISBLANK(Tbl_ResidentData[[#This Row],[Enrollment '[mmm-yyyy']]]),"-",AND((Tbl_ResidentData[[#This Row],[Enrollment '[mmm-yyyy']]]&lt;=AD$4),IF(ISBLANK(Tbl_ResidentData[[#This Row],[Discharge '[mmm-yyyy']]]),TRUE,(Tbl_ResidentData[[#This Row],[Discharge '[mmm-yyyy']]]&gt;=AD$4)))))</f>
        <v>-</v>
      </c>
      <c r="AE107" s="121" t="str">
        <f ca="1">IF(AE$4&gt;NOW(),"-",IF(ISBLANK(Tbl_ResidentData[[#This Row],[Enrollment '[mmm-yyyy']]]),"-",AND((Tbl_ResidentData[[#This Row],[Enrollment '[mmm-yyyy']]]&lt;=AE$4),IF(ISBLANK(Tbl_ResidentData[[#This Row],[Discharge '[mmm-yyyy']]]),TRUE,(Tbl_ResidentData[[#This Row],[Discharge '[mmm-yyyy']]]&gt;=AE$4)))))</f>
        <v>-</v>
      </c>
      <c r="AF107" s="121" t="str">
        <f ca="1">IF(AF$4&gt;NOW(),"-",IF(ISBLANK(Tbl_ResidentData[[#This Row],[Enrollment '[mmm-yyyy']]]),"-",AND((Tbl_ResidentData[[#This Row],[Enrollment '[mmm-yyyy']]]&lt;=AF$4),IF(ISBLANK(Tbl_ResidentData[[#This Row],[Discharge '[mmm-yyyy']]]),TRUE,(Tbl_ResidentData[[#This Row],[Discharge '[mmm-yyyy']]]&gt;=AF$4)))))</f>
        <v>-</v>
      </c>
      <c r="AG107" s="121" t="str">
        <f ca="1">IF(AG$4&gt;NOW(),"-",IF(ISBLANK(Tbl_ResidentData[[#This Row],[Enrollment '[mmm-yyyy']]]),"-",AND((Tbl_ResidentData[[#This Row],[Enrollment '[mmm-yyyy']]]&lt;=AG$4),IF(ISBLANK(Tbl_ResidentData[[#This Row],[Discharge '[mmm-yyyy']]]),TRUE,(Tbl_ResidentData[[#This Row],[Discharge '[mmm-yyyy']]]&gt;=AG$4)))))</f>
        <v>-</v>
      </c>
      <c r="AH107" s="121" t="str">
        <f ca="1">IF(AH$4&gt;NOW(),"-",IF(ISBLANK(Tbl_ResidentData[[#This Row],[Enrollment '[mmm-yyyy']]]),"-",AND((Tbl_ResidentData[[#This Row],[Enrollment '[mmm-yyyy']]]&lt;=AH$4),IF(ISBLANK(Tbl_ResidentData[[#This Row],[Discharge '[mmm-yyyy']]]),TRUE,(Tbl_ResidentData[[#This Row],[Discharge '[mmm-yyyy']]]&gt;=AH$4)))))</f>
        <v>-</v>
      </c>
      <c r="AI107" s="121" t="str">
        <f ca="1">IF(AI$4&gt;NOW(),"-",IF(ISBLANK(Tbl_ResidentData[[#This Row],[Enrollment '[mmm-yyyy']]]),"-",AND((Tbl_ResidentData[[#This Row],[Enrollment '[mmm-yyyy']]]&lt;=AI$4),IF(ISBLANK(Tbl_ResidentData[[#This Row],[Discharge '[mmm-yyyy']]]),TRUE,(Tbl_ResidentData[[#This Row],[Discharge '[mmm-yyyy']]]&gt;=AI$4)))))</f>
        <v>-</v>
      </c>
      <c r="AJ107" s="121" t="str">
        <f ca="1">IF(AJ$4&gt;NOW(),"-",IF(ISBLANK(Tbl_ResidentData[[#This Row],[Enrollment '[mmm-yyyy']]]),"-",AND((Tbl_ResidentData[[#This Row],[Enrollment '[mmm-yyyy']]]&lt;=AJ$4),IF(ISBLANK(Tbl_ResidentData[[#This Row],[Discharge '[mmm-yyyy']]]),TRUE,(Tbl_ResidentData[[#This Row],[Discharge '[mmm-yyyy']]]&gt;=AJ$4)))))</f>
        <v>-</v>
      </c>
      <c r="AK107" s="121" t="str">
        <f ca="1">IF(AK$4&gt;NOW(),"-",IF(ISBLANK(Tbl_ResidentData[[#This Row],[Enrollment '[mmm-yyyy']]]),"-",AND((Tbl_ResidentData[[#This Row],[Enrollment '[mmm-yyyy']]]&lt;=AK$4),IF(ISBLANK(Tbl_ResidentData[[#This Row],[Discharge '[mmm-yyyy']]]),TRUE,(Tbl_ResidentData[[#This Row],[Discharge '[mmm-yyyy']]]&gt;=AK$4)))))</f>
        <v>-</v>
      </c>
      <c r="AL107" s="121" t="str">
        <f ca="1">IF(AL$4&gt;NOW(),"-",IF(ISBLANK(Tbl_ResidentData[[#This Row],[Enrollment '[mmm-yyyy']]]),"-",AND((Tbl_ResidentData[[#This Row],[Enrollment '[mmm-yyyy']]]&lt;=AL$4),IF(ISBLANK(Tbl_ResidentData[[#This Row],[Discharge '[mmm-yyyy']]]),TRUE,(Tbl_ResidentData[[#This Row],[Discharge '[mmm-yyyy']]]&gt;=AL$4)))))</f>
        <v>-</v>
      </c>
      <c r="AM107" s="121" t="str">
        <f ca="1">IF(AM$4&gt;NOW(),"-",IF(ISBLANK(Tbl_ResidentData[[#This Row],[Enrollment '[mmm-yyyy']]]),"-",AND((Tbl_ResidentData[[#This Row],[Enrollment '[mmm-yyyy']]]&lt;=AM$4),IF(ISBLANK(Tbl_ResidentData[[#This Row],[Discharge '[mmm-yyyy']]]),TRUE,(Tbl_ResidentData[[#This Row],[Discharge '[mmm-yyyy']]]&gt;=AM$4)))))</f>
        <v>-</v>
      </c>
      <c r="AN107" s="121" t="str">
        <f ca="1">IF(AN$4&gt;NOW(),"-",IF(ISBLANK(Tbl_ResidentData[[#This Row],[Enrollment '[mmm-yyyy']]]),"-",AND((Tbl_ResidentData[[#This Row],[Enrollment '[mmm-yyyy']]]&lt;=AN$4),IF(ISBLANK(Tbl_ResidentData[[#This Row],[Discharge '[mmm-yyyy']]]),TRUE,(Tbl_ResidentData[[#This Row],[Discharge '[mmm-yyyy']]]&gt;=AN$4)))))</f>
        <v>-</v>
      </c>
      <c r="AO107" s="121" t="str">
        <f ca="1">IF(AO$4&gt;NOW(),"-",IF(ISBLANK(Tbl_ResidentData[[#This Row],[Enrollment '[mmm-yyyy']]]),"-",AND((Tbl_ResidentData[[#This Row],[Enrollment '[mmm-yyyy']]]&lt;=AO$4),IF(ISBLANK(Tbl_ResidentData[[#This Row],[Discharge '[mmm-yyyy']]]),TRUE,(Tbl_ResidentData[[#This Row],[Discharge '[mmm-yyyy']]]&gt;=AO$4)))))</f>
        <v>-</v>
      </c>
      <c r="AP107" s="121" t="str">
        <f ca="1">IF(AP$4&gt;NOW(),"-",IF(ISBLANK(Tbl_ResidentData[[#This Row],[Enrollment '[mmm-yyyy']]]),"-",AND((Tbl_ResidentData[[#This Row],[Enrollment '[mmm-yyyy']]]&lt;=AP$4),IF(ISBLANK(Tbl_ResidentData[[#This Row],[Discharge '[mmm-yyyy']]]),TRUE,(Tbl_ResidentData[[#This Row],[Discharge '[mmm-yyyy']]]&gt;=AP$4)))))</f>
        <v>-</v>
      </c>
      <c r="AQ107" s="121" t="str">
        <f ca="1">IF(AQ$4&gt;NOW(),"-",IF(ISBLANK(Tbl_ResidentData[[#This Row],[Enrollment '[mmm-yyyy']]]),"-",AND((Tbl_ResidentData[[#This Row],[Enrollment '[mmm-yyyy']]]&lt;=AQ$4),IF(ISBLANK(Tbl_ResidentData[[#This Row],[Discharge '[mmm-yyyy']]]),TRUE,(Tbl_ResidentData[[#This Row],[Discharge '[mmm-yyyy']]]&gt;=AQ$4)))))</f>
        <v>-</v>
      </c>
      <c r="AR107" s="122" t="str">
        <f ca="1">IF(AR$4&gt;NOW(),"-",IF(ISBLANK(Tbl_ResidentData[[#This Row],[Enrollment '[mmm-yyyy']]]),"-",AND((Tbl_ResidentData[[#This Row],[Enrollment '[mmm-yyyy']]]&lt;=AR$4),IF(ISBLANK(Tbl_ResidentData[[#This Row],[Discharge '[mmm-yyyy']]]),TRUE,(Tbl_ResidentData[[#This Row],[Discharge '[mmm-yyyy']]]&gt;=AR$4)))))</f>
        <v>-</v>
      </c>
      <c r="AS10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7" s="120" t="b">
        <f ca="1">AND(Tbl_ResidentData[[#This Row],[PRN Med Started]]&lt;&gt;"",Tbl_ResidentData[[#This Row],[PRN Med Started]]&lt;=NOW(),Tbl_ResidentData[[#This Row],[PRN Med Started]]&lt;=AS$4,OR(Tbl_ResidentData[[#This Row],[PRN Med Discontinued]]&gt;AS$4,ISBLANK(Tbl_ResidentData[[#This Row],[PRN Med Discontinued]])))</f>
        <v>0</v>
      </c>
      <c r="BR107" s="121" t="b">
        <f ca="1">AND(Tbl_ResidentData[[#This Row],[PRN Med Started]]&lt;&gt;"",Tbl_ResidentData[[#This Row],[PRN Med Started]]&lt;=NOW(),Tbl_ResidentData[[#This Row],[PRN Med Started]]&lt;=AT$4,OR(Tbl_ResidentData[[#This Row],[PRN Med Discontinued]]&gt;AT$4,ISBLANK(Tbl_ResidentData[[#This Row],[PRN Med Discontinued]])))</f>
        <v>0</v>
      </c>
      <c r="BS107" s="121" t="b">
        <f ca="1">AND(Tbl_ResidentData[[#This Row],[PRN Med Started]]&lt;&gt;"",Tbl_ResidentData[[#This Row],[PRN Med Started]]&lt;=NOW(),Tbl_ResidentData[[#This Row],[PRN Med Started]]&lt;=AU$4,OR(Tbl_ResidentData[[#This Row],[PRN Med Discontinued]]&gt;AU$4,ISBLANK(Tbl_ResidentData[[#This Row],[PRN Med Discontinued]])))</f>
        <v>0</v>
      </c>
      <c r="BT107" s="121" t="b">
        <f ca="1">AND(Tbl_ResidentData[[#This Row],[PRN Med Started]]&lt;&gt;"",Tbl_ResidentData[[#This Row],[PRN Med Started]]&lt;=NOW(),Tbl_ResidentData[[#This Row],[PRN Med Started]]&lt;=AV$4,OR(Tbl_ResidentData[[#This Row],[PRN Med Discontinued]]&gt;AV$4,ISBLANK(Tbl_ResidentData[[#This Row],[PRN Med Discontinued]])))</f>
        <v>0</v>
      </c>
      <c r="BU107" s="121" t="b">
        <f ca="1">AND(Tbl_ResidentData[[#This Row],[PRN Med Started]]&lt;&gt;"",Tbl_ResidentData[[#This Row],[PRN Med Started]]&lt;=NOW(),Tbl_ResidentData[[#This Row],[PRN Med Started]]&lt;=AW$4,OR(Tbl_ResidentData[[#This Row],[PRN Med Discontinued]]&gt;AW$4,ISBLANK(Tbl_ResidentData[[#This Row],[PRN Med Discontinued]])))</f>
        <v>0</v>
      </c>
      <c r="BV107" s="121" t="b">
        <f ca="1">AND(Tbl_ResidentData[[#This Row],[PRN Med Started]]&lt;&gt;"",Tbl_ResidentData[[#This Row],[PRN Med Started]]&lt;=NOW(),Tbl_ResidentData[[#This Row],[PRN Med Started]]&lt;=AX$4,OR(Tbl_ResidentData[[#This Row],[PRN Med Discontinued]]&gt;AX$4,ISBLANK(Tbl_ResidentData[[#This Row],[PRN Med Discontinued]])))</f>
        <v>0</v>
      </c>
      <c r="BW107" s="121" t="b">
        <f ca="1">AND(Tbl_ResidentData[[#This Row],[PRN Med Started]]&lt;&gt;"",Tbl_ResidentData[[#This Row],[PRN Med Started]]&lt;=NOW(),Tbl_ResidentData[[#This Row],[PRN Med Started]]&lt;=AY$4,OR(Tbl_ResidentData[[#This Row],[PRN Med Discontinued]]&gt;AY$4,ISBLANK(Tbl_ResidentData[[#This Row],[PRN Med Discontinued]])))</f>
        <v>0</v>
      </c>
      <c r="BX107" s="121" t="b">
        <f ca="1">AND(Tbl_ResidentData[[#This Row],[PRN Med Started]]&lt;&gt;"",Tbl_ResidentData[[#This Row],[PRN Med Started]]&lt;=NOW(),Tbl_ResidentData[[#This Row],[PRN Med Started]]&lt;=AZ$4,OR(Tbl_ResidentData[[#This Row],[PRN Med Discontinued]]&gt;AZ$4,ISBLANK(Tbl_ResidentData[[#This Row],[PRN Med Discontinued]])))</f>
        <v>0</v>
      </c>
      <c r="BY107" s="121" t="b">
        <f ca="1">AND(Tbl_ResidentData[[#This Row],[PRN Med Started]]&lt;&gt;"",Tbl_ResidentData[[#This Row],[PRN Med Started]]&lt;=NOW(),Tbl_ResidentData[[#This Row],[PRN Med Started]]&lt;=BA$4,OR(Tbl_ResidentData[[#This Row],[PRN Med Discontinued]]&gt;BA$4,ISBLANK(Tbl_ResidentData[[#This Row],[PRN Med Discontinued]])))</f>
        <v>0</v>
      </c>
      <c r="BZ107" s="121" t="b">
        <f ca="1">AND(Tbl_ResidentData[[#This Row],[PRN Med Started]]&lt;&gt;"",Tbl_ResidentData[[#This Row],[PRN Med Started]]&lt;=NOW(),Tbl_ResidentData[[#This Row],[PRN Med Started]]&lt;=BB$4,OR(Tbl_ResidentData[[#This Row],[PRN Med Discontinued]]&gt;BB$4,ISBLANK(Tbl_ResidentData[[#This Row],[PRN Med Discontinued]])))</f>
        <v>0</v>
      </c>
      <c r="CA107" s="121" t="b">
        <f ca="1">AND(Tbl_ResidentData[[#This Row],[PRN Med Started]]&lt;&gt;"",Tbl_ResidentData[[#This Row],[PRN Med Started]]&lt;=NOW(),Tbl_ResidentData[[#This Row],[PRN Med Started]]&lt;=BC$4,OR(Tbl_ResidentData[[#This Row],[PRN Med Discontinued]]&gt;BC$4,ISBLANK(Tbl_ResidentData[[#This Row],[PRN Med Discontinued]])))</f>
        <v>0</v>
      </c>
      <c r="CB107" s="121" t="b">
        <f ca="1">AND(Tbl_ResidentData[[#This Row],[PRN Med Started]]&lt;&gt;"",Tbl_ResidentData[[#This Row],[PRN Med Started]]&lt;=NOW(),Tbl_ResidentData[[#This Row],[PRN Med Started]]&lt;=BD$4,OR(Tbl_ResidentData[[#This Row],[PRN Med Discontinued]]&gt;BD$4,ISBLANK(Tbl_ResidentData[[#This Row],[PRN Med Discontinued]])))</f>
        <v>0</v>
      </c>
      <c r="CC107" s="121" t="b">
        <f ca="1">AND(Tbl_ResidentData[[#This Row],[PRN Med Started]]&lt;&gt;"",Tbl_ResidentData[[#This Row],[PRN Med Started]]&lt;=NOW(),Tbl_ResidentData[[#This Row],[PRN Med Started]]&lt;=BE$4,OR(Tbl_ResidentData[[#This Row],[PRN Med Discontinued]]&gt;BE$4,ISBLANK(Tbl_ResidentData[[#This Row],[PRN Med Discontinued]])))</f>
        <v>0</v>
      </c>
      <c r="CD107" s="121" t="b">
        <f ca="1">AND(Tbl_ResidentData[[#This Row],[PRN Med Started]]&lt;&gt;"",Tbl_ResidentData[[#This Row],[PRN Med Started]]&lt;=NOW(),Tbl_ResidentData[[#This Row],[PRN Med Started]]&lt;=BF$4,OR(Tbl_ResidentData[[#This Row],[PRN Med Discontinued]]&gt;BF$4,ISBLANK(Tbl_ResidentData[[#This Row],[PRN Med Discontinued]])))</f>
        <v>0</v>
      </c>
      <c r="CE107" s="121" t="b">
        <f ca="1">AND(Tbl_ResidentData[[#This Row],[PRN Med Started]]&lt;&gt;"",Tbl_ResidentData[[#This Row],[PRN Med Started]]&lt;=NOW(),Tbl_ResidentData[[#This Row],[PRN Med Started]]&lt;=BG$4,OR(Tbl_ResidentData[[#This Row],[PRN Med Discontinued]]&gt;BG$4,ISBLANK(Tbl_ResidentData[[#This Row],[PRN Med Discontinued]])))</f>
        <v>0</v>
      </c>
      <c r="CF107" s="121" t="b">
        <f ca="1">AND(Tbl_ResidentData[[#This Row],[PRN Med Started]]&lt;&gt;"",Tbl_ResidentData[[#This Row],[PRN Med Started]]&lt;=NOW(),Tbl_ResidentData[[#This Row],[PRN Med Started]]&lt;=BH$4,OR(Tbl_ResidentData[[#This Row],[PRN Med Discontinued]]&gt;BH$4,ISBLANK(Tbl_ResidentData[[#This Row],[PRN Med Discontinued]])))</f>
        <v>0</v>
      </c>
      <c r="CG107" s="121" t="b">
        <f ca="1">AND(Tbl_ResidentData[[#This Row],[PRN Med Started]]&lt;&gt;"",Tbl_ResidentData[[#This Row],[PRN Med Started]]&lt;=NOW(),Tbl_ResidentData[[#This Row],[PRN Med Started]]&lt;=BI$4,OR(Tbl_ResidentData[[#This Row],[PRN Med Discontinued]]&gt;BI$4,ISBLANK(Tbl_ResidentData[[#This Row],[PRN Med Discontinued]])))</f>
        <v>0</v>
      </c>
      <c r="CH107" s="121" t="b">
        <f ca="1">AND(Tbl_ResidentData[[#This Row],[PRN Med Started]]&lt;&gt;"",Tbl_ResidentData[[#This Row],[PRN Med Started]]&lt;=NOW(),Tbl_ResidentData[[#This Row],[PRN Med Started]]&lt;=BJ$4,OR(Tbl_ResidentData[[#This Row],[PRN Med Discontinued]]&gt;BJ$4,ISBLANK(Tbl_ResidentData[[#This Row],[PRN Med Discontinued]])))</f>
        <v>0</v>
      </c>
      <c r="CI107" s="121" t="b">
        <f ca="1">AND(Tbl_ResidentData[[#This Row],[PRN Med Started]]&lt;&gt;"",Tbl_ResidentData[[#This Row],[PRN Med Started]]&lt;=NOW(),Tbl_ResidentData[[#This Row],[PRN Med Started]]&lt;=BK$4,OR(Tbl_ResidentData[[#This Row],[PRN Med Discontinued]]&gt;BK$4,ISBLANK(Tbl_ResidentData[[#This Row],[PRN Med Discontinued]])))</f>
        <v>0</v>
      </c>
      <c r="CJ107" s="121" t="b">
        <f ca="1">AND(Tbl_ResidentData[[#This Row],[PRN Med Started]]&lt;&gt;"",Tbl_ResidentData[[#This Row],[PRN Med Started]]&lt;=NOW(),Tbl_ResidentData[[#This Row],[PRN Med Started]]&lt;=BL$4,OR(Tbl_ResidentData[[#This Row],[PRN Med Discontinued]]&gt;BL$4,ISBLANK(Tbl_ResidentData[[#This Row],[PRN Med Discontinued]])))</f>
        <v>0</v>
      </c>
      <c r="CK107" s="121" t="b">
        <f ca="1">AND(Tbl_ResidentData[[#This Row],[PRN Med Started]]&lt;&gt;"",Tbl_ResidentData[[#This Row],[PRN Med Started]]&lt;=NOW(),Tbl_ResidentData[[#This Row],[PRN Med Started]]&lt;=BM$4,OR(Tbl_ResidentData[[#This Row],[PRN Med Discontinued]]&gt;BM$4,ISBLANK(Tbl_ResidentData[[#This Row],[PRN Med Discontinued]])))</f>
        <v>0</v>
      </c>
      <c r="CL107" s="121" t="b">
        <f ca="1">AND(Tbl_ResidentData[[#This Row],[PRN Med Started]]&lt;&gt;"",Tbl_ResidentData[[#This Row],[PRN Med Started]]&lt;=NOW(),Tbl_ResidentData[[#This Row],[PRN Med Started]]&lt;=BN$4,OR(Tbl_ResidentData[[#This Row],[PRN Med Discontinued]]&gt;BN$4,ISBLANK(Tbl_ResidentData[[#This Row],[PRN Med Discontinued]])))</f>
        <v>0</v>
      </c>
      <c r="CM107" s="121" t="b">
        <f ca="1">AND(Tbl_ResidentData[[#This Row],[PRN Med Started]]&lt;&gt;"",Tbl_ResidentData[[#This Row],[PRN Med Started]]&lt;=NOW(),Tbl_ResidentData[[#This Row],[PRN Med Started]]&lt;=BO$4,OR(Tbl_ResidentData[[#This Row],[PRN Med Discontinued]]&gt;BO$4,ISBLANK(Tbl_ResidentData[[#This Row],[PRN Med Discontinued]])))</f>
        <v>0</v>
      </c>
      <c r="CN107" s="122" t="b">
        <f ca="1">AND(Tbl_ResidentData[[#This Row],[PRN Med Started]]&lt;&gt;"",Tbl_ResidentData[[#This Row],[PRN Med Started]]&lt;=NOW(),Tbl_ResidentData[[#This Row],[PRN Med Started]]&lt;=BP$4,OR(Tbl_ResidentData[[#This Row],[PRN Med Discontinued]]&gt;BP$4,ISBLANK(Tbl_ResidentData[[#This Row],[PRN Med Discontinued]])))</f>
        <v>0</v>
      </c>
      <c r="CO107" s="120">
        <f ca="1">IF(OR(Tbl_ResidentData[[#This Row],[S1]]=TRUE,Tbl_ResidentData[[#This Row],[P1]]=TRUE),1,0)</f>
        <v>0</v>
      </c>
      <c r="CP107" s="121">
        <f ca="1">IF(OR(Tbl_ResidentData[[#This Row],[S2]]=TRUE,Tbl_ResidentData[[#This Row],[P2]]=TRUE),1,0)</f>
        <v>0</v>
      </c>
      <c r="CQ107" s="121">
        <f ca="1">IF(OR(Tbl_ResidentData[[#This Row],[S3]]=TRUE,Tbl_ResidentData[[#This Row],[P3]]=TRUE),1,0)</f>
        <v>0</v>
      </c>
      <c r="CR107" s="120">
        <f ca="1">IF(OR(Tbl_ResidentData[[#This Row],[S4]]=TRUE,Tbl_ResidentData[[#This Row],[P4]]=TRUE),1,0)</f>
        <v>0</v>
      </c>
      <c r="CS107" s="120">
        <f ca="1">IF(OR(Tbl_ResidentData[[#This Row],[S5]]=TRUE,Tbl_ResidentData[[#This Row],[P5]]=TRUE),1,0)</f>
        <v>0</v>
      </c>
      <c r="CT107" s="120">
        <f ca="1">IF(OR(Tbl_ResidentData[[#This Row],[S6]]=TRUE,Tbl_ResidentData[[#This Row],[P6]]=TRUE),1,0)</f>
        <v>0</v>
      </c>
      <c r="CU107" s="120">
        <f ca="1">IF(OR(Tbl_ResidentData[[#This Row],[S7]]=TRUE,Tbl_ResidentData[[#This Row],[P7]]=TRUE),1,0)</f>
        <v>0</v>
      </c>
      <c r="CV107" s="120">
        <f ca="1">IF(OR(Tbl_ResidentData[[#This Row],[S8]]=TRUE,Tbl_ResidentData[[#This Row],[P8]]=TRUE),1,0)</f>
        <v>0</v>
      </c>
      <c r="CW107" s="120">
        <f ca="1">IF(OR(Tbl_ResidentData[[#This Row],[S9]]=TRUE,Tbl_ResidentData[[#This Row],[P9]]=TRUE),1,0)</f>
        <v>0</v>
      </c>
      <c r="CX107" s="120">
        <f ca="1">IF(OR(Tbl_ResidentData[[#This Row],[S10]]=TRUE,Tbl_ResidentData[[#This Row],[P10]]=TRUE),1,0)</f>
        <v>0</v>
      </c>
      <c r="CY107" s="120">
        <f ca="1">IF(OR(Tbl_ResidentData[[#This Row],[S11]]=TRUE,Tbl_ResidentData[[#This Row],[P11]]=TRUE),1,0)</f>
        <v>0</v>
      </c>
      <c r="CZ107" s="120">
        <f ca="1">IF(OR(Tbl_ResidentData[[#This Row],[S12]]=TRUE,Tbl_ResidentData[[#This Row],[P12]]=TRUE),1,0)</f>
        <v>0</v>
      </c>
      <c r="DA107" s="120">
        <f ca="1">IF(OR(Tbl_ResidentData[[#This Row],[S13]]=TRUE,Tbl_ResidentData[[#This Row],[P13]]=TRUE),1,0)</f>
        <v>0</v>
      </c>
      <c r="DB107" s="120">
        <f ca="1">IF(OR(Tbl_ResidentData[[#This Row],[S14]]=TRUE,Tbl_ResidentData[[#This Row],[P14]]=TRUE),1,0)</f>
        <v>0</v>
      </c>
      <c r="DC107" s="120">
        <f ca="1">IF(OR(Tbl_ResidentData[[#This Row],[S15]]=TRUE,Tbl_ResidentData[[#This Row],[P15]]=TRUE),1,0)</f>
        <v>0</v>
      </c>
      <c r="DD107" s="120">
        <f ca="1">IF(OR(Tbl_ResidentData[[#This Row],[S16]]=TRUE,Tbl_ResidentData[[#This Row],[P16]]=TRUE),1,0)</f>
        <v>0</v>
      </c>
      <c r="DE107" s="120">
        <f ca="1">IF(OR(Tbl_ResidentData[[#This Row],[S17]]=TRUE,Tbl_ResidentData[[#This Row],[P17]]=TRUE),1,0)</f>
        <v>0</v>
      </c>
      <c r="DF107" s="120">
        <f ca="1">IF(OR(Tbl_ResidentData[[#This Row],[S18]]=TRUE,Tbl_ResidentData[[#This Row],[P18]]=TRUE),1,0)</f>
        <v>0</v>
      </c>
      <c r="DG107" s="120">
        <f ca="1">IF(OR(Tbl_ResidentData[[#This Row],[S19]]=TRUE,Tbl_ResidentData[[#This Row],[P19]]=TRUE),1,0)</f>
        <v>0</v>
      </c>
      <c r="DH107" s="120">
        <f ca="1">IF(OR(Tbl_ResidentData[[#This Row],[S20]]=TRUE,Tbl_ResidentData[[#This Row],[P20]]=TRUE),1,0)</f>
        <v>0</v>
      </c>
      <c r="DI107" s="120">
        <f ca="1">IF(OR(Tbl_ResidentData[[#This Row],[S21]]=TRUE,Tbl_ResidentData[[#This Row],[P21]]=TRUE),1,0)</f>
        <v>0</v>
      </c>
      <c r="DJ107" s="120">
        <f ca="1">IF(OR(Tbl_ResidentData[[#This Row],[S22]]=TRUE,Tbl_ResidentData[[#This Row],[P22]]=TRUE),1,0)</f>
        <v>0</v>
      </c>
      <c r="DK107" s="120">
        <f ca="1">IF(OR(Tbl_ResidentData[[#This Row],[S23]]=TRUE,Tbl_ResidentData[[#This Row],[P23]]=TRUE),1,0)</f>
        <v>0</v>
      </c>
      <c r="DL107" s="120">
        <f ca="1">IF(OR(Tbl_ResidentData[[#This Row],[S24]]=TRUE,Tbl_ResidentData[[#This Row],[P24]]=TRUE),1,0)</f>
        <v>0</v>
      </c>
      <c r="DM107" s="123" t="str">
        <f ca="1">IFERROR(INDEX($CO$4:$DL$4,MATCH(TRUE,INDEX((Tbl_ResidentData[[#This Row],[Over1]:[Over24]]&lt;&gt;0),0),0)),"")</f>
        <v/>
      </c>
      <c r="DN107" s="133" t="str">
        <f>IFERROR(INDEX(Tbl_PDSAData[Last DRT],MATCH(Tbl_ResidentData[Resident Name '[last, first']],Tbl_PDSAData[Resident Name (last, first)],0)),"")</f>
        <v/>
      </c>
      <c r="DO107" s="222" t="str">
        <f>IFERROR(INDEX(Tbl_PDSAData[Last MR],MATCH(Tbl_ResidentData[Resident Name '[last, first']],Tbl_PDSAData[Resident Name (last, first)],0)),"")</f>
        <v/>
      </c>
    </row>
    <row r="108" spans="1:119" x14ac:dyDescent="0.25">
      <c r="A108" s="179"/>
      <c r="B108" s="180"/>
      <c r="C108" s="180"/>
      <c r="D108" s="218"/>
      <c r="E108" s="179"/>
      <c r="F108" s="181"/>
      <c r="G108" s="181"/>
      <c r="H108" s="182"/>
      <c r="I108" s="185"/>
      <c r="J108" s="387"/>
      <c r="K108" s="178"/>
      <c r="L108" s="388"/>
      <c r="M108" s="185"/>
      <c r="N108" s="386"/>
      <c r="O108" s="178"/>
      <c r="P108" s="388"/>
      <c r="Q108" s="394"/>
      <c r="R108" s="388"/>
      <c r="S108" s="131" t="str">
        <f>IF(ISBLANK(Tbl_ResidentData[[#This Row],[Discharge '[mmm-yyyy']]]),IF(ISBLANK(Tbl_ResidentData[[#This Row],[Enrollment '[mmm-yyyy']]]),"","In Care Home"),"Discharged")</f>
        <v/>
      </c>
      <c r="T108" s="119" t="str">
        <f>IF(ISBLANK(Tbl_ResidentData[[#This Row],[Diagnosis (RAI)]]),IF(ISBLANK(Tbl_ResidentData[[#This Row],[Resident Name '[last, first']]]),"",0),IF(Tbl_ResidentData[[#This Row],[Diagnosis (RAI)]]="Other (see clinical notes)",0,1))</f>
        <v/>
      </c>
      <c r="U108" s="120" t="str">
        <f ca="1">IF(U$4&gt;NOW(),"-",IF(ISBLANK(Tbl_ResidentData[[#This Row],[Enrollment '[mmm-yyyy']]]),"-",AND((Tbl_ResidentData[[#This Row],[Enrollment '[mmm-yyyy']]]&lt;=U$4),IF(ISBLANK(Tbl_ResidentData[[#This Row],[Discharge '[mmm-yyyy']]]),TRUE,(Tbl_ResidentData[[#This Row],[Discharge '[mmm-yyyy']]]&gt;=U$4)))))</f>
        <v>-</v>
      </c>
      <c r="V108" s="121" t="str">
        <f ca="1">IF(V$4&gt;NOW(),"-",IF(ISBLANK(Tbl_ResidentData[[#This Row],[Enrollment '[mmm-yyyy']]]),"-",AND((Tbl_ResidentData[[#This Row],[Enrollment '[mmm-yyyy']]]&lt;=V$4),IF(ISBLANK(Tbl_ResidentData[[#This Row],[Discharge '[mmm-yyyy']]]),TRUE,(Tbl_ResidentData[[#This Row],[Discharge '[mmm-yyyy']]]&gt;=V$4)))))</f>
        <v>-</v>
      </c>
      <c r="W108" s="121" t="str">
        <f ca="1">IF(W$4&gt;NOW(),"-",IF(ISBLANK(Tbl_ResidentData[[#This Row],[Enrollment '[mmm-yyyy']]]),"-",AND((Tbl_ResidentData[[#This Row],[Enrollment '[mmm-yyyy']]]&lt;=W$4),IF(ISBLANK(Tbl_ResidentData[[#This Row],[Discharge '[mmm-yyyy']]]),TRUE,(Tbl_ResidentData[[#This Row],[Discharge '[mmm-yyyy']]]&gt;=W$4)))))</f>
        <v>-</v>
      </c>
      <c r="X108" s="121" t="str">
        <f ca="1">IF(X$4&gt;NOW(),"-",IF(ISBLANK(Tbl_ResidentData[[#This Row],[Enrollment '[mmm-yyyy']]]),"-",AND((Tbl_ResidentData[[#This Row],[Enrollment '[mmm-yyyy']]]&lt;=X$4),IF(ISBLANK(Tbl_ResidentData[[#This Row],[Discharge '[mmm-yyyy']]]),TRUE,(Tbl_ResidentData[[#This Row],[Discharge '[mmm-yyyy']]]&gt;=X$4)))))</f>
        <v>-</v>
      </c>
      <c r="Y108" s="121" t="str">
        <f ca="1">IF(Y$4&gt;NOW(),"-",IF(ISBLANK(Tbl_ResidentData[[#This Row],[Enrollment '[mmm-yyyy']]]),"-",AND((Tbl_ResidentData[[#This Row],[Enrollment '[mmm-yyyy']]]&lt;=Y$4),IF(ISBLANK(Tbl_ResidentData[[#This Row],[Discharge '[mmm-yyyy']]]),TRUE,(Tbl_ResidentData[[#This Row],[Discharge '[mmm-yyyy']]]&gt;=Y$4)))))</f>
        <v>-</v>
      </c>
      <c r="Z108" s="121" t="str">
        <f ca="1">IF(Z$4&gt;NOW(),"-",IF(ISBLANK(Tbl_ResidentData[[#This Row],[Enrollment '[mmm-yyyy']]]),"-",AND((Tbl_ResidentData[[#This Row],[Enrollment '[mmm-yyyy']]]&lt;=Z$4),IF(ISBLANK(Tbl_ResidentData[[#This Row],[Discharge '[mmm-yyyy']]]),TRUE,(Tbl_ResidentData[[#This Row],[Discharge '[mmm-yyyy']]]&gt;=Z$4)))))</f>
        <v>-</v>
      </c>
      <c r="AA108" s="121" t="str">
        <f ca="1">IF(AA$4&gt;NOW(),"-",IF(ISBLANK(Tbl_ResidentData[[#This Row],[Enrollment '[mmm-yyyy']]]),"-",AND((Tbl_ResidentData[[#This Row],[Enrollment '[mmm-yyyy']]]&lt;=AA$4),IF(ISBLANK(Tbl_ResidentData[[#This Row],[Discharge '[mmm-yyyy']]]),TRUE,(Tbl_ResidentData[[#This Row],[Discharge '[mmm-yyyy']]]&gt;=AA$4)))))</f>
        <v>-</v>
      </c>
      <c r="AB108" s="121" t="str">
        <f ca="1">IF(AB$4&gt;NOW(),"-",IF(ISBLANK(Tbl_ResidentData[[#This Row],[Enrollment '[mmm-yyyy']]]),"-",AND((Tbl_ResidentData[[#This Row],[Enrollment '[mmm-yyyy']]]&lt;=AB$4),IF(ISBLANK(Tbl_ResidentData[[#This Row],[Discharge '[mmm-yyyy']]]),TRUE,(Tbl_ResidentData[[#This Row],[Discharge '[mmm-yyyy']]]&gt;=AB$4)))))</f>
        <v>-</v>
      </c>
      <c r="AC108" s="121" t="str">
        <f ca="1">IF(AC$4&gt;NOW(),"-",IF(ISBLANK(Tbl_ResidentData[[#This Row],[Enrollment '[mmm-yyyy']]]),"-",AND((Tbl_ResidentData[[#This Row],[Enrollment '[mmm-yyyy']]]&lt;=AC$4),IF(ISBLANK(Tbl_ResidentData[[#This Row],[Discharge '[mmm-yyyy']]]),TRUE,(Tbl_ResidentData[[#This Row],[Discharge '[mmm-yyyy']]]&gt;=AC$4)))))</f>
        <v>-</v>
      </c>
      <c r="AD108" s="121" t="str">
        <f ca="1">IF(AD$4&gt;NOW(),"-",IF(ISBLANK(Tbl_ResidentData[[#This Row],[Enrollment '[mmm-yyyy']]]),"-",AND((Tbl_ResidentData[[#This Row],[Enrollment '[mmm-yyyy']]]&lt;=AD$4),IF(ISBLANK(Tbl_ResidentData[[#This Row],[Discharge '[mmm-yyyy']]]),TRUE,(Tbl_ResidentData[[#This Row],[Discharge '[mmm-yyyy']]]&gt;=AD$4)))))</f>
        <v>-</v>
      </c>
      <c r="AE108" s="121" t="str">
        <f ca="1">IF(AE$4&gt;NOW(),"-",IF(ISBLANK(Tbl_ResidentData[[#This Row],[Enrollment '[mmm-yyyy']]]),"-",AND((Tbl_ResidentData[[#This Row],[Enrollment '[mmm-yyyy']]]&lt;=AE$4),IF(ISBLANK(Tbl_ResidentData[[#This Row],[Discharge '[mmm-yyyy']]]),TRUE,(Tbl_ResidentData[[#This Row],[Discharge '[mmm-yyyy']]]&gt;=AE$4)))))</f>
        <v>-</v>
      </c>
      <c r="AF108" s="121" t="str">
        <f ca="1">IF(AF$4&gt;NOW(),"-",IF(ISBLANK(Tbl_ResidentData[[#This Row],[Enrollment '[mmm-yyyy']]]),"-",AND((Tbl_ResidentData[[#This Row],[Enrollment '[mmm-yyyy']]]&lt;=AF$4),IF(ISBLANK(Tbl_ResidentData[[#This Row],[Discharge '[mmm-yyyy']]]),TRUE,(Tbl_ResidentData[[#This Row],[Discharge '[mmm-yyyy']]]&gt;=AF$4)))))</f>
        <v>-</v>
      </c>
      <c r="AG108" s="121" t="str">
        <f ca="1">IF(AG$4&gt;NOW(),"-",IF(ISBLANK(Tbl_ResidentData[[#This Row],[Enrollment '[mmm-yyyy']]]),"-",AND((Tbl_ResidentData[[#This Row],[Enrollment '[mmm-yyyy']]]&lt;=AG$4),IF(ISBLANK(Tbl_ResidentData[[#This Row],[Discharge '[mmm-yyyy']]]),TRUE,(Tbl_ResidentData[[#This Row],[Discharge '[mmm-yyyy']]]&gt;=AG$4)))))</f>
        <v>-</v>
      </c>
      <c r="AH108" s="121" t="str">
        <f ca="1">IF(AH$4&gt;NOW(),"-",IF(ISBLANK(Tbl_ResidentData[[#This Row],[Enrollment '[mmm-yyyy']]]),"-",AND((Tbl_ResidentData[[#This Row],[Enrollment '[mmm-yyyy']]]&lt;=AH$4),IF(ISBLANK(Tbl_ResidentData[[#This Row],[Discharge '[mmm-yyyy']]]),TRUE,(Tbl_ResidentData[[#This Row],[Discharge '[mmm-yyyy']]]&gt;=AH$4)))))</f>
        <v>-</v>
      </c>
      <c r="AI108" s="121" t="str">
        <f ca="1">IF(AI$4&gt;NOW(),"-",IF(ISBLANK(Tbl_ResidentData[[#This Row],[Enrollment '[mmm-yyyy']]]),"-",AND((Tbl_ResidentData[[#This Row],[Enrollment '[mmm-yyyy']]]&lt;=AI$4),IF(ISBLANK(Tbl_ResidentData[[#This Row],[Discharge '[mmm-yyyy']]]),TRUE,(Tbl_ResidentData[[#This Row],[Discharge '[mmm-yyyy']]]&gt;=AI$4)))))</f>
        <v>-</v>
      </c>
      <c r="AJ108" s="121" t="str">
        <f ca="1">IF(AJ$4&gt;NOW(),"-",IF(ISBLANK(Tbl_ResidentData[[#This Row],[Enrollment '[mmm-yyyy']]]),"-",AND((Tbl_ResidentData[[#This Row],[Enrollment '[mmm-yyyy']]]&lt;=AJ$4),IF(ISBLANK(Tbl_ResidentData[[#This Row],[Discharge '[mmm-yyyy']]]),TRUE,(Tbl_ResidentData[[#This Row],[Discharge '[mmm-yyyy']]]&gt;=AJ$4)))))</f>
        <v>-</v>
      </c>
      <c r="AK108" s="121" t="str">
        <f ca="1">IF(AK$4&gt;NOW(),"-",IF(ISBLANK(Tbl_ResidentData[[#This Row],[Enrollment '[mmm-yyyy']]]),"-",AND((Tbl_ResidentData[[#This Row],[Enrollment '[mmm-yyyy']]]&lt;=AK$4),IF(ISBLANK(Tbl_ResidentData[[#This Row],[Discharge '[mmm-yyyy']]]),TRUE,(Tbl_ResidentData[[#This Row],[Discharge '[mmm-yyyy']]]&gt;=AK$4)))))</f>
        <v>-</v>
      </c>
      <c r="AL108" s="121" t="str">
        <f ca="1">IF(AL$4&gt;NOW(),"-",IF(ISBLANK(Tbl_ResidentData[[#This Row],[Enrollment '[mmm-yyyy']]]),"-",AND((Tbl_ResidentData[[#This Row],[Enrollment '[mmm-yyyy']]]&lt;=AL$4),IF(ISBLANK(Tbl_ResidentData[[#This Row],[Discharge '[mmm-yyyy']]]),TRUE,(Tbl_ResidentData[[#This Row],[Discharge '[mmm-yyyy']]]&gt;=AL$4)))))</f>
        <v>-</v>
      </c>
      <c r="AM108" s="121" t="str">
        <f ca="1">IF(AM$4&gt;NOW(),"-",IF(ISBLANK(Tbl_ResidentData[[#This Row],[Enrollment '[mmm-yyyy']]]),"-",AND((Tbl_ResidentData[[#This Row],[Enrollment '[mmm-yyyy']]]&lt;=AM$4),IF(ISBLANK(Tbl_ResidentData[[#This Row],[Discharge '[mmm-yyyy']]]),TRUE,(Tbl_ResidentData[[#This Row],[Discharge '[mmm-yyyy']]]&gt;=AM$4)))))</f>
        <v>-</v>
      </c>
      <c r="AN108" s="121" t="str">
        <f ca="1">IF(AN$4&gt;NOW(),"-",IF(ISBLANK(Tbl_ResidentData[[#This Row],[Enrollment '[mmm-yyyy']]]),"-",AND((Tbl_ResidentData[[#This Row],[Enrollment '[mmm-yyyy']]]&lt;=AN$4),IF(ISBLANK(Tbl_ResidentData[[#This Row],[Discharge '[mmm-yyyy']]]),TRUE,(Tbl_ResidentData[[#This Row],[Discharge '[mmm-yyyy']]]&gt;=AN$4)))))</f>
        <v>-</v>
      </c>
      <c r="AO108" s="121" t="str">
        <f ca="1">IF(AO$4&gt;NOW(),"-",IF(ISBLANK(Tbl_ResidentData[[#This Row],[Enrollment '[mmm-yyyy']]]),"-",AND((Tbl_ResidentData[[#This Row],[Enrollment '[mmm-yyyy']]]&lt;=AO$4),IF(ISBLANK(Tbl_ResidentData[[#This Row],[Discharge '[mmm-yyyy']]]),TRUE,(Tbl_ResidentData[[#This Row],[Discharge '[mmm-yyyy']]]&gt;=AO$4)))))</f>
        <v>-</v>
      </c>
      <c r="AP108" s="121" t="str">
        <f ca="1">IF(AP$4&gt;NOW(),"-",IF(ISBLANK(Tbl_ResidentData[[#This Row],[Enrollment '[mmm-yyyy']]]),"-",AND((Tbl_ResidentData[[#This Row],[Enrollment '[mmm-yyyy']]]&lt;=AP$4),IF(ISBLANK(Tbl_ResidentData[[#This Row],[Discharge '[mmm-yyyy']]]),TRUE,(Tbl_ResidentData[[#This Row],[Discharge '[mmm-yyyy']]]&gt;=AP$4)))))</f>
        <v>-</v>
      </c>
      <c r="AQ108" s="121" t="str">
        <f ca="1">IF(AQ$4&gt;NOW(),"-",IF(ISBLANK(Tbl_ResidentData[[#This Row],[Enrollment '[mmm-yyyy']]]),"-",AND((Tbl_ResidentData[[#This Row],[Enrollment '[mmm-yyyy']]]&lt;=AQ$4),IF(ISBLANK(Tbl_ResidentData[[#This Row],[Discharge '[mmm-yyyy']]]),TRUE,(Tbl_ResidentData[[#This Row],[Discharge '[mmm-yyyy']]]&gt;=AQ$4)))))</f>
        <v>-</v>
      </c>
      <c r="AR108" s="122" t="str">
        <f ca="1">IF(AR$4&gt;NOW(),"-",IF(ISBLANK(Tbl_ResidentData[[#This Row],[Enrollment '[mmm-yyyy']]]),"-",AND((Tbl_ResidentData[[#This Row],[Enrollment '[mmm-yyyy']]]&lt;=AR$4),IF(ISBLANK(Tbl_ResidentData[[#This Row],[Discharge '[mmm-yyyy']]]),TRUE,(Tbl_ResidentData[[#This Row],[Discharge '[mmm-yyyy']]]&gt;=AR$4)))))</f>
        <v>-</v>
      </c>
      <c r="AS10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8" s="120" t="b">
        <f ca="1">AND(Tbl_ResidentData[[#This Row],[PRN Med Started]]&lt;&gt;"",Tbl_ResidentData[[#This Row],[PRN Med Started]]&lt;=NOW(),Tbl_ResidentData[[#This Row],[PRN Med Started]]&lt;=AS$4,OR(Tbl_ResidentData[[#This Row],[PRN Med Discontinued]]&gt;AS$4,ISBLANK(Tbl_ResidentData[[#This Row],[PRN Med Discontinued]])))</f>
        <v>0</v>
      </c>
      <c r="BR108" s="121" t="b">
        <f ca="1">AND(Tbl_ResidentData[[#This Row],[PRN Med Started]]&lt;&gt;"",Tbl_ResidentData[[#This Row],[PRN Med Started]]&lt;=NOW(),Tbl_ResidentData[[#This Row],[PRN Med Started]]&lt;=AT$4,OR(Tbl_ResidentData[[#This Row],[PRN Med Discontinued]]&gt;AT$4,ISBLANK(Tbl_ResidentData[[#This Row],[PRN Med Discontinued]])))</f>
        <v>0</v>
      </c>
      <c r="BS108" s="121" t="b">
        <f ca="1">AND(Tbl_ResidentData[[#This Row],[PRN Med Started]]&lt;&gt;"",Tbl_ResidentData[[#This Row],[PRN Med Started]]&lt;=NOW(),Tbl_ResidentData[[#This Row],[PRN Med Started]]&lt;=AU$4,OR(Tbl_ResidentData[[#This Row],[PRN Med Discontinued]]&gt;AU$4,ISBLANK(Tbl_ResidentData[[#This Row],[PRN Med Discontinued]])))</f>
        <v>0</v>
      </c>
      <c r="BT108" s="121" t="b">
        <f ca="1">AND(Tbl_ResidentData[[#This Row],[PRN Med Started]]&lt;&gt;"",Tbl_ResidentData[[#This Row],[PRN Med Started]]&lt;=NOW(),Tbl_ResidentData[[#This Row],[PRN Med Started]]&lt;=AV$4,OR(Tbl_ResidentData[[#This Row],[PRN Med Discontinued]]&gt;AV$4,ISBLANK(Tbl_ResidentData[[#This Row],[PRN Med Discontinued]])))</f>
        <v>0</v>
      </c>
      <c r="BU108" s="121" t="b">
        <f ca="1">AND(Tbl_ResidentData[[#This Row],[PRN Med Started]]&lt;&gt;"",Tbl_ResidentData[[#This Row],[PRN Med Started]]&lt;=NOW(),Tbl_ResidentData[[#This Row],[PRN Med Started]]&lt;=AW$4,OR(Tbl_ResidentData[[#This Row],[PRN Med Discontinued]]&gt;AW$4,ISBLANK(Tbl_ResidentData[[#This Row],[PRN Med Discontinued]])))</f>
        <v>0</v>
      </c>
      <c r="BV108" s="121" t="b">
        <f ca="1">AND(Tbl_ResidentData[[#This Row],[PRN Med Started]]&lt;&gt;"",Tbl_ResidentData[[#This Row],[PRN Med Started]]&lt;=NOW(),Tbl_ResidentData[[#This Row],[PRN Med Started]]&lt;=AX$4,OR(Tbl_ResidentData[[#This Row],[PRN Med Discontinued]]&gt;AX$4,ISBLANK(Tbl_ResidentData[[#This Row],[PRN Med Discontinued]])))</f>
        <v>0</v>
      </c>
      <c r="BW108" s="121" t="b">
        <f ca="1">AND(Tbl_ResidentData[[#This Row],[PRN Med Started]]&lt;&gt;"",Tbl_ResidentData[[#This Row],[PRN Med Started]]&lt;=NOW(),Tbl_ResidentData[[#This Row],[PRN Med Started]]&lt;=AY$4,OR(Tbl_ResidentData[[#This Row],[PRN Med Discontinued]]&gt;AY$4,ISBLANK(Tbl_ResidentData[[#This Row],[PRN Med Discontinued]])))</f>
        <v>0</v>
      </c>
      <c r="BX108" s="121" t="b">
        <f ca="1">AND(Tbl_ResidentData[[#This Row],[PRN Med Started]]&lt;&gt;"",Tbl_ResidentData[[#This Row],[PRN Med Started]]&lt;=NOW(),Tbl_ResidentData[[#This Row],[PRN Med Started]]&lt;=AZ$4,OR(Tbl_ResidentData[[#This Row],[PRN Med Discontinued]]&gt;AZ$4,ISBLANK(Tbl_ResidentData[[#This Row],[PRN Med Discontinued]])))</f>
        <v>0</v>
      </c>
      <c r="BY108" s="121" t="b">
        <f ca="1">AND(Tbl_ResidentData[[#This Row],[PRN Med Started]]&lt;&gt;"",Tbl_ResidentData[[#This Row],[PRN Med Started]]&lt;=NOW(),Tbl_ResidentData[[#This Row],[PRN Med Started]]&lt;=BA$4,OR(Tbl_ResidentData[[#This Row],[PRN Med Discontinued]]&gt;BA$4,ISBLANK(Tbl_ResidentData[[#This Row],[PRN Med Discontinued]])))</f>
        <v>0</v>
      </c>
      <c r="BZ108" s="121" t="b">
        <f ca="1">AND(Tbl_ResidentData[[#This Row],[PRN Med Started]]&lt;&gt;"",Tbl_ResidentData[[#This Row],[PRN Med Started]]&lt;=NOW(),Tbl_ResidentData[[#This Row],[PRN Med Started]]&lt;=BB$4,OR(Tbl_ResidentData[[#This Row],[PRN Med Discontinued]]&gt;BB$4,ISBLANK(Tbl_ResidentData[[#This Row],[PRN Med Discontinued]])))</f>
        <v>0</v>
      </c>
      <c r="CA108" s="121" t="b">
        <f ca="1">AND(Tbl_ResidentData[[#This Row],[PRN Med Started]]&lt;&gt;"",Tbl_ResidentData[[#This Row],[PRN Med Started]]&lt;=NOW(),Tbl_ResidentData[[#This Row],[PRN Med Started]]&lt;=BC$4,OR(Tbl_ResidentData[[#This Row],[PRN Med Discontinued]]&gt;BC$4,ISBLANK(Tbl_ResidentData[[#This Row],[PRN Med Discontinued]])))</f>
        <v>0</v>
      </c>
      <c r="CB108" s="121" t="b">
        <f ca="1">AND(Tbl_ResidentData[[#This Row],[PRN Med Started]]&lt;&gt;"",Tbl_ResidentData[[#This Row],[PRN Med Started]]&lt;=NOW(),Tbl_ResidentData[[#This Row],[PRN Med Started]]&lt;=BD$4,OR(Tbl_ResidentData[[#This Row],[PRN Med Discontinued]]&gt;BD$4,ISBLANK(Tbl_ResidentData[[#This Row],[PRN Med Discontinued]])))</f>
        <v>0</v>
      </c>
      <c r="CC108" s="121" t="b">
        <f ca="1">AND(Tbl_ResidentData[[#This Row],[PRN Med Started]]&lt;&gt;"",Tbl_ResidentData[[#This Row],[PRN Med Started]]&lt;=NOW(),Tbl_ResidentData[[#This Row],[PRN Med Started]]&lt;=BE$4,OR(Tbl_ResidentData[[#This Row],[PRN Med Discontinued]]&gt;BE$4,ISBLANK(Tbl_ResidentData[[#This Row],[PRN Med Discontinued]])))</f>
        <v>0</v>
      </c>
      <c r="CD108" s="121" t="b">
        <f ca="1">AND(Tbl_ResidentData[[#This Row],[PRN Med Started]]&lt;&gt;"",Tbl_ResidentData[[#This Row],[PRN Med Started]]&lt;=NOW(),Tbl_ResidentData[[#This Row],[PRN Med Started]]&lt;=BF$4,OR(Tbl_ResidentData[[#This Row],[PRN Med Discontinued]]&gt;BF$4,ISBLANK(Tbl_ResidentData[[#This Row],[PRN Med Discontinued]])))</f>
        <v>0</v>
      </c>
      <c r="CE108" s="121" t="b">
        <f ca="1">AND(Tbl_ResidentData[[#This Row],[PRN Med Started]]&lt;&gt;"",Tbl_ResidentData[[#This Row],[PRN Med Started]]&lt;=NOW(),Tbl_ResidentData[[#This Row],[PRN Med Started]]&lt;=BG$4,OR(Tbl_ResidentData[[#This Row],[PRN Med Discontinued]]&gt;BG$4,ISBLANK(Tbl_ResidentData[[#This Row],[PRN Med Discontinued]])))</f>
        <v>0</v>
      </c>
      <c r="CF108" s="121" t="b">
        <f ca="1">AND(Tbl_ResidentData[[#This Row],[PRN Med Started]]&lt;&gt;"",Tbl_ResidentData[[#This Row],[PRN Med Started]]&lt;=NOW(),Tbl_ResidentData[[#This Row],[PRN Med Started]]&lt;=BH$4,OR(Tbl_ResidentData[[#This Row],[PRN Med Discontinued]]&gt;BH$4,ISBLANK(Tbl_ResidentData[[#This Row],[PRN Med Discontinued]])))</f>
        <v>0</v>
      </c>
      <c r="CG108" s="121" t="b">
        <f ca="1">AND(Tbl_ResidentData[[#This Row],[PRN Med Started]]&lt;&gt;"",Tbl_ResidentData[[#This Row],[PRN Med Started]]&lt;=NOW(),Tbl_ResidentData[[#This Row],[PRN Med Started]]&lt;=BI$4,OR(Tbl_ResidentData[[#This Row],[PRN Med Discontinued]]&gt;BI$4,ISBLANK(Tbl_ResidentData[[#This Row],[PRN Med Discontinued]])))</f>
        <v>0</v>
      </c>
      <c r="CH108" s="121" t="b">
        <f ca="1">AND(Tbl_ResidentData[[#This Row],[PRN Med Started]]&lt;&gt;"",Tbl_ResidentData[[#This Row],[PRN Med Started]]&lt;=NOW(),Tbl_ResidentData[[#This Row],[PRN Med Started]]&lt;=BJ$4,OR(Tbl_ResidentData[[#This Row],[PRN Med Discontinued]]&gt;BJ$4,ISBLANK(Tbl_ResidentData[[#This Row],[PRN Med Discontinued]])))</f>
        <v>0</v>
      </c>
      <c r="CI108" s="121" t="b">
        <f ca="1">AND(Tbl_ResidentData[[#This Row],[PRN Med Started]]&lt;&gt;"",Tbl_ResidentData[[#This Row],[PRN Med Started]]&lt;=NOW(),Tbl_ResidentData[[#This Row],[PRN Med Started]]&lt;=BK$4,OR(Tbl_ResidentData[[#This Row],[PRN Med Discontinued]]&gt;BK$4,ISBLANK(Tbl_ResidentData[[#This Row],[PRN Med Discontinued]])))</f>
        <v>0</v>
      </c>
      <c r="CJ108" s="121" t="b">
        <f ca="1">AND(Tbl_ResidentData[[#This Row],[PRN Med Started]]&lt;&gt;"",Tbl_ResidentData[[#This Row],[PRN Med Started]]&lt;=NOW(),Tbl_ResidentData[[#This Row],[PRN Med Started]]&lt;=BL$4,OR(Tbl_ResidentData[[#This Row],[PRN Med Discontinued]]&gt;BL$4,ISBLANK(Tbl_ResidentData[[#This Row],[PRN Med Discontinued]])))</f>
        <v>0</v>
      </c>
      <c r="CK108" s="121" t="b">
        <f ca="1">AND(Tbl_ResidentData[[#This Row],[PRN Med Started]]&lt;&gt;"",Tbl_ResidentData[[#This Row],[PRN Med Started]]&lt;=NOW(),Tbl_ResidentData[[#This Row],[PRN Med Started]]&lt;=BM$4,OR(Tbl_ResidentData[[#This Row],[PRN Med Discontinued]]&gt;BM$4,ISBLANK(Tbl_ResidentData[[#This Row],[PRN Med Discontinued]])))</f>
        <v>0</v>
      </c>
      <c r="CL108" s="121" t="b">
        <f ca="1">AND(Tbl_ResidentData[[#This Row],[PRN Med Started]]&lt;&gt;"",Tbl_ResidentData[[#This Row],[PRN Med Started]]&lt;=NOW(),Tbl_ResidentData[[#This Row],[PRN Med Started]]&lt;=BN$4,OR(Tbl_ResidentData[[#This Row],[PRN Med Discontinued]]&gt;BN$4,ISBLANK(Tbl_ResidentData[[#This Row],[PRN Med Discontinued]])))</f>
        <v>0</v>
      </c>
      <c r="CM108" s="121" t="b">
        <f ca="1">AND(Tbl_ResidentData[[#This Row],[PRN Med Started]]&lt;&gt;"",Tbl_ResidentData[[#This Row],[PRN Med Started]]&lt;=NOW(),Tbl_ResidentData[[#This Row],[PRN Med Started]]&lt;=BO$4,OR(Tbl_ResidentData[[#This Row],[PRN Med Discontinued]]&gt;BO$4,ISBLANK(Tbl_ResidentData[[#This Row],[PRN Med Discontinued]])))</f>
        <v>0</v>
      </c>
      <c r="CN108" s="122" t="b">
        <f ca="1">AND(Tbl_ResidentData[[#This Row],[PRN Med Started]]&lt;&gt;"",Tbl_ResidentData[[#This Row],[PRN Med Started]]&lt;=NOW(),Tbl_ResidentData[[#This Row],[PRN Med Started]]&lt;=BP$4,OR(Tbl_ResidentData[[#This Row],[PRN Med Discontinued]]&gt;BP$4,ISBLANK(Tbl_ResidentData[[#This Row],[PRN Med Discontinued]])))</f>
        <v>0</v>
      </c>
      <c r="CO108" s="120">
        <f ca="1">IF(OR(Tbl_ResidentData[[#This Row],[S1]]=TRUE,Tbl_ResidentData[[#This Row],[P1]]=TRUE),1,0)</f>
        <v>0</v>
      </c>
      <c r="CP108" s="121">
        <f ca="1">IF(OR(Tbl_ResidentData[[#This Row],[S2]]=TRUE,Tbl_ResidentData[[#This Row],[P2]]=TRUE),1,0)</f>
        <v>0</v>
      </c>
      <c r="CQ108" s="121">
        <f ca="1">IF(OR(Tbl_ResidentData[[#This Row],[S3]]=TRUE,Tbl_ResidentData[[#This Row],[P3]]=TRUE),1,0)</f>
        <v>0</v>
      </c>
      <c r="CR108" s="120">
        <f ca="1">IF(OR(Tbl_ResidentData[[#This Row],[S4]]=TRUE,Tbl_ResidentData[[#This Row],[P4]]=TRUE),1,0)</f>
        <v>0</v>
      </c>
      <c r="CS108" s="120">
        <f ca="1">IF(OR(Tbl_ResidentData[[#This Row],[S5]]=TRUE,Tbl_ResidentData[[#This Row],[P5]]=TRUE),1,0)</f>
        <v>0</v>
      </c>
      <c r="CT108" s="120">
        <f ca="1">IF(OR(Tbl_ResidentData[[#This Row],[S6]]=TRUE,Tbl_ResidentData[[#This Row],[P6]]=TRUE),1,0)</f>
        <v>0</v>
      </c>
      <c r="CU108" s="120">
        <f ca="1">IF(OR(Tbl_ResidentData[[#This Row],[S7]]=TRUE,Tbl_ResidentData[[#This Row],[P7]]=TRUE),1,0)</f>
        <v>0</v>
      </c>
      <c r="CV108" s="120">
        <f ca="1">IF(OR(Tbl_ResidentData[[#This Row],[S8]]=TRUE,Tbl_ResidentData[[#This Row],[P8]]=TRUE),1,0)</f>
        <v>0</v>
      </c>
      <c r="CW108" s="120">
        <f ca="1">IF(OR(Tbl_ResidentData[[#This Row],[S9]]=TRUE,Tbl_ResidentData[[#This Row],[P9]]=TRUE),1,0)</f>
        <v>0</v>
      </c>
      <c r="CX108" s="120">
        <f ca="1">IF(OR(Tbl_ResidentData[[#This Row],[S10]]=TRUE,Tbl_ResidentData[[#This Row],[P10]]=TRUE),1,0)</f>
        <v>0</v>
      </c>
      <c r="CY108" s="120">
        <f ca="1">IF(OR(Tbl_ResidentData[[#This Row],[S11]]=TRUE,Tbl_ResidentData[[#This Row],[P11]]=TRUE),1,0)</f>
        <v>0</v>
      </c>
      <c r="CZ108" s="120">
        <f ca="1">IF(OR(Tbl_ResidentData[[#This Row],[S12]]=TRUE,Tbl_ResidentData[[#This Row],[P12]]=TRUE),1,0)</f>
        <v>0</v>
      </c>
      <c r="DA108" s="120">
        <f ca="1">IF(OR(Tbl_ResidentData[[#This Row],[S13]]=TRUE,Tbl_ResidentData[[#This Row],[P13]]=TRUE),1,0)</f>
        <v>0</v>
      </c>
      <c r="DB108" s="120">
        <f ca="1">IF(OR(Tbl_ResidentData[[#This Row],[S14]]=TRUE,Tbl_ResidentData[[#This Row],[P14]]=TRUE),1,0)</f>
        <v>0</v>
      </c>
      <c r="DC108" s="120">
        <f ca="1">IF(OR(Tbl_ResidentData[[#This Row],[S15]]=TRUE,Tbl_ResidentData[[#This Row],[P15]]=TRUE),1,0)</f>
        <v>0</v>
      </c>
      <c r="DD108" s="120">
        <f ca="1">IF(OR(Tbl_ResidentData[[#This Row],[S16]]=TRUE,Tbl_ResidentData[[#This Row],[P16]]=TRUE),1,0)</f>
        <v>0</v>
      </c>
      <c r="DE108" s="120">
        <f ca="1">IF(OR(Tbl_ResidentData[[#This Row],[S17]]=TRUE,Tbl_ResidentData[[#This Row],[P17]]=TRUE),1,0)</f>
        <v>0</v>
      </c>
      <c r="DF108" s="120">
        <f ca="1">IF(OR(Tbl_ResidentData[[#This Row],[S18]]=TRUE,Tbl_ResidentData[[#This Row],[P18]]=TRUE),1,0)</f>
        <v>0</v>
      </c>
      <c r="DG108" s="120">
        <f ca="1">IF(OR(Tbl_ResidentData[[#This Row],[S19]]=TRUE,Tbl_ResidentData[[#This Row],[P19]]=TRUE),1,0)</f>
        <v>0</v>
      </c>
      <c r="DH108" s="120">
        <f ca="1">IF(OR(Tbl_ResidentData[[#This Row],[S20]]=TRUE,Tbl_ResidentData[[#This Row],[P20]]=TRUE),1,0)</f>
        <v>0</v>
      </c>
      <c r="DI108" s="120">
        <f ca="1">IF(OR(Tbl_ResidentData[[#This Row],[S21]]=TRUE,Tbl_ResidentData[[#This Row],[P21]]=TRUE),1,0)</f>
        <v>0</v>
      </c>
      <c r="DJ108" s="120">
        <f ca="1">IF(OR(Tbl_ResidentData[[#This Row],[S22]]=TRUE,Tbl_ResidentData[[#This Row],[P22]]=TRUE),1,0)</f>
        <v>0</v>
      </c>
      <c r="DK108" s="120">
        <f ca="1">IF(OR(Tbl_ResidentData[[#This Row],[S23]]=TRUE,Tbl_ResidentData[[#This Row],[P23]]=TRUE),1,0)</f>
        <v>0</v>
      </c>
      <c r="DL108" s="120">
        <f ca="1">IF(OR(Tbl_ResidentData[[#This Row],[S24]]=TRUE,Tbl_ResidentData[[#This Row],[P24]]=TRUE),1,0)</f>
        <v>0</v>
      </c>
      <c r="DM108" s="123" t="str">
        <f ca="1">IFERROR(INDEX($CO$4:$DL$4,MATCH(TRUE,INDEX((Tbl_ResidentData[[#This Row],[Over1]:[Over24]]&lt;&gt;0),0),0)),"")</f>
        <v/>
      </c>
      <c r="DN108" s="133" t="str">
        <f>IFERROR(INDEX(Tbl_PDSAData[Last DRT],MATCH(Tbl_ResidentData[Resident Name '[last, first']],Tbl_PDSAData[Resident Name (last, first)],0)),"")</f>
        <v/>
      </c>
      <c r="DO108" s="222" t="str">
        <f>IFERROR(INDEX(Tbl_PDSAData[Last MR],MATCH(Tbl_ResidentData[Resident Name '[last, first']],Tbl_PDSAData[Resident Name (last, first)],0)),"")</f>
        <v/>
      </c>
    </row>
    <row r="109" spans="1:119" x14ac:dyDescent="0.25">
      <c r="A109" s="179"/>
      <c r="B109" s="180"/>
      <c r="C109" s="180"/>
      <c r="D109" s="218"/>
      <c r="E109" s="179"/>
      <c r="F109" s="181"/>
      <c r="G109" s="181"/>
      <c r="H109" s="375"/>
      <c r="I109" s="185"/>
      <c r="J109" s="387"/>
      <c r="K109" s="178"/>
      <c r="L109" s="388"/>
      <c r="M109" s="185"/>
      <c r="N109" s="386"/>
      <c r="O109" s="178"/>
      <c r="P109" s="388"/>
      <c r="Q109" s="395"/>
      <c r="R109" s="396"/>
      <c r="S109" s="131" t="str">
        <f>IF(ISBLANK(Tbl_ResidentData[[#This Row],[Discharge '[mmm-yyyy']]]),IF(ISBLANK(Tbl_ResidentData[[#This Row],[Enrollment '[mmm-yyyy']]]),"","In Care Home"),"Discharged")</f>
        <v/>
      </c>
      <c r="T109" s="119" t="str">
        <f>IF(ISBLANK(Tbl_ResidentData[[#This Row],[Diagnosis (RAI)]]),IF(ISBLANK(Tbl_ResidentData[[#This Row],[Resident Name '[last, first']]]),"",0),IF(Tbl_ResidentData[[#This Row],[Diagnosis (RAI)]]="Other (see clinical notes)",0,1))</f>
        <v/>
      </c>
      <c r="U109" s="120" t="str">
        <f ca="1">IF(U$4&gt;NOW(),"-",IF(ISBLANK(Tbl_ResidentData[[#This Row],[Enrollment '[mmm-yyyy']]]),"-",AND((Tbl_ResidentData[[#This Row],[Enrollment '[mmm-yyyy']]]&lt;=U$4),IF(ISBLANK(Tbl_ResidentData[[#This Row],[Discharge '[mmm-yyyy']]]),TRUE,(Tbl_ResidentData[[#This Row],[Discharge '[mmm-yyyy']]]&gt;=U$4)))))</f>
        <v>-</v>
      </c>
      <c r="V109" s="121" t="str">
        <f ca="1">IF(V$4&gt;NOW(),"-",IF(ISBLANK(Tbl_ResidentData[[#This Row],[Enrollment '[mmm-yyyy']]]),"-",AND((Tbl_ResidentData[[#This Row],[Enrollment '[mmm-yyyy']]]&lt;=V$4),IF(ISBLANK(Tbl_ResidentData[[#This Row],[Discharge '[mmm-yyyy']]]),TRUE,(Tbl_ResidentData[[#This Row],[Discharge '[mmm-yyyy']]]&gt;=V$4)))))</f>
        <v>-</v>
      </c>
      <c r="W109" s="121" t="str">
        <f ca="1">IF(W$4&gt;NOW(),"-",IF(ISBLANK(Tbl_ResidentData[[#This Row],[Enrollment '[mmm-yyyy']]]),"-",AND((Tbl_ResidentData[[#This Row],[Enrollment '[mmm-yyyy']]]&lt;=W$4),IF(ISBLANK(Tbl_ResidentData[[#This Row],[Discharge '[mmm-yyyy']]]),TRUE,(Tbl_ResidentData[[#This Row],[Discharge '[mmm-yyyy']]]&gt;=W$4)))))</f>
        <v>-</v>
      </c>
      <c r="X109" s="121" t="str">
        <f ca="1">IF(X$4&gt;NOW(),"-",IF(ISBLANK(Tbl_ResidentData[[#This Row],[Enrollment '[mmm-yyyy']]]),"-",AND((Tbl_ResidentData[[#This Row],[Enrollment '[mmm-yyyy']]]&lt;=X$4),IF(ISBLANK(Tbl_ResidentData[[#This Row],[Discharge '[mmm-yyyy']]]),TRUE,(Tbl_ResidentData[[#This Row],[Discharge '[mmm-yyyy']]]&gt;=X$4)))))</f>
        <v>-</v>
      </c>
      <c r="Y109" s="121" t="str">
        <f ca="1">IF(Y$4&gt;NOW(),"-",IF(ISBLANK(Tbl_ResidentData[[#This Row],[Enrollment '[mmm-yyyy']]]),"-",AND((Tbl_ResidentData[[#This Row],[Enrollment '[mmm-yyyy']]]&lt;=Y$4),IF(ISBLANK(Tbl_ResidentData[[#This Row],[Discharge '[mmm-yyyy']]]),TRUE,(Tbl_ResidentData[[#This Row],[Discharge '[mmm-yyyy']]]&gt;=Y$4)))))</f>
        <v>-</v>
      </c>
      <c r="Z109" s="121" t="str">
        <f ca="1">IF(Z$4&gt;NOW(),"-",IF(ISBLANK(Tbl_ResidentData[[#This Row],[Enrollment '[mmm-yyyy']]]),"-",AND((Tbl_ResidentData[[#This Row],[Enrollment '[mmm-yyyy']]]&lt;=Z$4),IF(ISBLANK(Tbl_ResidentData[[#This Row],[Discharge '[mmm-yyyy']]]),TRUE,(Tbl_ResidentData[[#This Row],[Discharge '[mmm-yyyy']]]&gt;=Z$4)))))</f>
        <v>-</v>
      </c>
      <c r="AA109" s="121" t="str">
        <f ca="1">IF(AA$4&gt;NOW(),"-",IF(ISBLANK(Tbl_ResidentData[[#This Row],[Enrollment '[mmm-yyyy']]]),"-",AND((Tbl_ResidentData[[#This Row],[Enrollment '[mmm-yyyy']]]&lt;=AA$4),IF(ISBLANK(Tbl_ResidentData[[#This Row],[Discharge '[mmm-yyyy']]]),TRUE,(Tbl_ResidentData[[#This Row],[Discharge '[mmm-yyyy']]]&gt;=AA$4)))))</f>
        <v>-</v>
      </c>
      <c r="AB109" s="121" t="str">
        <f ca="1">IF(AB$4&gt;NOW(),"-",IF(ISBLANK(Tbl_ResidentData[[#This Row],[Enrollment '[mmm-yyyy']]]),"-",AND((Tbl_ResidentData[[#This Row],[Enrollment '[mmm-yyyy']]]&lt;=AB$4),IF(ISBLANK(Tbl_ResidentData[[#This Row],[Discharge '[mmm-yyyy']]]),TRUE,(Tbl_ResidentData[[#This Row],[Discharge '[mmm-yyyy']]]&gt;=AB$4)))))</f>
        <v>-</v>
      </c>
      <c r="AC109" s="121" t="str">
        <f ca="1">IF(AC$4&gt;NOW(),"-",IF(ISBLANK(Tbl_ResidentData[[#This Row],[Enrollment '[mmm-yyyy']]]),"-",AND((Tbl_ResidentData[[#This Row],[Enrollment '[mmm-yyyy']]]&lt;=AC$4),IF(ISBLANK(Tbl_ResidentData[[#This Row],[Discharge '[mmm-yyyy']]]),TRUE,(Tbl_ResidentData[[#This Row],[Discharge '[mmm-yyyy']]]&gt;=AC$4)))))</f>
        <v>-</v>
      </c>
      <c r="AD109" s="121" t="str">
        <f ca="1">IF(AD$4&gt;NOW(),"-",IF(ISBLANK(Tbl_ResidentData[[#This Row],[Enrollment '[mmm-yyyy']]]),"-",AND((Tbl_ResidentData[[#This Row],[Enrollment '[mmm-yyyy']]]&lt;=AD$4),IF(ISBLANK(Tbl_ResidentData[[#This Row],[Discharge '[mmm-yyyy']]]),TRUE,(Tbl_ResidentData[[#This Row],[Discharge '[mmm-yyyy']]]&gt;=AD$4)))))</f>
        <v>-</v>
      </c>
      <c r="AE109" s="121" t="str">
        <f ca="1">IF(AE$4&gt;NOW(),"-",IF(ISBLANK(Tbl_ResidentData[[#This Row],[Enrollment '[mmm-yyyy']]]),"-",AND((Tbl_ResidentData[[#This Row],[Enrollment '[mmm-yyyy']]]&lt;=AE$4),IF(ISBLANK(Tbl_ResidentData[[#This Row],[Discharge '[mmm-yyyy']]]),TRUE,(Tbl_ResidentData[[#This Row],[Discharge '[mmm-yyyy']]]&gt;=AE$4)))))</f>
        <v>-</v>
      </c>
      <c r="AF109" s="121" t="str">
        <f ca="1">IF(AF$4&gt;NOW(),"-",IF(ISBLANK(Tbl_ResidentData[[#This Row],[Enrollment '[mmm-yyyy']]]),"-",AND((Tbl_ResidentData[[#This Row],[Enrollment '[mmm-yyyy']]]&lt;=AF$4),IF(ISBLANK(Tbl_ResidentData[[#This Row],[Discharge '[mmm-yyyy']]]),TRUE,(Tbl_ResidentData[[#This Row],[Discharge '[mmm-yyyy']]]&gt;=AF$4)))))</f>
        <v>-</v>
      </c>
      <c r="AG109" s="121" t="str">
        <f ca="1">IF(AG$4&gt;NOW(),"-",IF(ISBLANK(Tbl_ResidentData[[#This Row],[Enrollment '[mmm-yyyy']]]),"-",AND((Tbl_ResidentData[[#This Row],[Enrollment '[mmm-yyyy']]]&lt;=AG$4),IF(ISBLANK(Tbl_ResidentData[[#This Row],[Discharge '[mmm-yyyy']]]),TRUE,(Tbl_ResidentData[[#This Row],[Discharge '[mmm-yyyy']]]&gt;=AG$4)))))</f>
        <v>-</v>
      </c>
      <c r="AH109" s="121" t="str">
        <f ca="1">IF(AH$4&gt;NOW(),"-",IF(ISBLANK(Tbl_ResidentData[[#This Row],[Enrollment '[mmm-yyyy']]]),"-",AND((Tbl_ResidentData[[#This Row],[Enrollment '[mmm-yyyy']]]&lt;=AH$4),IF(ISBLANK(Tbl_ResidentData[[#This Row],[Discharge '[mmm-yyyy']]]),TRUE,(Tbl_ResidentData[[#This Row],[Discharge '[mmm-yyyy']]]&gt;=AH$4)))))</f>
        <v>-</v>
      </c>
      <c r="AI109" s="121" t="str">
        <f ca="1">IF(AI$4&gt;NOW(),"-",IF(ISBLANK(Tbl_ResidentData[[#This Row],[Enrollment '[mmm-yyyy']]]),"-",AND((Tbl_ResidentData[[#This Row],[Enrollment '[mmm-yyyy']]]&lt;=AI$4),IF(ISBLANK(Tbl_ResidentData[[#This Row],[Discharge '[mmm-yyyy']]]),TRUE,(Tbl_ResidentData[[#This Row],[Discharge '[mmm-yyyy']]]&gt;=AI$4)))))</f>
        <v>-</v>
      </c>
      <c r="AJ109" s="121" t="str">
        <f ca="1">IF(AJ$4&gt;NOW(),"-",IF(ISBLANK(Tbl_ResidentData[[#This Row],[Enrollment '[mmm-yyyy']]]),"-",AND((Tbl_ResidentData[[#This Row],[Enrollment '[mmm-yyyy']]]&lt;=AJ$4),IF(ISBLANK(Tbl_ResidentData[[#This Row],[Discharge '[mmm-yyyy']]]),TRUE,(Tbl_ResidentData[[#This Row],[Discharge '[mmm-yyyy']]]&gt;=AJ$4)))))</f>
        <v>-</v>
      </c>
      <c r="AK109" s="121" t="str">
        <f ca="1">IF(AK$4&gt;NOW(),"-",IF(ISBLANK(Tbl_ResidentData[[#This Row],[Enrollment '[mmm-yyyy']]]),"-",AND((Tbl_ResidentData[[#This Row],[Enrollment '[mmm-yyyy']]]&lt;=AK$4),IF(ISBLANK(Tbl_ResidentData[[#This Row],[Discharge '[mmm-yyyy']]]),TRUE,(Tbl_ResidentData[[#This Row],[Discharge '[mmm-yyyy']]]&gt;=AK$4)))))</f>
        <v>-</v>
      </c>
      <c r="AL109" s="121" t="str">
        <f ca="1">IF(AL$4&gt;NOW(),"-",IF(ISBLANK(Tbl_ResidentData[[#This Row],[Enrollment '[mmm-yyyy']]]),"-",AND((Tbl_ResidentData[[#This Row],[Enrollment '[mmm-yyyy']]]&lt;=AL$4),IF(ISBLANK(Tbl_ResidentData[[#This Row],[Discharge '[mmm-yyyy']]]),TRUE,(Tbl_ResidentData[[#This Row],[Discharge '[mmm-yyyy']]]&gt;=AL$4)))))</f>
        <v>-</v>
      </c>
      <c r="AM109" s="121" t="str">
        <f ca="1">IF(AM$4&gt;NOW(),"-",IF(ISBLANK(Tbl_ResidentData[[#This Row],[Enrollment '[mmm-yyyy']]]),"-",AND((Tbl_ResidentData[[#This Row],[Enrollment '[mmm-yyyy']]]&lt;=AM$4),IF(ISBLANK(Tbl_ResidentData[[#This Row],[Discharge '[mmm-yyyy']]]),TRUE,(Tbl_ResidentData[[#This Row],[Discharge '[mmm-yyyy']]]&gt;=AM$4)))))</f>
        <v>-</v>
      </c>
      <c r="AN109" s="121" t="str">
        <f ca="1">IF(AN$4&gt;NOW(),"-",IF(ISBLANK(Tbl_ResidentData[[#This Row],[Enrollment '[mmm-yyyy']]]),"-",AND((Tbl_ResidentData[[#This Row],[Enrollment '[mmm-yyyy']]]&lt;=AN$4),IF(ISBLANK(Tbl_ResidentData[[#This Row],[Discharge '[mmm-yyyy']]]),TRUE,(Tbl_ResidentData[[#This Row],[Discharge '[mmm-yyyy']]]&gt;=AN$4)))))</f>
        <v>-</v>
      </c>
      <c r="AO109" s="121" t="str">
        <f ca="1">IF(AO$4&gt;NOW(),"-",IF(ISBLANK(Tbl_ResidentData[[#This Row],[Enrollment '[mmm-yyyy']]]),"-",AND((Tbl_ResidentData[[#This Row],[Enrollment '[mmm-yyyy']]]&lt;=AO$4),IF(ISBLANK(Tbl_ResidentData[[#This Row],[Discharge '[mmm-yyyy']]]),TRUE,(Tbl_ResidentData[[#This Row],[Discharge '[mmm-yyyy']]]&gt;=AO$4)))))</f>
        <v>-</v>
      </c>
      <c r="AP109" s="121" t="str">
        <f ca="1">IF(AP$4&gt;NOW(),"-",IF(ISBLANK(Tbl_ResidentData[[#This Row],[Enrollment '[mmm-yyyy']]]),"-",AND((Tbl_ResidentData[[#This Row],[Enrollment '[mmm-yyyy']]]&lt;=AP$4),IF(ISBLANK(Tbl_ResidentData[[#This Row],[Discharge '[mmm-yyyy']]]),TRUE,(Tbl_ResidentData[[#This Row],[Discharge '[mmm-yyyy']]]&gt;=AP$4)))))</f>
        <v>-</v>
      </c>
      <c r="AQ109" s="121" t="str">
        <f ca="1">IF(AQ$4&gt;NOW(),"-",IF(ISBLANK(Tbl_ResidentData[[#This Row],[Enrollment '[mmm-yyyy']]]),"-",AND((Tbl_ResidentData[[#This Row],[Enrollment '[mmm-yyyy']]]&lt;=AQ$4),IF(ISBLANK(Tbl_ResidentData[[#This Row],[Discharge '[mmm-yyyy']]]),TRUE,(Tbl_ResidentData[[#This Row],[Discharge '[mmm-yyyy']]]&gt;=AQ$4)))))</f>
        <v>-</v>
      </c>
      <c r="AR109" s="122" t="str">
        <f ca="1">IF(AR$4&gt;NOW(),"-",IF(ISBLANK(Tbl_ResidentData[[#This Row],[Enrollment '[mmm-yyyy']]]),"-",AND((Tbl_ResidentData[[#This Row],[Enrollment '[mmm-yyyy']]]&lt;=AR$4),IF(ISBLANK(Tbl_ResidentData[[#This Row],[Discharge '[mmm-yyyy']]]),TRUE,(Tbl_ResidentData[[#This Row],[Discharge '[mmm-yyyy']]]&gt;=AR$4)))))</f>
        <v>-</v>
      </c>
      <c r="AS10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9" s="120" t="b">
        <f ca="1">AND(Tbl_ResidentData[[#This Row],[PRN Med Started]]&lt;&gt;"",Tbl_ResidentData[[#This Row],[PRN Med Started]]&lt;=NOW(),Tbl_ResidentData[[#This Row],[PRN Med Started]]&lt;=AS$4,OR(Tbl_ResidentData[[#This Row],[PRN Med Discontinued]]&gt;AS$4,ISBLANK(Tbl_ResidentData[[#This Row],[PRN Med Discontinued]])))</f>
        <v>0</v>
      </c>
      <c r="BR109" s="121" t="b">
        <f ca="1">AND(Tbl_ResidentData[[#This Row],[PRN Med Started]]&lt;&gt;"",Tbl_ResidentData[[#This Row],[PRN Med Started]]&lt;=NOW(),Tbl_ResidentData[[#This Row],[PRN Med Started]]&lt;=AT$4,OR(Tbl_ResidentData[[#This Row],[PRN Med Discontinued]]&gt;AT$4,ISBLANK(Tbl_ResidentData[[#This Row],[PRN Med Discontinued]])))</f>
        <v>0</v>
      </c>
      <c r="BS109" s="121" t="b">
        <f ca="1">AND(Tbl_ResidentData[[#This Row],[PRN Med Started]]&lt;&gt;"",Tbl_ResidentData[[#This Row],[PRN Med Started]]&lt;=NOW(),Tbl_ResidentData[[#This Row],[PRN Med Started]]&lt;=AU$4,OR(Tbl_ResidentData[[#This Row],[PRN Med Discontinued]]&gt;AU$4,ISBLANK(Tbl_ResidentData[[#This Row],[PRN Med Discontinued]])))</f>
        <v>0</v>
      </c>
      <c r="BT109" s="121" t="b">
        <f ca="1">AND(Tbl_ResidentData[[#This Row],[PRN Med Started]]&lt;&gt;"",Tbl_ResidentData[[#This Row],[PRN Med Started]]&lt;=NOW(),Tbl_ResidentData[[#This Row],[PRN Med Started]]&lt;=AV$4,OR(Tbl_ResidentData[[#This Row],[PRN Med Discontinued]]&gt;AV$4,ISBLANK(Tbl_ResidentData[[#This Row],[PRN Med Discontinued]])))</f>
        <v>0</v>
      </c>
      <c r="BU109" s="121" t="b">
        <f ca="1">AND(Tbl_ResidentData[[#This Row],[PRN Med Started]]&lt;&gt;"",Tbl_ResidentData[[#This Row],[PRN Med Started]]&lt;=NOW(),Tbl_ResidentData[[#This Row],[PRN Med Started]]&lt;=AW$4,OR(Tbl_ResidentData[[#This Row],[PRN Med Discontinued]]&gt;AW$4,ISBLANK(Tbl_ResidentData[[#This Row],[PRN Med Discontinued]])))</f>
        <v>0</v>
      </c>
      <c r="BV109" s="121" t="b">
        <f ca="1">AND(Tbl_ResidentData[[#This Row],[PRN Med Started]]&lt;&gt;"",Tbl_ResidentData[[#This Row],[PRN Med Started]]&lt;=NOW(),Tbl_ResidentData[[#This Row],[PRN Med Started]]&lt;=AX$4,OR(Tbl_ResidentData[[#This Row],[PRN Med Discontinued]]&gt;AX$4,ISBLANK(Tbl_ResidentData[[#This Row],[PRN Med Discontinued]])))</f>
        <v>0</v>
      </c>
      <c r="BW109" s="121" t="b">
        <f ca="1">AND(Tbl_ResidentData[[#This Row],[PRN Med Started]]&lt;&gt;"",Tbl_ResidentData[[#This Row],[PRN Med Started]]&lt;=NOW(),Tbl_ResidentData[[#This Row],[PRN Med Started]]&lt;=AY$4,OR(Tbl_ResidentData[[#This Row],[PRN Med Discontinued]]&gt;AY$4,ISBLANK(Tbl_ResidentData[[#This Row],[PRN Med Discontinued]])))</f>
        <v>0</v>
      </c>
      <c r="BX109" s="121" t="b">
        <f ca="1">AND(Tbl_ResidentData[[#This Row],[PRN Med Started]]&lt;&gt;"",Tbl_ResidentData[[#This Row],[PRN Med Started]]&lt;=NOW(),Tbl_ResidentData[[#This Row],[PRN Med Started]]&lt;=AZ$4,OR(Tbl_ResidentData[[#This Row],[PRN Med Discontinued]]&gt;AZ$4,ISBLANK(Tbl_ResidentData[[#This Row],[PRN Med Discontinued]])))</f>
        <v>0</v>
      </c>
      <c r="BY109" s="121" t="b">
        <f ca="1">AND(Tbl_ResidentData[[#This Row],[PRN Med Started]]&lt;&gt;"",Tbl_ResidentData[[#This Row],[PRN Med Started]]&lt;=NOW(),Tbl_ResidentData[[#This Row],[PRN Med Started]]&lt;=BA$4,OR(Tbl_ResidentData[[#This Row],[PRN Med Discontinued]]&gt;BA$4,ISBLANK(Tbl_ResidentData[[#This Row],[PRN Med Discontinued]])))</f>
        <v>0</v>
      </c>
      <c r="BZ109" s="121" t="b">
        <f ca="1">AND(Tbl_ResidentData[[#This Row],[PRN Med Started]]&lt;&gt;"",Tbl_ResidentData[[#This Row],[PRN Med Started]]&lt;=NOW(),Tbl_ResidentData[[#This Row],[PRN Med Started]]&lt;=BB$4,OR(Tbl_ResidentData[[#This Row],[PRN Med Discontinued]]&gt;BB$4,ISBLANK(Tbl_ResidentData[[#This Row],[PRN Med Discontinued]])))</f>
        <v>0</v>
      </c>
      <c r="CA109" s="121" t="b">
        <f ca="1">AND(Tbl_ResidentData[[#This Row],[PRN Med Started]]&lt;&gt;"",Tbl_ResidentData[[#This Row],[PRN Med Started]]&lt;=NOW(),Tbl_ResidentData[[#This Row],[PRN Med Started]]&lt;=BC$4,OR(Tbl_ResidentData[[#This Row],[PRN Med Discontinued]]&gt;BC$4,ISBLANK(Tbl_ResidentData[[#This Row],[PRN Med Discontinued]])))</f>
        <v>0</v>
      </c>
      <c r="CB109" s="121" t="b">
        <f ca="1">AND(Tbl_ResidentData[[#This Row],[PRN Med Started]]&lt;&gt;"",Tbl_ResidentData[[#This Row],[PRN Med Started]]&lt;=NOW(),Tbl_ResidentData[[#This Row],[PRN Med Started]]&lt;=BD$4,OR(Tbl_ResidentData[[#This Row],[PRN Med Discontinued]]&gt;BD$4,ISBLANK(Tbl_ResidentData[[#This Row],[PRN Med Discontinued]])))</f>
        <v>0</v>
      </c>
      <c r="CC109" s="121" t="b">
        <f ca="1">AND(Tbl_ResidentData[[#This Row],[PRN Med Started]]&lt;&gt;"",Tbl_ResidentData[[#This Row],[PRN Med Started]]&lt;=NOW(),Tbl_ResidentData[[#This Row],[PRN Med Started]]&lt;=BE$4,OR(Tbl_ResidentData[[#This Row],[PRN Med Discontinued]]&gt;BE$4,ISBLANK(Tbl_ResidentData[[#This Row],[PRN Med Discontinued]])))</f>
        <v>0</v>
      </c>
      <c r="CD109" s="121" t="b">
        <f ca="1">AND(Tbl_ResidentData[[#This Row],[PRN Med Started]]&lt;&gt;"",Tbl_ResidentData[[#This Row],[PRN Med Started]]&lt;=NOW(),Tbl_ResidentData[[#This Row],[PRN Med Started]]&lt;=BF$4,OR(Tbl_ResidentData[[#This Row],[PRN Med Discontinued]]&gt;BF$4,ISBLANK(Tbl_ResidentData[[#This Row],[PRN Med Discontinued]])))</f>
        <v>0</v>
      </c>
      <c r="CE109" s="121" t="b">
        <f ca="1">AND(Tbl_ResidentData[[#This Row],[PRN Med Started]]&lt;&gt;"",Tbl_ResidentData[[#This Row],[PRN Med Started]]&lt;=NOW(),Tbl_ResidentData[[#This Row],[PRN Med Started]]&lt;=BG$4,OR(Tbl_ResidentData[[#This Row],[PRN Med Discontinued]]&gt;BG$4,ISBLANK(Tbl_ResidentData[[#This Row],[PRN Med Discontinued]])))</f>
        <v>0</v>
      </c>
      <c r="CF109" s="121" t="b">
        <f ca="1">AND(Tbl_ResidentData[[#This Row],[PRN Med Started]]&lt;&gt;"",Tbl_ResidentData[[#This Row],[PRN Med Started]]&lt;=NOW(),Tbl_ResidentData[[#This Row],[PRN Med Started]]&lt;=BH$4,OR(Tbl_ResidentData[[#This Row],[PRN Med Discontinued]]&gt;BH$4,ISBLANK(Tbl_ResidentData[[#This Row],[PRN Med Discontinued]])))</f>
        <v>0</v>
      </c>
      <c r="CG109" s="121" t="b">
        <f ca="1">AND(Tbl_ResidentData[[#This Row],[PRN Med Started]]&lt;&gt;"",Tbl_ResidentData[[#This Row],[PRN Med Started]]&lt;=NOW(),Tbl_ResidentData[[#This Row],[PRN Med Started]]&lt;=BI$4,OR(Tbl_ResidentData[[#This Row],[PRN Med Discontinued]]&gt;BI$4,ISBLANK(Tbl_ResidentData[[#This Row],[PRN Med Discontinued]])))</f>
        <v>0</v>
      </c>
      <c r="CH109" s="121" t="b">
        <f ca="1">AND(Tbl_ResidentData[[#This Row],[PRN Med Started]]&lt;&gt;"",Tbl_ResidentData[[#This Row],[PRN Med Started]]&lt;=NOW(),Tbl_ResidentData[[#This Row],[PRN Med Started]]&lt;=BJ$4,OR(Tbl_ResidentData[[#This Row],[PRN Med Discontinued]]&gt;BJ$4,ISBLANK(Tbl_ResidentData[[#This Row],[PRN Med Discontinued]])))</f>
        <v>0</v>
      </c>
      <c r="CI109" s="121" t="b">
        <f ca="1">AND(Tbl_ResidentData[[#This Row],[PRN Med Started]]&lt;&gt;"",Tbl_ResidentData[[#This Row],[PRN Med Started]]&lt;=NOW(),Tbl_ResidentData[[#This Row],[PRN Med Started]]&lt;=BK$4,OR(Tbl_ResidentData[[#This Row],[PRN Med Discontinued]]&gt;BK$4,ISBLANK(Tbl_ResidentData[[#This Row],[PRN Med Discontinued]])))</f>
        <v>0</v>
      </c>
      <c r="CJ109" s="121" t="b">
        <f ca="1">AND(Tbl_ResidentData[[#This Row],[PRN Med Started]]&lt;&gt;"",Tbl_ResidentData[[#This Row],[PRN Med Started]]&lt;=NOW(),Tbl_ResidentData[[#This Row],[PRN Med Started]]&lt;=BL$4,OR(Tbl_ResidentData[[#This Row],[PRN Med Discontinued]]&gt;BL$4,ISBLANK(Tbl_ResidentData[[#This Row],[PRN Med Discontinued]])))</f>
        <v>0</v>
      </c>
      <c r="CK109" s="121" t="b">
        <f ca="1">AND(Tbl_ResidentData[[#This Row],[PRN Med Started]]&lt;&gt;"",Tbl_ResidentData[[#This Row],[PRN Med Started]]&lt;=NOW(),Tbl_ResidentData[[#This Row],[PRN Med Started]]&lt;=BM$4,OR(Tbl_ResidentData[[#This Row],[PRN Med Discontinued]]&gt;BM$4,ISBLANK(Tbl_ResidentData[[#This Row],[PRN Med Discontinued]])))</f>
        <v>0</v>
      </c>
      <c r="CL109" s="121" t="b">
        <f ca="1">AND(Tbl_ResidentData[[#This Row],[PRN Med Started]]&lt;&gt;"",Tbl_ResidentData[[#This Row],[PRN Med Started]]&lt;=NOW(),Tbl_ResidentData[[#This Row],[PRN Med Started]]&lt;=BN$4,OR(Tbl_ResidentData[[#This Row],[PRN Med Discontinued]]&gt;BN$4,ISBLANK(Tbl_ResidentData[[#This Row],[PRN Med Discontinued]])))</f>
        <v>0</v>
      </c>
      <c r="CM109" s="121" t="b">
        <f ca="1">AND(Tbl_ResidentData[[#This Row],[PRN Med Started]]&lt;&gt;"",Tbl_ResidentData[[#This Row],[PRN Med Started]]&lt;=NOW(),Tbl_ResidentData[[#This Row],[PRN Med Started]]&lt;=BO$4,OR(Tbl_ResidentData[[#This Row],[PRN Med Discontinued]]&gt;BO$4,ISBLANK(Tbl_ResidentData[[#This Row],[PRN Med Discontinued]])))</f>
        <v>0</v>
      </c>
      <c r="CN109" s="122" t="b">
        <f ca="1">AND(Tbl_ResidentData[[#This Row],[PRN Med Started]]&lt;&gt;"",Tbl_ResidentData[[#This Row],[PRN Med Started]]&lt;=NOW(),Tbl_ResidentData[[#This Row],[PRN Med Started]]&lt;=BP$4,OR(Tbl_ResidentData[[#This Row],[PRN Med Discontinued]]&gt;BP$4,ISBLANK(Tbl_ResidentData[[#This Row],[PRN Med Discontinued]])))</f>
        <v>0</v>
      </c>
      <c r="CO109" s="120">
        <f ca="1">IF(OR(Tbl_ResidentData[[#This Row],[S1]]=TRUE,Tbl_ResidentData[[#This Row],[P1]]=TRUE),1,0)</f>
        <v>0</v>
      </c>
      <c r="CP109" s="121">
        <f ca="1">IF(OR(Tbl_ResidentData[[#This Row],[S2]]=TRUE,Tbl_ResidentData[[#This Row],[P2]]=TRUE),1,0)</f>
        <v>0</v>
      </c>
      <c r="CQ109" s="121">
        <f ca="1">IF(OR(Tbl_ResidentData[[#This Row],[S3]]=TRUE,Tbl_ResidentData[[#This Row],[P3]]=TRUE),1,0)</f>
        <v>0</v>
      </c>
      <c r="CR109" s="120">
        <f ca="1">IF(OR(Tbl_ResidentData[[#This Row],[S4]]=TRUE,Tbl_ResidentData[[#This Row],[P4]]=TRUE),1,0)</f>
        <v>0</v>
      </c>
      <c r="CS109" s="120">
        <f ca="1">IF(OR(Tbl_ResidentData[[#This Row],[S5]]=TRUE,Tbl_ResidentData[[#This Row],[P5]]=TRUE),1,0)</f>
        <v>0</v>
      </c>
      <c r="CT109" s="120">
        <f ca="1">IF(OR(Tbl_ResidentData[[#This Row],[S6]]=TRUE,Tbl_ResidentData[[#This Row],[P6]]=TRUE),1,0)</f>
        <v>0</v>
      </c>
      <c r="CU109" s="120">
        <f ca="1">IF(OR(Tbl_ResidentData[[#This Row],[S7]]=TRUE,Tbl_ResidentData[[#This Row],[P7]]=TRUE),1,0)</f>
        <v>0</v>
      </c>
      <c r="CV109" s="120">
        <f ca="1">IF(OR(Tbl_ResidentData[[#This Row],[S8]]=TRUE,Tbl_ResidentData[[#This Row],[P8]]=TRUE),1,0)</f>
        <v>0</v>
      </c>
      <c r="CW109" s="120">
        <f ca="1">IF(OR(Tbl_ResidentData[[#This Row],[S9]]=TRUE,Tbl_ResidentData[[#This Row],[P9]]=TRUE),1,0)</f>
        <v>0</v>
      </c>
      <c r="CX109" s="120">
        <f ca="1">IF(OR(Tbl_ResidentData[[#This Row],[S10]]=TRUE,Tbl_ResidentData[[#This Row],[P10]]=TRUE),1,0)</f>
        <v>0</v>
      </c>
      <c r="CY109" s="120">
        <f ca="1">IF(OR(Tbl_ResidentData[[#This Row],[S11]]=TRUE,Tbl_ResidentData[[#This Row],[P11]]=TRUE),1,0)</f>
        <v>0</v>
      </c>
      <c r="CZ109" s="120">
        <f ca="1">IF(OR(Tbl_ResidentData[[#This Row],[S12]]=TRUE,Tbl_ResidentData[[#This Row],[P12]]=TRUE),1,0)</f>
        <v>0</v>
      </c>
      <c r="DA109" s="120">
        <f ca="1">IF(OR(Tbl_ResidentData[[#This Row],[S13]]=TRUE,Tbl_ResidentData[[#This Row],[P13]]=TRUE),1,0)</f>
        <v>0</v>
      </c>
      <c r="DB109" s="120">
        <f ca="1">IF(OR(Tbl_ResidentData[[#This Row],[S14]]=TRUE,Tbl_ResidentData[[#This Row],[P14]]=TRUE),1,0)</f>
        <v>0</v>
      </c>
      <c r="DC109" s="120">
        <f ca="1">IF(OR(Tbl_ResidentData[[#This Row],[S15]]=TRUE,Tbl_ResidentData[[#This Row],[P15]]=TRUE),1,0)</f>
        <v>0</v>
      </c>
      <c r="DD109" s="120">
        <f ca="1">IF(OR(Tbl_ResidentData[[#This Row],[S16]]=TRUE,Tbl_ResidentData[[#This Row],[P16]]=TRUE),1,0)</f>
        <v>0</v>
      </c>
      <c r="DE109" s="120">
        <f ca="1">IF(OR(Tbl_ResidentData[[#This Row],[S17]]=TRUE,Tbl_ResidentData[[#This Row],[P17]]=TRUE),1,0)</f>
        <v>0</v>
      </c>
      <c r="DF109" s="120">
        <f ca="1">IF(OR(Tbl_ResidentData[[#This Row],[S18]]=TRUE,Tbl_ResidentData[[#This Row],[P18]]=TRUE),1,0)</f>
        <v>0</v>
      </c>
      <c r="DG109" s="120">
        <f ca="1">IF(OR(Tbl_ResidentData[[#This Row],[S19]]=TRUE,Tbl_ResidentData[[#This Row],[P19]]=TRUE),1,0)</f>
        <v>0</v>
      </c>
      <c r="DH109" s="120">
        <f ca="1">IF(OR(Tbl_ResidentData[[#This Row],[S20]]=TRUE,Tbl_ResidentData[[#This Row],[P20]]=TRUE),1,0)</f>
        <v>0</v>
      </c>
      <c r="DI109" s="120">
        <f ca="1">IF(OR(Tbl_ResidentData[[#This Row],[S21]]=TRUE,Tbl_ResidentData[[#This Row],[P21]]=TRUE),1,0)</f>
        <v>0</v>
      </c>
      <c r="DJ109" s="120">
        <f ca="1">IF(OR(Tbl_ResidentData[[#This Row],[S22]]=TRUE,Tbl_ResidentData[[#This Row],[P22]]=TRUE),1,0)</f>
        <v>0</v>
      </c>
      <c r="DK109" s="120">
        <f ca="1">IF(OR(Tbl_ResidentData[[#This Row],[S23]]=TRUE,Tbl_ResidentData[[#This Row],[P23]]=TRUE),1,0)</f>
        <v>0</v>
      </c>
      <c r="DL109" s="120">
        <f ca="1">IF(OR(Tbl_ResidentData[[#This Row],[S24]]=TRUE,Tbl_ResidentData[[#This Row],[P24]]=TRUE),1,0)</f>
        <v>0</v>
      </c>
      <c r="DM109" s="123" t="str">
        <f ca="1">IFERROR(INDEX($CO$4:$DL$4,MATCH(TRUE,INDEX((Tbl_ResidentData[[#This Row],[Over1]:[Over24]]&lt;&gt;0),0),0)),"")</f>
        <v/>
      </c>
      <c r="DN109" s="133" t="str">
        <f>IFERROR(INDEX(Tbl_PDSAData[Last DRT],MATCH(Tbl_ResidentData[Resident Name '[last, first']],Tbl_PDSAData[Resident Name (last, first)],0)),"")</f>
        <v/>
      </c>
      <c r="DO109" s="222" t="str">
        <f>IFERROR(INDEX(Tbl_PDSAData[Last MR],MATCH(Tbl_ResidentData[Resident Name '[last, first']],Tbl_PDSAData[Resident Name (last, first)],0)),"")</f>
        <v/>
      </c>
    </row>
    <row r="110" spans="1:119" x14ac:dyDescent="0.25">
      <c r="A110" s="179"/>
      <c r="B110" s="180"/>
      <c r="C110" s="180"/>
      <c r="D110" s="218"/>
      <c r="E110" s="179"/>
      <c r="F110" s="181"/>
      <c r="G110" s="181"/>
      <c r="H110" s="375"/>
      <c r="I110" s="185"/>
      <c r="J110" s="387"/>
      <c r="K110" s="178"/>
      <c r="L110" s="388"/>
      <c r="M110" s="185"/>
      <c r="N110" s="386"/>
      <c r="O110" s="178"/>
      <c r="P110" s="388"/>
      <c r="Q110" s="394"/>
      <c r="R110" s="388"/>
      <c r="S110" s="131" t="str">
        <f>IF(ISBLANK(Tbl_ResidentData[[#This Row],[Discharge '[mmm-yyyy']]]),IF(ISBLANK(Tbl_ResidentData[[#This Row],[Enrollment '[mmm-yyyy']]]),"","In Care Home"),"Discharged")</f>
        <v/>
      </c>
      <c r="T110" s="119" t="str">
        <f>IF(ISBLANK(Tbl_ResidentData[[#This Row],[Diagnosis (RAI)]]),IF(ISBLANK(Tbl_ResidentData[[#This Row],[Resident Name '[last, first']]]),"",0),IF(Tbl_ResidentData[[#This Row],[Diagnosis (RAI)]]="Other (see clinical notes)",0,1))</f>
        <v/>
      </c>
      <c r="U110" s="120" t="str">
        <f ca="1">IF(U$4&gt;NOW(),"-",IF(ISBLANK(Tbl_ResidentData[[#This Row],[Enrollment '[mmm-yyyy']]]),"-",AND((Tbl_ResidentData[[#This Row],[Enrollment '[mmm-yyyy']]]&lt;=U$4),IF(ISBLANK(Tbl_ResidentData[[#This Row],[Discharge '[mmm-yyyy']]]),TRUE,(Tbl_ResidentData[[#This Row],[Discharge '[mmm-yyyy']]]&gt;=U$4)))))</f>
        <v>-</v>
      </c>
      <c r="V110" s="121" t="str">
        <f ca="1">IF(V$4&gt;NOW(),"-",IF(ISBLANK(Tbl_ResidentData[[#This Row],[Enrollment '[mmm-yyyy']]]),"-",AND((Tbl_ResidentData[[#This Row],[Enrollment '[mmm-yyyy']]]&lt;=V$4),IF(ISBLANK(Tbl_ResidentData[[#This Row],[Discharge '[mmm-yyyy']]]),TRUE,(Tbl_ResidentData[[#This Row],[Discharge '[mmm-yyyy']]]&gt;=V$4)))))</f>
        <v>-</v>
      </c>
      <c r="W110" s="121" t="str">
        <f ca="1">IF(W$4&gt;NOW(),"-",IF(ISBLANK(Tbl_ResidentData[[#This Row],[Enrollment '[mmm-yyyy']]]),"-",AND((Tbl_ResidentData[[#This Row],[Enrollment '[mmm-yyyy']]]&lt;=W$4),IF(ISBLANK(Tbl_ResidentData[[#This Row],[Discharge '[mmm-yyyy']]]),TRUE,(Tbl_ResidentData[[#This Row],[Discharge '[mmm-yyyy']]]&gt;=W$4)))))</f>
        <v>-</v>
      </c>
      <c r="X110" s="121" t="str">
        <f ca="1">IF(X$4&gt;NOW(),"-",IF(ISBLANK(Tbl_ResidentData[[#This Row],[Enrollment '[mmm-yyyy']]]),"-",AND((Tbl_ResidentData[[#This Row],[Enrollment '[mmm-yyyy']]]&lt;=X$4),IF(ISBLANK(Tbl_ResidentData[[#This Row],[Discharge '[mmm-yyyy']]]),TRUE,(Tbl_ResidentData[[#This Row],[Discharge '[mmm-yyyy']]]&gt;=X$4)))))</f>
        <v>-</v>
      </c>
      <c r="Y110" s="121" t="str">
        <f ca="1">IF(Y$4&gt;NOW(),"-",IF(ISBLANK(Tbl_ResidentData[[#This Row],[Enrollment '[mmm-yyyy']]]),"-",AND((Tbl_ResidentData[[#This Row],[Enrollment '[mmm-yyyy']]]&lt;=Y$4),IF(ISBLANK(Tbl_ResidentData[[#This Row],[Discharge '[mmm-yyyy']]]),TRUE,(Tbl_ResidentData[[#This Row],[Discharge '[mmm-yyyy']]]&gt;=Y$4)))))</f>
        <v>-</v>
      </c>
      <c r="Z110" s="121" t="str">
        <f ca="1">IF(Z$4&gt;NOW(),"-",IF(ISBLANK(Tbl_ResidentData[[#This Row],[Enrollment '[mmm-yyyy']]]),"-",AND((Tbl_ResidentData[[#This Row],[Enrollment '[mmm-yyyy']]]&lt;=Z$4),IF(ISBLANK(Tbl_ResidentData[[#This Row],[Discharge '[mmm-yyyy']]]),TRUE,(Tbl_ResidentData[[#This Row],[Discharge '[mmm-yyyy']]]&gt;=Z$4)))))</f>
        <v>-</v>
      </c>
      <c r="AA110" s="121" t="str">
        <f ca="1">IF(AA$4&gt;NOW(),"-",IF(ISBLANK(Tbl_ResidentData[[#This Row],[Enrollment '[mmm-yyyy']]]),"-",AND((Tbl_ResidentData[[#This Row],[Enrollment '[mmm-yyyy']]]&lt;=AA$4),IF(ISBLANK(Tbl_ResidentData[[#This Row],[Discharge '[mmm-yyyy']]]),TRUE,(Tbl_ResidentData[[#This Row],[Discharge '[mmm-yyyy']]]&gt;=AA$4)))))</f>
        <v>-</v>
      </c>
      <c r="AB110" s="121" t="str">
        <f ca="1">IF(AB$4&gt;NOW(),"-",IF(ISBLANK(Tbl_ResidentData[[#This Row],[Enrollment '[mmm-yyyy']]]),"-",AND((Tbl_ResidentData[[#This Row],[Enrollment '[mmm-yyyy']]]&lt;=AB$4),IF(ISBLANK(Tbl_ResidentData[[#This Row],[Discharge '[mmm-yyyy']]]),TRUE,(Tbl_ResidentData[[#This Row],[Discharge '[mmm-yyyy']]]&gt;=AB$4)))))</f>
        <v>-</v>
      </c>
      <c r="AC110" s="121" t="str">
        <f ca="1">IF(AC$4&gt;NOW(),"-",IF(ISBLANK(Tbl_ResidentData[[#This Row],[Enrollment '[mmm-yyyy']]]),"-",AND((Tbl_ResidentData[[#This Row],[Enrollment '[mmm-yyyy']]]&lt;=AC$4),IF(ISBLANK(Tbl_ResidentData[[#This Row],[Discharge '[mmm-yyyy']]]),TRUE,(Tbl_ResidentData[[#This Row],[Discharge '[mmm-yyyy']]]&gt;=AC$4)))))</f>
        <v>-</v>
      </c>
      <c r="AD110" s="121" t="str">
        <f ca="1">IF(AD$4&gt;NOW(),"-",IF(ISBLANK(Tbl_ResidentData[[#This Row],[Enrollment '[mmm-yyyy']]]),"-",AND((Tbl_ResidentData[[#This Row],[Enrollment '[mmm-yyyy']]]&lt;=AD$4),IF(ISBLANK(Tbl_ResidentData[[#This Row],[Discharge '[mmm-yyyy']]]),TRUE,(Tbl_ResidentData[[#This Row],[Discharge '[mmm-yyyy']]]&gt;=AD$4)))))</f>
        <v>-</v>
      </c>
      <c r="AE110" s="121" t="str">
        <f ca="1">IF(AE$4&gt;NOW(),"-",IF(ISBLANK(Tbl_ResidentData[[#This Row],[Enrollment '[mmm-yyyy']]]),"-",AND((Tbl_ResidentData[[#This Row],[Enrollment '[mmm-yyyy']]]&lt;=AE$4),IF(ISBLANK(Tbl_ResidentData[[#This Row],[Discharge '[mmm-yyyy']]]),TRUE,(Tbl_ResidentData[[#This Row],[Discharge '[mmm-yyyy']]]&gt;=AE$4)))))</f>
        <v>-</v>
      </c>
      <c r="AF110" s="121" t="str">
        <f ca="1">IF(AF$4&gt;NOW(),"-",IF(ISBLANK(Tbl_ResidentData[[#This Row],[Enrollment '[mmm-yyyy']]]),"-",AND((Tbl_ResidentData[[#This Row],[Enrollment '[mmm-yyyy']]]&lt;=AF$4),IF(ISBLANK(Tbl_ResidentData[[#This Row],[Discharge '[mmm-yyyy']]]),TRUE,(Tbl_ResidentData[[#This Row],[Discharge '[mmm-yyyy']]]&gt;=AF$4)))))</f>
        <v>-</v>
      </c>
      <c r="AG110" s="121" t="str">
        <f ca="1">IF(AG$4&gt;NOW(),"-",IF(ISBLANK(Tbl_ResidentData[[#This Row],[Enrollment '[mmm-yyyy']]]),"-",AND((Tbl_ResidentData[[#This Row],[Enrollment '[mmm-yyyy']]]&lt;=AG$4),IF(ISBLANK(Tbl_ResidentData[[#This Row],[Discharge '[mmm-yyyy']]]),TRUE,(Tbl_ResidentData[[#This Row],[Discharge '[mmm-yyyy']]]&gt;=AG$4)))))</f>
        <v>-</v>
      </c>
      <c r="AH110" s="121" t="str">
        <f ca="1">IF(AH$4&gt;NOW(),"-",IF(ISBLANK(Tbl_ResidentData[[#This Row],[Enrollment '[mmm-yyyy']]]),"-",AND((Tbl_ResidentData[[#This Row],[Enrollment '[mmm-yyyy']]]&lt;=AH$4),IF(ISBLANK(Tbl_ResidentData[[#This Row],[Discharge '[mmm-yyyy']]]),TRUE,(Tbl_ResidentData[[#This Row],[Discharge '[mmm-yyyy']]]&gt;=AH$4)))))</f>
        <v>-</v>
      </c>
      <c r="AI110" s="121" t="str">
        <f ca="1">IF(AI$4&gt;NOW(),"-",IF(ISBLANK(Tbl_ResidentData[[#This Row],[Enrollment '[mmm-yyyy']]]),"-",AND((Tbl_ResidentData[[#This Row],[Enrollment '[mmm-yyyy']]]&lt;=AI$4),IF(ISBLANK(Tbl_ResidentData[[#This Row],[Discharge '[mmm-yyyy']]]),TRUE,(Tbl_ResidentData[[#This Row],[Discharge '[mmm-yyyy']]]&gt;=AI$4)))))</f>
        <v>-</v>
      </c>
      <c r="AJ110" s="121" t="str">
        <f ca="1">IF(AJ$4&gt;NOW(),"-",IF(ISBLANK(Tbl_ResidentData[[#This Row],[Enrollment '[mmm-yyyy']]]),"-",AND((Tbl_ResidentData[[#This Row],[Enrollment '[mmm-yyyy']]]&lt;=AJ$4),IF(ISBLANK(Tbl_ResidentData[[#This Row],[Discharge '[mmm-yyyy']]]),TRUE,(Tbl_ResidentData[[#This Row],[Discharge '[mmm-yyyy']]]&gt;=AJ$4)))))</f>
        <v>-</v>
      </c>
      <c r="AK110" s="121" t="str">
        <f ca="1">IF(AK$4&gt;NOW(),"-",IF(ISBLANK(Tbl_ResidentData[[#This Row],[Enrollment '[mmm-yyyy']]]),"-",AND((Tbl_ResidentData[[#This Row],[Enrollment '[mmm-yyyy']]]&lt;=AK$4),IF(ISBLANK(Tbl_ResidentData[[#This Row],[Discharge '[mmm-yyyy']]]),TRUE,(Tbl_ResidentData[[#This Row],[Discharge '[mmm-yyyy']]]&gt;=AK$4)))))</f>
        <v>-</v>
      </c>
      <c r="AL110" s="121" t="str">
        <f ca="1">IF(AL$4&gt;NOW(),"-",IF(ISBLANK(Tbl_ResidentData[[#This Row],[Enrollment '[mmm-yyyy']]]),"-",AND((Tbl_ResidentData[[#This Row],[Enrollment '[mmm-yyyy']]]&lt;=AL$4),IF(ISBLANK(Tbl_ResidentData[[#This Row],[Discharge '[mmm-yyyy']]]),TRUE,(Tbl_ResidentData[[#This Row],[Discharge '[mmm-yyyy']]]&gt;=AL$4)))))</f>
        <v>-</v>
      </c>
      <c r="AM110" s="121" t="str">
        <f ca="1">IF(AM$4&gt;NOW(),"-",IF(ISBLANK(Tbl_ResidentData[[#This Row],[Enrollment '[mmm-yyyy']]]),"-",AND((Tbl_ResidentData[[#This Row],[Enrollment '[mmm-yyyy']]]&lt;=AM$4),IF(ISBLANK(Tbl_ResidentData[[#This Row],[Discharge '[mmm-yyyy']]]),TRUE,(Tbl_ResidentData[[#This Row],[Discharge '[mmm-yyyy']]]&gt;=AM$4)))))</f>
        <v>-</v>
      </c>
      <c r="AN110" s="121" t="str">
        <f ca="1">IF(AN$4&gt;NOW(),"-",IF(ISBLANK(Tbl_ResidentData[[#This Row],[Enrollment '[mmm-yyyy']]]),"-",AND((Tbl_ResidentData[[#This Row],[Enrollment '[mmm-yyyy']]]&lt;=AN$4),IF(ISBLANK(Tbl_ResidentData[[#This Row],[Discharge '[mmm-yyyy']]]),TRUE,(Tbl_ResidentData[[#This Row],[Discharge '[mmm-yyyy']]]&gt;=AN$4)))))</f>
        <v>-</v>
      </c>
      <c r="AO110" s="121" t="str">
        <f ca="1">IF(AO$4&gt;NOW(),"-",IF(ISBLANK(Tbl_ResidentData[[#This Row],[Enrollment '[mmm-yyyy']]]),"-",AND((Tbl_ResidentData[[#This Row],[Enrollment '[mmm-yyyy']]]&lt;=AO$4),IF(ISBLANK(Tbl_ResidentData[[#This Row],[Discharge '[mmm-yyyy']]]),TRUE,(Tbl_ResidentData[[#This Row],[Discharge '[mmm-yyyy']]]&gt;=AO$4)))))</f>
        <v>-</v>
      </c>
      <c r="AP110" s="121" t="str">
        <f ca="1">IF(AP$4&gt;NOW(),"-",IF(ISBLANK(Tbl_ResidentData[[#This Row],[Enrollment '[mmm-yyyy']]]),"-",AND((Tbl_ResidentData[[#This Row],[Enrollment '[mmm-yyyy']]]&lt;=AP$4),IF(ISBLANK(Tbl_ResidentData[[#This Row],[Discharge '[mmm-yyyy']]]),TRUE,(Tbl_ResidentData[[#This Row],[Discharge '[mmm-yyyy']]]&gt;=AP$4)))))</f>
        <v>-</v>
      </c>
      <c r="AQ110" s="121" t="str">
        <f ca="1">IF(AQ$4&gt;NOW(),"-",IF(ISBLANK(Tbl_ResidentData[[#This Row],[Enrollment '[mmm-yyyy']]]),"-",AND((Tbl_ResidentData[[#This Row],[Enrollment '[mmm-yyyy']]]&lt;=AQ$4),IF(ISBLANK(Tbl_ResidentData[[#This Row],[Discharge '[mmm-yyyy']]]),TRUE,(Tbl_ResidentData[[#This Row],[Discharge '[mmm-yyyy']]]&gt;=AQ$4)))))</f>
        <v>-</v>
      </c>
      <c r="AR110" s="122" t="str">
        <f ca="1">IF(AR$4&gt;NOW(),"-",IF(ISBLANK(Tbl_ResidentData[[#This Row],[Enrollment '[mmm-yyyy']]]),"-",AND((Tbl_ResidentData[[#This Row],[Enrollment '[mmm-yyyy']]]&lt;=AR$4),IF(ISBLANK(Tbl_ResidentData[[#This Row],[Discharge '[mmm-yyyy']]]),TRUE,(Tbl_ResidentData[[#This Row],[Discharge '[mmm-yyyy']]]&gt;=AR$4)))))</f>
        <v>-</v>
      </c>
      <c r="AS11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0" s="120" t="b">
        <f ca="1">AND(Tbl_ResidentData[[#This Row],[PRN Med Started]]&lt;&gt;"",Tbl_ResidentData[[#This Row],[PRN Med Started]]&lt;=NOW(),Tbl_ResidentData[[#This Row],[PRN Med Started]]&lt;=AS$4,OR(Tbl_ResidentData[[#This Row],[PRN Med Discontinued]]&gt;AS$4,ISBLANK(Tbl_ResidentData[[#This Row],[PRN Med Discontinued]])))</f>
        <v>0</v>
      </c>
      <c r="BR110" s="121" t="b">
        <f ca="1">AND(Tbl_ResidentData[[#This Row],[PRN Med Started]]&lt;&gt;"",Tbl_ResidentData[[#This Row],[PRN Med Started]]&lt;=NOW(),Tbl_ResidentData[[#This Row],[PRN Med Started]]&lt;=AT$4,OR(Tbl_ResidentData[[#This Row],[PRN Med Discontinued]]&gt;AT$4,ISBLANK(Tbl_ResidentData[[#This Row],[PRN Med Discontinued]])))</f>
        <v>0</v>
      </c>
      <c r="BS110" s="121" t="b">
        <f ca="1">AND(Tbl_ResidentData[[#This Row],[PRN Med Started]]&lt;&gt;"",Tbl_ResidentData[[#This Row],[PRN Med Started]]&lt;=NOW(),Tbl_ResidentData[[#This Row],[PRN Med Started]]&lt;=AU$4,OR(Tbl_ResidentData[[#This Row],[PRN Med Discontinued]]&gt;AU$4,ISBLANK(Tbl_ResidentData[[#This Row],[PRN Med Discontinued]])))</f>
        <v>0</v>
      </c>
      <c r="BT110" s="121" t="b">
        <f ca="1">AND(Tbl_ResidentData[[#This Row],[PRN Med Started]]&lt;&gt;"",Tbl_ResidentData[[#This Row],[PRN Med Started]]&lt;=NOW(),Tbl_ResidentData[[#This Row],[PRN Med Started]]&lt;=AV$4,OR(Tbl_ResidentData[[#This Row],[PRN Med Discontinued]]&gt;AV$4,ISBLANK(Tbl_ResidentData[[#This Row],[PRN Med Discontinued]])))</f>
        <v>0</v>
      </c>
      <c r="BU110" s="121" t="b">
        <f ca="1">AND(Tbl_ResidentData[[#This Row],[PRN Med Started]]&lt;&gt;"",Tbl_ResidentData[[#This Row],[PRN Med Started]]&lt;=NOW(),Tbl_ResidentData[[#This Row],[PRN Med Started]]&lt;=AW$4,OR(Tbl_ResidentData[[#This Row],[PRN Med Discontinued]]&gt;AW$4,ISBLANK(Tbl_ResidentData[[#This Row],[PRN Med Discontinued]])))</f>
        <v>0</v>
      </c>
      <c r="BV110" s="121" t="b">
        <f ca="1">AND(Tbl_ResidentData[[#This Row],[PRN Med Started]]&lt;&gt;"",Tbl_ResidentData[[#This Row],[PRN Med Started]]&lt;=NOW(),Tbl_ResidentData[[#This Row],[PRN Med Started]]&lt;=AX$4,OR(Tbl_ResidentData[[#This Row],[PRN Med Discontinued]]&gt;AX$4,ISBLANK(Tbl_ResidentData[[#This Row],[PRN Med Discontinued]])))</f>
        <v>0</v>
      </c>
      <c r="BW110" s="121" t="b">
        <f ca="1">AND(Tbl_ResidentData[[#This Row],[PRN Med Started]]&lt;&gt;"",Tbl_ResidentData[[#This Row],[PRN Med Started]]&lt;=NOW(),Tbl_ResidentData[[#This Row],[PRN Med Started]]&lt;=AY$4,OR(Tbl_ResidentData[[#This Row],[PRN Med Discontinued]]&gt;AY$4,ISBLANK(Tbl_ResidentData[[#This Row],[PRN Med Discontinued]])))</f>
        <v>0</v>
      </c>
      <c r="BX110" s="121" t="b">
        <f ca="1">AND(Tbl_ResidentData[[#This Row],[PRN Med Started]]&lt;&gt;"",Tbl_ResidentData[[#This Row],[PRN Med Started]]&lt;=NOW(),Tbl_ResidentData[[#This Row],[PRN Med Started]]&lt;=AZ$4,OR(Tbl_ResidentData[[#This Row],[PRN Med Discontinued]]&gt;AZ$4,ISBLANK(Tbl_ResidentData[[#This Row],[PRN Med Discontinued]])))</f>
        <v>0</v>
      </c>
      <c r="BY110" s="121" t="b">
        <f ca="1">AND(Tbl_ResidentData[[#This Row],[PRN Med Started]]&lt;&gt;"",Tbl_ResidentData[[#This Row],[PRN Med Started]]&lt;=NOW(),Tbl_ResidentData[[#This Row],[PRN Med Started]]&lt;=BA$4,OR(Tbl_ResidentData[[#This Row],[PRN Med Discontinued]]&gt;BA$4,ISBLANK(Tbl_ResidentData[[#This Row],[PRN Med Discontinued]])))</f>
        <v>0</v>
      </c>
      <c r="BZ110" s="121" t="b">
        <f ca="1">AND(Tbl_ResidentData[[#This Row],[PRN Med Started]]&lt;&gt;"",Tbl_ResidentData[[#This Row],[PRN Med Started]]&lt;=NOW(),Tbl_ResidentData[[#This Row],[PRN Med Started]]&lt;=BB$4,OR(Tbl_ResidentData[[#This Row],[PRN Med Discontinued]]&gt;BB$4,ISBLANK(Tbl_ResidentData[[#This Row],[PRN Med Discontinued]])))</f>
        <v>0</v>
      </c>
      <c r="CA110" s="121" t="b">
        <f ca="1">AND(Tbl_ResidentData[[#This Row],[PRN Med Started]]&lt;&gt;"",Tbl_ResidentData[[#This Row],[PRN Med Started]]&lt;=NOW(),Tbl_ResidentData[[#This Row],[PRN Med Started]]&lt;=BC$4,OR(Tbl_ResidentData[[#This Row],[PRN Med Discontinued]]&gt;BC$4,ISBLANK(Tbl_ResidentData[[#This Row],[PRN Med Discontinued]])))</f>
        <v>0</v>
      </c>
      <c r="CB110" s="121" t="b">
        <f ca="1">AND(Tbl_ResidentData[[#This Row],[PRN Med Started]]&lt;&gt;"",Tbl_ResidentData[[#This Row],[PRN Med Started]]&lt;=NOW(),Tbl_ResidentData[[#This Row],[PRN Med Started]]&lt;=BD$4,OR(Tbl_ResidentData[[#This Row],[PRN Med Discontinued]]&gt;BD$4,ISBLANK(Tbl_ResidentData[[#This Row],[PRN Med Discontinued]])))</f>
        <v>0</v>
      </c>
      <c r="CC110" s="121" t="b">
        <f ca="1">AND(Tbl_ResidentData[[#This Row],[PRN Med Started]]&lt;&gt;"",Tbl_ResidentData[[#This Row],[PRN Med Started]]&lt;=NOW(),Tbl_ResidentData[[#This Row],[PRN Med Started]]&lt;=BE$4,OR(Tbl_ResidentData[[#This Row],[PRN Med Discontinued]]&gt;BE$4,ISBLANK(Tbl_ResidentData[[#This Row],[PRN Med Discontinued]])))</f>
        <v>0</v>
      </c>
      <c r="CD110" s="121" t="b">
        <f ca="1">AND(Tbl_ResidentData[[#This Row],[PRN Med Started]]&lt;&gt;"",Tbl_ResidentData[[#This Row],[PRN Med Started]]&lt;=NOW(),Tbl_ResidentData[[#This Row],[PRN Med Started]]&lt;=BF$4,OR(Tbl_ResidentData[[#This Row],[PRN Med Discontinued]]&gt;BF$4,ISBLANK(Tbl_ResidentData[[#This Row],[PRN Med Discontinued]])))</f>
        <v>0</v>
      </c>
      <c r="CE110" s="121" t="b">
        <f ca="1">AND(Tbl_ResidentData[[#This Row],[PRN Med Started]]&lt;&gt;"",Tbl_ResidentData[[#This Row],[PRN Med Started]]&lt;=NOW(),Tbl_ResidentData[[#This Row],[PRN Med Started]]&lt;=BG$4,OR(Tbl_ResidentData[[#This Row],[PRN Med Discontinued]]&gt;BG$4,ISBLANK(Tbl_ResidentData[[#This Row],[PRN Med Discontinued]])))</f>
        <v>0</v>
      </c>
      <c r="CF110" s="121" t="b">
        <f ca="1">AND(Tbl_ResidentData[[#This Row],[PRN Med Started]]&lt;&gt;"",Tbl_ResidentData[[#This Row],[PRN Med Started]]&lt;=NOW(),Tbl_ResidentData[[#This Row],[PRN Med Started]]&lt;=BH$4,OR(Tbl_ResidentData[[#This Row],[PRN Med Discontinued]]&gt;BH$4,ISBLANK(Tbl_ResidentData[[#This Row],[PRN Med Discontinued]])))</f>
        <v>0</v>
      </c>
      <c r="CG110" s="121" t="b">
        <f ca="1">AND(Tbl_ResidentData[[#This Row],[PRN Med Started]]&lt;&gt;"",Tbl_ResidentData[[#This Row],[PRN Med Started]]&lt;=NOW(),Tbl_ResidentData[[#This Row],[PRN Med Started]]&lt;=BI$4,OR(Tbl_ResidentData[[#This Row],[PRN Med Discontinued]]&gt;BI$4,ISBLANK(Tbl_ResidentData[[#This Row],[PRN Med Discontinued]])))</f>
        <v>0</v>
      </c>
      <c r="CH110" s="121" t="b">
        <f ca="1">AND(Tbl_ResidentData[[#This Row],[PRN Med Started]]&lt;&gt;"",Tbl_ResidentData[[#This Row],[PRN Med Started]]&lt;=NOW(),Tbl_ResidentData[[#This Row],[PRN Med Started]]&lt;=BJ$4,OR(Tbl_ResidentData[[#This Row],[PRN Med Discontinued]]&gt;BJ$4,ISBLANK(Tbl_ResidentData[[#This Row],[PRN Med Discontinued]])))</f>
        <v>0</v>
      </c>
      <c r="CI110" s="121" t="b">
        <f ca="1">AND(Tbl_ResidentData[[#This Row],[PRN Med Started]]&lt;&gt;"",Tbl_ResidentData[[#This Row],[PRN Med Started]]&lt;=NOW(),Tbl_ResidentData[[#This Row],[PRN Med Started]]&lt;=BK$4,OR(Tbl_ResidentData[[#This Row],[PRN Med Discontinued]]&gt;BK$4,ISBLANK(Tbl_ResidentData[[#This Row],[PRN Med Discontinued]])))</f>
        <v>0</v>
      </c>
      <c r="CJ110" s="121" t="b">
        <f ca="1">AND(Tbl_ResidentData[[#This Row],[PRN Med Started]]&lt;&gt;"",Tbl_ResidentData[[#This Row],[PRN Med Started]]&lt;=NOW(),Tbl_ResidentData[[#This Row],[PRN Med Started]]&lt;=BL$4,OR(Tbl_ResidentData[[#This Row],[PRN Med Discontinued]]&gt;BL$4,ISBLANK(Tbl_ResidentData[[#This Row],[PRN Med Discontinued]])))</f>
        <v>0</v>
      </c>
      <c r="CK110" s="121" t="b">
        <f ca="1">AND(Tbl_ResidentData[[#This Row],[PRN Med Started]]&lt;&gt;"",Tbl_ResidentData[[#This Row],[PRN Med Started]]&lt;=NOW(),Tbl_ResidentData[[#This Row],[PRN Med Started]]&lt;=BM$4,OR(Tbl_ResidentData[[#This Row],[PRN Med Discontinued]]&gt;BM$4,ISBLANK(Tbl_ResidentData[[#This Row],[PRN Med Discontinued]])))</f>
        <v>0</v>
      </c>
      <c r="CL110" s="121" t="b">
        <f ca="1">AND(Tbl_ResidentData[[#This Row],[PRN Med Started]]&lt;&gt;"",Tbl_ResidentData[[#This Row],[PRN Med Started]]&lt;=NOW(),Tbl_ResidentData[[#This Row],[PRN Med Started]]&lt;=BN$4,OR(Tbl_ResidentData[[#This Row],[PRN Med Discontinued]]&gt;BN$4,ISBLANK(Tbl_ResidentData[[#This Row],[PRN Med Discontinued]])))</f>
        <v>0</v>
      </c>
      <c r="CM110" s="121" t="b">
        <f ca="1">AND(Tbl_ResidentData[[#This Row],[PRN Med Started]]&lt;&gt;"",Tbl_ResidentData[[#This Row],[PRN Med Started]]&lt;=NOW(),Tbl_ResidentData[[#This Row],[PRN Med Started]]&lt;=BO$4,OR(Tbl_ResidentData[[#This Row],[PRN Med Discontinued]]&gt;BO$4,ISBLANK(Tbl_ResidentData[[#This Row],[PRN Med Discontinued]])))</f>
        <v>0</v>
      </c>
      <c r="CN110" s="122" t="b">
        <f ca="1">AND(Tbl_ResidentData[[#This Row],[PRN Med Started]]&lt;&gt;"",Tbl_ResidentData[[#This Row],[PRN Med Started]]&lt;=NOW(),Tbl_ResidentData[[#This Row],[PRN Med Started]]&lt;=BP$4,OR(Tbl_ResidentData[[#This Row],[PRN Med Discontinued]]&gt;BP$4,ISBLANK(Tbl_ResidentData[[#This Row],[PRN Med Discontinued]])))</f>
        <v>0</v>
      </c>
      <c r="CO110" s="120">
        <f ca="1">IF(OR(Tbl_ResidentData[[#This Row],[S1]]=TRUE,Tbl_ResidentData[[#This Row],[P1]]=TRUE),1,0)</f>
        <v>0</v>
      </c>
      <c r="CP110" s="121">
        <f ca="1">IF(OR(Tbl_ResidentData[[#This Row],[S2]]=TRUE,Tbl_ResidentData[[#This Row],[P2]]=TRUE),1,0)</f>
        <v>0</v>
      </c>
      <c r="CQ110" s="121">
        <f ca="1">IF(OR(Tbl_ResidentData[[#This Row],[S3]]=TRUE,Tbl_ResidentData[[#This Row],[P3]]=TRUE),1,0)</f>
        <v>0</v>
      </c>
      <c r="CR110" s="120">
        <f ca="1">IF(OR(Tbl_ResidentData[[#This Row],[S4]]=TRUE,Tbl_ResidentData[[#This Row],[P4]]=TRUE),1,0)</f>
        <v>0</v>
      </c>
      <c r="CS110" s="120">
        <f ca="1">IF(OR(Tbl_ResidentData[[#This Row],[S5]]=TRUE,Tbl_ResidentData[[#This Row],[P5]]=TRUE),1,0)</f>
        <v>0</v>
      </c>
      <c r="CT110" s="120">
        <f ca="1">IF(OR(Tbl_ResidentData[[#This Row],[S6]]=TRUE,Tbl_ResidentData[[#This Row],[P6]]=TRUE),1,0)</f>
        <v>0</v>
      </c>
      <c r="CU110" s="120">
        <f ca="1">IF(OR(Tbl_ResidentData[[#This Row],[S7]]=TRUE,Tbl_ResidentData[[#This Row],[P7]]=TRUE),1,0)</f>
        <v>0</v>
      </c>
      <c r="CV110" s="120">
        <f ca="1">IF(OR(Tbl_ResidentData[[#This Row],[S8]]=TRUE,Tbl_ResidentData[[#This Row],[P8]]=TRUE),1,0)</f>
        <v>0</v>
      </c>
      <c r="CW110" s="120">
        <f ca="1">IF(OR(Tbl_ResidentData[[#This Row],[S9]]=TRUE,Tbl_ResidentData[[#This Row],[P9]]=TRUE),1,0)</f>
        <v>0</v>
      </c>
      <c r="CX110" s="120">
        <f ca="1">IF(OR(Tbl_ResidentData[[#This Row],[S10]]=TRUE,Tbl_ResidentData[[#This Row],[P10]]=TRUE),1,0)</f>
        <v>0</v>
      </c>
      <c r="CY110" s="120">
        <f ca="1">IF(OR(Tbl_ResidentData[[#This Row],[S11]]=TRUE,Tbl_ResidentData[[#This Row],[P11]]=TRUE),1,0)</f>
        <v>0</v>
      </c>
      <c r="CZ110" s="120">
        <f ca="1">IF(OR(Tbl_ResidentData[[#This Row],[S12]]=TRUE,Tbl_ResidentData[[#This Row],[P12]]=TRUE),1,0)</f>
        <v>0</v>
      </c>
      <c r="DA110" s="120">
        <f ca="1">IF(OR(Tbl_ResidentData[[#This Row],[S13]]=TRUE,Tbl_ResidentData[[#This Row],[P13]]=TRUE),1,0)</f>
        <v>0</v>
      </c>
      <c r="DB110" s="120">
        <f ca="1">IF(OR(Tbl_ResidentData[[#This Row],[S14]]=TRUE,Tbl_ResidentData[[#This Row],[P14]]=TRUE),1,0)</f>
        <v>0</v>
      </c>
      <c r="DC110" s="120">
        <f ca="1">IF(OR(Tbl_ResidentData[[#This Row],[S15]]=TRUE,Tbl_ResidentData[[#This Row],[P15]]=TRUE),1,0)</f>
        <v>0</v>
      </c>
      <c r="DD110" s="120">
        <f ca="1">IF(OR(Tbl_ResidentData[[#This Row],[S16]]=TRUE,Tbl_ResidentData[[#This Row],[P16]]=TRUE),1,0)</f>
        <v>0</v>
      </c>
      <c r="DE110" s="120">
        <f ca="1">IF(OR(Tbl_ResidentData[[#This Row],[S17]]=TRUE,Tbl_ResidentData[[#This Row],[P17]]=TRUE),1,0)</f>
        <v>0</v>
      </c>
      <c r="DF110" s="120">
        <f ca="1">IF(OR(Tbl_ResidentData[[#This Row],[S18]]=TRUE,Tbl_ResidentData[[#This Row],[P18]]=TRUE),1,0)</f>
        <v>0</v>
      </c>
      <c r="DG110" s="120">
        <f ca="1">IF(OR(Tbl_ResidentData[[#This Row],[S19]]=TRUE,Tbl_ResidentData[[#This Row],[P19]]=TRUE),1,0)</f>
        <v>0</v>
      </c>
      <c r="DH110" s="120">
        <f ca="1">IF(OR(Tbl_ResidentData[[#This Row],[S20]]=TRUE,Tbl_ResidentData[[#This Row],[P20]]=TRUE),1,0)</f>
        <v>0</v>
      </c>
      <c r="DI110" s="120">
        <f ca="1">IF(OR(Tbl_ResidentData[[#This Row],[S21]]=TRUE,Tbl_ResidentData[[#This Row],[P21]]=TRUE),1,0)</f>
        <v>0</v>
      </c>
      <c r="DJ110" s="120">
        <f ca="1">IF(OR(Tbl_ResidentData[[#This Row],[S22]]=TRUE,Tbl_ResidentData[[#This Row],[P22]]=TRUE),1,0)</f>
        <v>0</v>
      </c>
      <c r="DK110" s="120">
        <f ca="1">IF(OR(Tbl_ResidentData[[#This Row],[S23]]=TRUE,Tbl_ResidentData[[#This Row],[P23]]=TRUE),1,0)</f>
        <v>0</v>
      </c>
      <c r="DL110" s="120">
        <f ca="1">IF(OR(Tbl_ResidentData[[#This Row],[S24]]=TRUE,Tbl_ResidentData[[#This Row],[P24]]=TRUE),1,0)</f>
        <v>0</v>
      </c>
      <c r="DM110" s="123" t="str">
        <f ca="1">IFERROR(INDEX($CO$4:$DL$4,MATCH(TRUE,INDEX((Tbl_ResidentData[[#This Row],[Over1]:[Over24]]&lt;&gt;0),0),0)),"")</f>
        <v/>
      </c>
      <c r="DN110" s="133" t="str">
        <f>IFERROR(INDEX(Tbl_PDSAData[Last DRT],MATCH(Tbl_ResidentData[Resident Name '[last, first']],Tbl_PDSAData[Resident Name (last, first)],0)),"")</f>
        <v/>
      </c>
      <c r="DO110" s="222" t="str">
        <f>IFERROR(INDEX(Tbl_PDSAData[Last MR],MATCH(Tbl_ResidentData[Resident Name '[last, first']],Tbl_PDSAData[Resident Name (last, first)],0)),"")</f>
        <v/>
      </c>
    </row>
    <row r="111" spans="1:119" x14ac:dyDescent="0.25">
      <c r="A111" s="179"/>
      <c r="B111" s="180"/>
      <c r="C111" s="180"/>
      <c r="D111" s="218"/>
      <c r="E111" s="179"/>
      <c r="F111" s="181"/>
      <c r="G111" s="181"/>
      <c r="H111" s="182"/>
      <c r="I111" s="185"/>
      <c r="J111" s="387"/>
      <c r="K111" s="178"/>
      <c r="L111" s="388"/>
      <c r="M111" s="185"/>
      <c r="N111" s="386"/>
      <c r="O111" s="178"/>
      <c r="P111" s="388"/>
      <c r="Q111" s="395"/>
      <c r="R111" s="396"/>
      <c r="S111" s="131" t="str">
        <f>IF(ISBLANK(Tbl_ResidentData[[#This Row],[Discharge '[mmm-yyyy']]]),IF(ISBLANK(Tbl_ResidentData[[#This Row],[Enrollment '[mmm-yyyy']]]),"","In Care Home"),"Discharged")</f>
        <v/>
      </c>
      <c r="T111" s="119" t="str">
        <f>IF(ISBLANK(Tbl_ResidentData[[#This Row],[Diagnosis (RAI)]]),IF(ISBLANK(Tbl_ResidentData[[#This Row],[Resident Name '[last, first']]]),"",0),IF(Tbl_ResidentData[[#This Row],[Diagnosis (RAI)]]="Other (see clinical notes)",0,1))</f>
        <v/>
      </c>
      <c r="U111" s="120" t="str">
        <f ca="1">IF(U$4&gt;NOW(),"-",IF(ISBLANK(Tbl_ResidentData[[#This Row],[Enrollment '[mmm-yyyy']]]),"-",AND((Tbl_ResidentData[[#This Row],[Enrollment '[mmm-yyyy']]]&lt;=U$4),IF(ISBLANK(Tbl_ResidentData[[#This Row],[Discharge '[mmm-yyyy']]]),TRUE,(Tbl_ResidentData[[#This Row],[Discharge '[mmm-yyyy']]]&gt;=U$4)))))</f>
        <v>-</v>
      </c>
      <c r="V111" s="121" t="str">
        <f ca="1">IF(V$4&gt;NOW(),"-",IF(ISBLANK(Tbl_ResidentData[[#This Row],[Enrollment '[mmm-yyyy']]]),"-",AND((Tbl_ResidentData[[#This Row],[Enrollment '[mmm-yyyy']]]&lt;=V$4),IF(ISBLANK(Tbl_ResidentData[[#This Row],[Discharge '[mmm-yyyy']]]),TRUE,(Tbl_ResidentData[[#This Row],[Discharge '[mmm-yyyy']]]&gt;=V$4)))))</f>
        <v>-</v>
      </c>
      <c r="W111" s="121" t="str">
        <f ca="1">IF(W$4&gt;NOW(),"-",IF(ISBLANK(Tbl_ResidentData[[#This Row],[Enrollment '[mmm-yyyy']]]),"-",AND((Tbl_ResidentData[[#This Row],[Enrollment '[mmm-yyyy']]]&lt;=W$4),IF(ISBLANK(Tbl_ResidentData[[#This Row],[Discharge '[mmm-yyyy']]]),TRUE,(Tbl_ResidentData[[#This Row],[Discharge '[mmm-yyyy']]]&gt;=W$4)))))</f>
        <v>-</v>
      </c>
      <c r="X111" s="121" t="str">
        <f ca="1">IF(X$4&gt;NOW(),"-",IF(ISBLANK(Tbl_ResidentData[[#This Row],[Enrollment '[mmm-yyyy']]]),"-",AND((Tbl_ResidentData[[#This Row],[Enrollment '[mmm-yyyy']]]&lt;=X$4),IF(ISBLANK(Tbl_ResidentData[[#This Row],[Discharge '[mmm-yyyy']]]),TRUE,(Tbl_ResidentData[[#This Row],[Discharge '[mmm-yyyy']]]&gt;=X$4)))))</f>
        <v>-</v>
      </c>
      <c r="Y111" s="121" t="str">
        <f ca="1">IF(Y$4&gt;NOW(),"-",IF(ISBLANK(Tbl_ResidentData[[#This Row],[Enrollment '[mmm-yyyy']]]),"-",AND((Tbl_ResidentData[[#This Row],[Enrollment '[mmm-yyyy']]]&lt;=Y$4),IF(ISBLANK(Tbl_ResidentData[[#This Row],[Discharge '[mmm-yyyy']]]),TRUE,(Tbl_ResidentData[[#This Row],[Discharge '[mmm-yyyy']]]&gt;=Y$4)))))</f>
        <v>-</v>
      </c>
      <c r="Z111" s="121" t="str">
        <f ca="1">IF(Z$4&gt;NOW(),"-",IF(ISBLANK(Tbl_ResidentData[[#This Row],[Enrollment '[mmm-yyyy']]]),"-",AND((Tbl_ResidentData[[#This Row],[Enrollment '[mmm-yyyy']]]&lt;=Z$4),IF(ISBLANK(Tbl_ResidentData[[#This Row],[Discharge '[mmm-yyyy']]]),TRUE,(Tbl_ResidentData[[#This Row],[Discharge '[mmm-yyyy']]]&gt;=Z$4)))))</f>
        <v>-</v>
      </c>
      <c r="AA111" s="121" t="str">
        <f ca="1">IF(AA$4&gt;NOW(),"-",IF(ISBLANK(Tbl_ResidentData[[#This Row],[Enrollment '[mmm-yyyy']]]),"-",AND((Tbl_ResidentData[[#This Row],[Enrollment '[mmm-yyyy']]]&lt;=AA$4),IF(ISBLANK(Tbl_ResidentData[[#This Row],[Discharge '[mmm-yyyy']]]),TRUE,(Tbl_ResidentData[[#This Row],[Discharge '[mmm-yyyy']]]&gt;=AA$4)))))</f>
        <v>-</v>
      </c>
      <c r="AB111" s="121" t="str">
        <f ca="1">IF(AB$4&gt;NOW(),"-",IF(ISBLANK(Tbl_ResidentData[[#This Row],[Enrollment '[mmm-yyyy']]]),"-",AND((Tbl_ResidentData[[#This Row],[Enrollment '[mmm-yyyy']]]&lt;=AB$4),IF(ISBLANK(Tbl_ResidentData[[#This Row],[Discharge '[mmm-yyyy']]]),TRUE,(Tbl_ResidentData[[#This Row],[Discharge '[mmm-yyyy']]]&gt;=AB$4)))))</f>
        <v>-</v>
      </c>
      <c r="AC111" s="121" t="str">
        <f ca="1">IF(AC$4&gt;NOW(),"-",IF(ISBLANK(Tbl_ResidentData[[#This Row],[Enrollment '[mmm-yyyy']]]),"-",AND((Tbl_ResidentData[[#This Row],[Enrollment '[mmm-yyyy']]]&lt;=AC$4),IF(ISBLANK(Tbl_ResidentData[[#This Row],[Discharge '[mmm-yyyy']]]),TRUE,(Tbl_ResidentData[[#This Row],[Discharge '[mmm-yyyy']]]&gt;=AC$4)))))</f>
        <v>-</v>
      </c>
      <c r="AD111" s="121" t="str">
        <f ca="1">IF(AD$4&gt;NOW(),"-",IF(ISBLANK(Tbl_ResidentData[[#This Row],[Enrollment '[mmm-yyyy']]]),"-",AND((Tbl_ResidentData[[#This Row],[Enrollment '[mmm-yyyy']]]&lt;=AD$4),IF(ISBLANK(Tbl_ResidentData[[#This Row],[Discharge '[mmm-yyyy']]]),TRUE,(Tbl_ResidentData[[#This Row],[Discharge '[mmm-yyyy']]]&gt;=AD$4)))))</f>
        <v>-</v>
      </c>
      <c r="AE111" s="121" t="str">
        <f ca="1">IF(AE$4&gt;NOW(),"-",IF(ISBLANK(Tbl_ResidentData[[#This Row],[Enrollment '[mmm-yyyy']]]),"-",AND((Tbl_ResidentData[[#This Row],[Enrollment '[mmm-yyyy']]]&lt;=AE$4),IF(ISBLANK(Tbl_ResidentData[[#This Row],[Discharge '[mmm-yyyy']]]),TRUE,(Tbl_ResidentData[[#This Row],[Discharge '[mmm-yyyy']]]&gt;=AE$4)))))</f>
        <v>-</v>
      </c>
      <c r="AF111" s="121" t="str">
        <f ca="1">IF(AF$4&gt;NOW(),"-",IF(ISBLANK(Tbl_ResidentData[[#This Row],[Enrollment '[mmm-yyyy']]]),"-",AND((Tbl_ResidentData[[#This Row],[Enrollment '[mmm-yyyy']]]&lt;=AF$4),IF(ISBLANK(Tbl_ResidentData[[#This Row],[Discharge '[mmm-yyyy']]]),TRUE,(Tbl_ResidentData[[#This Row],[Discharge '[mmm-yyyy']]]&gt;=AF$4)))))</f>
        <v>-</v>
      </c>
      <c r="AG111" s="121" t="str">
        <f ca="1">IF(AG$4&gt;NOW(),"-",IF(ISBLANK(Tbl_ResidentData[[#This Row],[Enrollment '[mmm-yyyy']]]),"-",AND((Tbl_ResidentData[[#This Row],[Enrollment '[mmm-yyyy']]]&lt;=AG$4),IF(ISBLANK(Tbl_ResidentData[[#This Row],[Discharge '[mmm-yyyy']]]),TRUE,(Tbl_ResidentData[[#This Row],[Discharge '[mmm-yyyy']]]&gt;=AG$4)))))</f>
        <v>-</v>
      </c>
      <c r="AH111" s="121" t="str">
        <f ca="1">IF(AH$4&gt;NOW(),"-",IF(ISBLANK(Tbl_ResidentData[[#This Row],[Enrollment '[mmm-yyyy']]]),"-",AND((Tbl_ResidentData[[#This Row],[Enrollment '[mmm-yyyy']]]&lt;=AH$4),IF(ISBLANK(Tbl_ResidentData[[#This Row],[Discharge '[mmm-yyyy']]]),TRUE,(Tbl_ResidentData[[#This Row],[Discharge '[mmm-yyyy']]]&gt;=AH$4)))))</f>
        <v>-</v>
      </c>
      <c r="AI111" s="121" t="str">
        <f ca="1">IF(AI$4&gt;NOW(),"-",IF(ISBLANK(Tbl_ResidentData[[#This Row],[Enrollment '[mmm-yyyy']]]),"-",AND((Tbl_ResidentData[[#This Row],[Enrollment '[mmm-yyyy']]]&lt;=AI$4),IF(ISBLANK(Tbl_ResidentData[[#This Row],[Discharge '[mmm-yyyy']]]),TRUE,(Tbl_ResidentData[[#This Row],[Discharge '[mmm-yyyy']]]&gt;=AI$4)))))</f>
        <v>-</v>
      </c>
      <c r="AJ111" s="121" t="str">
        <f ca="1">IF(AJ$4&gt;NOW(),"-",IF(ISBLANK(Tbl_ResidentData[[#This Row],[Enrollment '[mmm-yyyy']]]),"-",AND((Tbl_ResidentData[[#This Row],[Enrollment '[mmm-yyyy']]]&lt;=AJ$4),IF(ISBLANK(Tbl_ResidentData[[#This Row],[Discharge '[mmm-yyyy']]]),TRUE,(Tbl_ResidentData[[#This Row],[Discharge '[mmm-yyyy']]]&gt;=AJ$4)))))</f>
        <v>-</v>
      </c>
      <c r="AK111" s="121" t="str">
        <f ca="1">IF(AK$4&gt;NOW(),"-",IF(ISBLANK(Tbl_ResidentData[[#This Row],[Enrollment '[mmm-yyyy']]]),"-",AND((Tbl_ResidentData[[#This Row],[Enrollment '[mmm-yyyy']]]&lt;=AK$4),IF(ISBLANK(Tbl_ResidentData[[#This Row],[Discharge '[mmm-yyyy']]]),TRUE,(Tbl_ResidentData[[#This Row],[Discharge '[mmm-yyyy']]]&gt;=AK$4)))))</f>
        <v>-</v>
      </c>
      <c r="AL111" s="121" t="str">
        <f ca="1">IF(AL$4&gt;NOW(),"-",IF(ISBLANK(Tbl_ResidentData[[#This Row],[Enrollment '[mmm-yyyy']]]),"-",AND((Tbl_ResidentData[[#This Row],[Enrollment '[mmm-yyyy']]]&lt;=AL$4),IF(ISBLANK(Tbl_ResidentData[[#This Row],[Discharge '[mmm-yyyy']]]),TRUE,(Tbl_ResidentData[[#This Row],[Discharge '[mmm-yyyy']]]&gt;=AL$4)))))</f>
        <v>-</v>
      </c>
      <c r="AM111" s="121" t="str">
        <f ca="1">IF(AM$4&gt;NOW(),"-",IF(ISBLANK(Tbl_ResidentData[[#This Row],[Enrollment '[mmm-yyyy']]]),"-",AND((Tbl_ResidentData[[#This Row],[Enrollment '[mmm-yyyy']]]&lt;=AM$4),IF(ISBLANK(Tbl_ResidentData[[#This Row],[Discharge '[mmm-yyyy']]]),TRUE,(Tbl_ResidentData[[#This Row],[Discharge '[mmm-yyyy']]]&gt;=AM$4)))))</f>
        <v>-</v>
      </c>
      <c r="AN111" s="121" t="str">
        <f ca="1">IF(AN$4&gt;NOW(),"-",IF(ISBLANK(Tbl_ResidentData[[#This Row],[Enrollment '[mmm-yyyy']]]),"-",AND((Tbl_ResidentData[[#This Row],[Enrollment '[mmm-yyyy']]]&lt;=AN$4),IF(ISBLANK(Tbl_ResidentData[[#This Row],[Discharge '[mmm-yyyy']]]),TRUE,(Tbl_ResidentData[[#This Row],[Discharge '[mmm-yyyy']]]&gt;=AN$4)))))</f>
        <v>-</v>
      </c>
      <c r="AO111" s="121" t="str">
        <f ca="1">IF(AO$4&gt;NOW(),"-",IF(ISBLANK(Tbl_ResidentData[[#This Row],[Enrollment '[mmm-yyyy']]]),"-",AND((Tbl_ResidentData[[#This Row],[Enrollment '[mmm-yyyy']]]&lt;=AO$4),IF(ISBLANK(Tbl_ResidentData[[#This Row],[Discharge '[mmm-yyyy']]]),TRUE,(Tbl_ResidentData[[#This Row],[Discharge '[mmm-yyyy']]]&gt;=AO$4)))))</f>
        <v>-</v>
      </c>
      <c r="AP111" s="121" t="str">
        <f ca="1">IF(AP$4&gt;NOW(),"-",IF(ISBLANK(Tbl_ResidentData[[#This Row],[Enrollment '[mmm-yyyy']]]),"-",AND((Tbl_ResidentData[[#This Row],[Enrollment '[mmm-yyyy']]]&lt;=AP$4),IF(ISBLANK(Tbl_ResidentData[[#This Row],[Discharge '[mmm-yyyy']]]),TRUE,(Tbl_ResidentData[[#This Row],[Discharge '[mmm-yyyy']]]&gt;=AP$4)))))</f>
        <v>-</v>
      </c>
      <c r="AQ111" s="121" t="str">
        <f ca="1">IF(AQ$4&gt;NOW(),"-",IF(ISBLANK(Tbl_ResidentData[[#This Row],[Enrollment '[mmm-yyyy']]]),"-",AND((Tbl_ResidentData[[#This Row],[Enrollment '[mmm-yyyy']]]&lt;=AQ$4),IF(ISBLANK(Tbl_ResidentData[[#This Row],[Discharge '[mmm-yyyy']]]),TRUE,(Tbl_ResidentData[[#This Row],[Discharge '[mmm-yyyy']]]&gt;=AQ$4)))))</f>
        <v>-</v>
      </c>
      <c r="AR111" s="122" t="str">
        <f ca="1">IF(AR$4&gt;NOW(),"-",IF(ISBLANK(Tbl_ResidentData[[#This Row],[Enrollment '[mmm-yyyy']]]),"-",AND((Tbl_ResidentData[[#This Row],[Enrollment '[mmm-yyyy']]]&lt;=AR$4),IF(ISBLANK(Tbl_ResidentData[[#This Row],[Discharge '[mmm-yyyy']]]),TRUE,(Tbl_ResidentData[[#This Row],[Discharge '[mmm-yyyy']]]&gt;=AR$4)))))</f>
        <v>-</v>
      </c>
      <c r="AS11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1" s="120" t="b">
        <f ca="1">AND(Tbl_ResidentData[[#This Row],[PRN Med Started]]&lt;&gt;"",Tbl_ResidentData[[#This Row],[PRN Med Started]]&lt;=NOW(),Tbl_ResidentData[[#This Row],[PRN Med Started]]&lt;=AS$4,OR(Tbl_ResidentData[[#This Row],[PRN Med Discontinued]]&gt;AS$4,ISBLANK(Tbl_ResidentData[[#This Row],[PRN Med Discontinued]])))</f>
        <v>0</v>
      </c>
      <c r="BR111" s="121" t="b">
        <f ca="1">AND(Tbl_ResidentData[[#This Row],[PRN Med Started]]&lt;&gt;"",Tbl_ResidentData[[#This Row],[PRN Med Started]]&lt;=NOW(),Tbl_ResidentData[[#This Row],[PRN Med Started]]&lt;=AT$4,OR(Tbl_ResidentData[[#This Row],[PRN Med Discontinued]]&gt;AT$4,ISBLANK(Tbl_ResidentData[[#This Row],[PRN Med Discontinued]])))</f>
        <v>0</v>
      </c>
      <c r="BS111" s="121" t="b">
        <f ca="1">AND(Tbl_ResidentData[[#This Row],[PRN Med Started]]&lt;&gt;"",Tbl_ResidentData[[#This Row],[PRN Med Started]]&lt;=NOW(),Tbl_ResidentData[[#This Row],[PRN Med Started]]&lt;=AU$4,OR(Tbl_ResidentData[[#This Row],[PRN Med Discontinued]]&gt;AU$4,ISBLANK(Tbl_ResidentData[[#This Row],[PRN Med Discontinued]])))</f>
        <v>0</v>
      </c>
      <c r="BT111" s="121" t="b">
        <f ca="1">AND(Tbl_ResidentData[[#This Row],[PRN Med Started]]&lt;&gt;"",Tbl_ResidentData[[#This Row],[PRN Med Started]]&lt;=NOW(),Tbl_ResidentData[[#This Row],[PRN Med Started]]&lt;=AV$4,OR(Tbl_ResidentData[[#This Row],[PRN Med Discontinued]]&gt;AV$4,ISBLANK(Tbl_ResidentData[[#This Row],[PRN Med Discontinued]])))</f>
        <v>0</v>
      </c>
      <c r="BU111" s="121" t="b">
        <f ca="1">AND(Tbl_ResidentData[[#This Row],[PRN Med Started]]&lt;&gt;"",Tbl_ResidentData[[#This Row],[PRN Med Started]]&lt;=NOW(),Tbl_ResidentData[[#This Row],[PRN Med Started]]&lt;=AW$4,OR(Tbl_ResidentData[[#This Row],[PRN Med Discontinued]]&gt;AW$4,ISBLANK(Tbl_ResidentData[[#This Row],[PRN Med Discontinued]])))</f>
        <v>0</v>
      </c>
      <c r="BV111" s="121" t="b">
        <f ca="1">AND(Tbl_ResidentData[[#This Row],[PRN Med Started]]&lt;&gt;"",Tbl_ResidentData[[#This Row],[PRN Med Started]]&lt;=NOW(),Tbl_ResidentData[[#This Row],[PRN Med Started]]&lt;=AX$4,OR(Tbl_ResidentData[[#This Row],[PRN Med Discontinued]]&gt;AX$4,ISBLANK(Tbl_ResidentData[[#This Row],[PRN Med Discontinued]])))</f>
        <v>0</v>
      </c>
      <c r="BW111" s="121" t="b">
        <f ca="1">AND(Tbl_ResidentData[[#This Row],[PRN Med Started]]&lt;&gt;"",Tbl_ResidentData[[#This Row],[PRN Med Started]]&lt;=NOW(),Tbl_ResidentData[[#This Row],[PRN Med Started]]&lt;=AY$4,OR(Tbl_ResidentData[[#This Row],[PRN Med Discontinued]]&gt;AY$4,ISBLANK(Tbl_ResidentData[[#This Row],[PRN Med Discontinued]])))</f>
        <v>0</v>
      </c>
      <c r="BX111" s="121" t="b">
        <f ca="1">AND(Tbl_ResidentData[[#This Row],[PRN Med Started]]&lt;&gt;"",Tbl_ResidentData[[#This Row],[PRN Med Started]]&lt;=NOW(),Tbl_ResidentData[[#This Row],[PRN Med Started]]&lt;=AZ$4,OR(Tbl_ResidentData[[#This Row],[PRN Med Discontinued]]&gt;AZ$4,ISBLANK(Tbl_ResidentData[[#This Row],[PRN Med Discontinued]])))</f>
        <v>0</v>
      </c>
      <c r="BY111" s="121" t="b">
        <f ca="1">AND(Tbl_ResidentData[[#This Row],[PRN Med Started]]&lt;&gt;"",Tbl_ResidentData[[#This Row],[PRN Med Started]]&lt;=NOW(),Tbl_ResidentData[[#This Row],[PRN Med Started]]&lt;=BA$4,OR(Tbl_ResidentData[[#This Row],[PRN Med Discontinued]]&gt;BA$4,ISBLANK(Tbl_ResidentData[[#This Row],[PRN Med Discontinued]])))</f>
        <v>0</v>
      </c>
      <c r="BZ111" s="121" t="b">
        <f ca="1">AND(Tbl_ResidentData[[#This Row],[PRN Med Started]]&lt;&gt;"",Tbl_ResidentData[[#This Row],[PRN Med Started]]&lt;=NOW(),Tbl_ResidentData[[#This Row],[PRN Med Started]]&lt;=BB$4,OR(Tbl_ResidentData[[#This Row],[PRN Med Discontinued]]&gt;BB$4,ISBLANK(Tbl_ResidentData[[#This Row],[PRN Med Discontinued]])))</f>
        <v>0</v>
      </c>
      <c r="CA111" s="121" t="b">
        <f ca="1">AND(Tbl_ResidentData[[#This Row],[PRN Med Started]]&lt;&gt;"",Tbl_ResidentData[[#This Row],[PRN Med Started]]&lt;=NOW(),Tbl_ResidentData[[#This Row],[PRN Med Started]]&lt;=BC$4,OR(Tbl_ResidentData[[#This Row],[PRN Med Discontinued]]&gt;BC$4,ISBLANK(Tbl_ResidentData[[#This Row],[PRN Med Discontinued]])))</f>
        <v>0</v>
      </c>
      <c r="CB111" s="121" t="b">
        <f ca="1">AND(Tbl_ResidentData[[#This Row],[PRN Med Started]]&lt;&gt;"",Tbl_ResidentData[[#This Row],[PRN Med Started]]&lt;=NOW(),Tbl_ResidentData[[#This Row],[PRN Med Started]]&lt;=BD$4,OR(Tbl_ResidentData[[#This Row],[PRN Med Discontinued]]&gt;BD$4,ISBLANK(Tbl_ResidentData[[#This Row],[PRN Med Discontinued]])))</f>
        <v>0</v>
      </c>
      <c r="CC111" s="121" t="b">
        <f ca="1">AND(Tbl_ResidentData[[#This Row],[PRN Med Started]]&lt;&gt;"",Tbl_ResidentData[[#This Row],[PRN Med Started]]&lt;=NOW(),Tbl_ResidentData[[#This Row],[PRN Med Started]]&lt;=BE$4,OR(Tbl_ResidentData[[#This Row],[PRN Med Discontinued]]&gt;BE$4,ISBLANK(Tbl_ResidentData[[#This Row],[PRN Med Discontinued]])))</f>
        <v>0</v>
      </c>
      <c r="CD111" s="121" t="b">
        <f ca="1">AND(Tbl_ResidentData[[#This Row],[PRN Med Started]]&lt;&gt;"",Tbl_ResidentData[[#This Row],[PRN Med Started]]&lt;=NOW(),Tbl_ResidentData[[#This Row],[PRN Med Started]]&lt;=BF$4,OR(Tbl_ResidentData[[#This Row],[PRN Med Discontinued]]&gt;BF$4,ISBLANK(Tbl_ResidentData[[#This Row],[PRN Med Discontinued]])))</f>
        <v>0</v>
      </c>
      <c r="CE111" s="121" t="b">
        <f ca="1">AND(Tbl_ResidentData[[#This Row],[PRN Med Started]]&lt;&gt;"",Tbl_ResidentData[[#This Row],[PRN Med Started]]&lt;=NOW(),Tbl_ResidentData[[#This Row],[PRN Med Started]]&lt;=BG$4,OR(Tbl_ResidentData[[#This Row],[PRN Med Discontinued]]&gt;BG$4,ISBLANK(Tbl_ResidentData[[#This Row],[PRN Med Discontinued]])))</f>
        <v>0</v>
      </c>
      <c r="CF111" s="121" t="b">
        <f ca="1">AND(Tbl_ResidentData[[#This Row],[PRN Med Started]]&lt;&gt;"",Tbl_ResidentData[[#This Row],[PRN Med Started]]&lt;=NOW(),Tbl_ResidentData[[#This Row],[PRN Med Started]]&lt;=BH$4,OR(Tbl_ResidentData[[#This Row],[PRN Med Discontinued]]&gt;BH$4,ISBLANK(Tbl_ResidentData[[#This Row],[PRN Med Discontinued]])))</f>
        <v>0</v>
      </c>
      <c r="CG111" s="121" t="b">
        <f ca="1">AND(Tbl_ResidentData[[#This Row],[PRN Med Started]]&lt;&gt;"",Tbl_ResidentData[[#This Row],[PRN Med Started]]&lt;=NOW(),Tbl_ResidentData[[#This Row],[PRN Med Started]]&lt;=BI$4,OR(Tbl_ResidentData[[#This Row],[PRN Med Discontinued]]&gt;BI$4,ISBLANK(Tbl_ResidentData[[#This Row],[PRN Med Discontinued]])))</f>
        <v>0</v>
      </c>
      <c r="CH111" s="121" t="b">
        <f ca="1">AND(Tbl_ResidentData[[#This Row],[PRN Med Started]]&lt;&gt;"",Tbl_ResidentData[[#This Row],[PRN Med Started]]&lt;=NOW(),Tbl_ResidentData[[#This Row],[PRN Med Started]]&lt;=BJ$4,OR(Tbl_ResidentData[[#This Row],[PRN Med Discontinued]]&gt;BJ$4,ISBLANK(Tbl_ResidentData[[#This Row],[PRN Med Discontinued]])))</f>
        <v>0</v>
      </c>
      <c r="CI111" s="121" t="b">
        <f ca="1">AND(Tbl_ResidentData[[#This Row],[PRN Med Started]]&lt;&gt;"",Tbl_ResidentData[[#This Row],[PRN Med Started]]&lt;=NOW(),Tbl_ResidentData[[#This Row],[PRN Med Started]]&lt;=BK$4,OR(Tbl_ResidentData[[#This Row],[PRN Med Discontinued]]&gt;BK$4,ISBLANK(Tbl_ResidentData[[#This Row],[PRN Med Discontinued]])))</f>
        <v>0</v>
      </c>
      <c r="CJ111" s="121" t="b">
        <f ca="1">AND(Tbl_ResidentData[[#This Row],[PRN Med Started]]&lt;&gt;"",Tbl_ResidentData[[#This Row],[PRN Med Started]]&lt;=NOW(),Tbl_ResidentData[[#This Row],[PRN Med Started]]&lt;=BL$4,OR(Tbl_ResidentData[[#This Row],[PRN Med Discontinued]]&gt;BL$4,ISBLANK(Tbl_ResidentData[[#This Row],[PRN Med Discontinued]])))</f>
        <v>0</v>
      </c>
      <c r="CK111" s="121" t="b">
        <f ca="1">AND(Tbl_ResidentData[[#This Row],[PRN Med Started]]&lt;&gt;"",Tbl_ResidentData[[#This Row],[PRN Med Started]]&lt;=NOW(),Tbl_ResidentData[[#This Row],[PRN Med Started]]&lt;=BM$4,OR(Tbl_ResidentData[[#This Row],[PRN Med Discontinued]]&gt;BM$4,ISBLANK(Tbl_ResidentData[[#This Row],[PRN Med Discontinued]])))</f>
        <v>0</v>
      </c>
      <c r="CL111" s="121" t="b">
        <f ca="1">AND(Tbl_ResidentData[[#This Row],[PRN Med Started]]&lt;&gt;"",Tbl_ResidentData[[#This Row],[PRN Med Started]]&lt;=NOW(),Tbl_ResidentData[[#This Row],[PRN Med Started]]&lt;=BN$4,OR(Tbl_ResidentData[[#This Row],[PRN Med Discontinued]]&gt;BN$4,ISBLANK(Tbl_ResidentData[[#This Row],[PRN Med Discontinued]])))</f>
        <v>0</v>
      </c>
      <c r="CM111" s="121" t="b">
        <f ca="1">AND(Tbl_ResidentData[[#This Row],[PRN Med Started]]&lt;&gt;"",Tbl_ResidentData[[#This Row],[PRN Med Started]]&lt;=NOW(),Tbl_ResidentData[[#This Row],[PRN Med Started]]&lt;=BO$4,OR(Tbl_ResidentData[[#This Row],[PRN Med Discontinued]]&gt;BO$4,ISBLANK(Tbl_ResidentData[[#This Row],[PRN Med Discontinued]])))</f>
        <v>0</v>
      </c>
      <c r="CN111" s="122" t="b">
        <f ca="1">AND(Tbl_ResidentData[[#This Row],[PRN Med Started]]&lt;&gt;"",Tbl_ResidentData[[#This Row],[PRN Med Started]]&lt;=NOW(),Tbl_ResidentData[[#This Row],[PRN Med Started]]&lt;=BP$4,OR(Tbl_ResidentData[[#This Row],[PRN Med Discontinued]]&gt;BP$4,ISBLANK(Tbl_ResidentData[[#This Row],[PRN Med Discontinued]])))</f>
        <v>0</v>
      </c>
      <c r="CO111" s="120">
        <f ca="1">IF(OR(Tbl_ResidentData[[#This Row],[S1]]=TRUE,Tbl_ResidentData[[#This Row],[P1]]=TRUE),1,0)</f>
        <v>0</v>
      </c>
      <c r="CP111" s="121">
        <f ca="1">IF(OR(Tbl_ResidentData[[#This Row],[S2]]=TRUE,Tbl_ResidentData[[#This Row],[P2]]=TRUE),1,0)</f>
        <v>0</v>
      </c>
      <c r="CQ111" s="121">
        <f ca="1">IF(OR(Tbl_ResidentData[[#This Row],[S3]]=TRUE,Tbl_ResidentData[[#This Row],[P3]]=TRUE),1,0)</f>
        <v>0</v>
      </c>
      <c r="CR111" s="120">
        <f ca="1">IF(OR(Tbl_ResidentData[[#This Row],[S4]]=TRUE,Tbl_ResidentData[[#This Row],[P4]]=TRUE),1,0)</f>
        <v>0</v>
      </c>
      <c r="CS111" s="120">
        <f ca="1">IF(OR(Tbl_ResidentData[[#This Row],[S5]]=TRUE,Tbl_ResidentData[[#This Row],[P5]]=TRUE),1,0)</f>
        <v>0</v>
      </c>
      <c r="CT111" s="120">
        <f ca="1">IF(OR(Tbl_ResidentData[[#This Row],[S6]]=TRUE,Tbl_ResidentData[[#This Row],[P6]]=TRUE),1,0)</f>
        <v>0</v>
      </c>
      <c r="CU111" s="120">
        <f ca="1">IF(OR(Tbl_ResidentData[[#This Row],[S7]]=TRUE,Tbl_ResidentData[[#This Row],[P7]]=TRUE),1,0)</f>
        <v>0</v>
      </c>
      <c r="CV111" s="120">
        <f ca="1">IF(OR(Tbl_ResidentData[[#This Row],[S8]]=TRUE,Tbl_ResidentData[[#This Row],[P8]]=TRUE),1,0)</f>
        <v>0</v>
      </c>
      <c r="CW111" s="120">
        <f ca="1">IF(OR(Tbl_ResidentData[[#This Row],[S9]]=TRUE,Tbl_ResidentData[[#This Row],[P9]]=TRUE),1,0)</f>
        <v>0</v>
      </c>
      <c r="CX111" s="120">
        <f ca="1">IF(OR(Tbl_ResidentData[[#This Row],[S10]]=TRUE,Tbl_ResidentData[[#This Row],[P10]]=TRUE),1,0)</f>
        <v>0</v>
      </c>
      <c r="CY111" s="120">
        <f ca="1">IF(OR(Tbl_ResidentData[[#This Row],[S11]]=TRUE,Tbl_ResidentData[[#This Row],[P11]]=TRUE),1,0)</f>
        <v>0</v>
      </c>
      <c r="CZ111" s="120">
        <f ca="1">IF(OR(Tbl_ResidentData[[#This Row],[S12]]=TRUE,Tbl_ResidentData[[#This Row],[P12]]=TRUE),1,0)</f>
        <v>0</v>
      </c>
      <c r="DA111" s="120">
        <f ca="1">IF(OR(Tbl_ResidentData[[#This Row],[S13]]=TRUE,Tbl_ResidentData[[#This Row],[P13]]=TRUE),1,0)</f>
        <v>0</v>
      </c>
      <c r="DB111" s="120">
        <f ca="1">IF(OR(Tbl_ResidentData[[#This Row],[S14]]=TRUE,Tbl_ResidentData[[#This Row],[P14]]=TRUE),1,0)</f>
        <v>0</v>
      </c>
      <c r="DC111" s="120">
        <f ca="1">IF(OR(Tbl_ResidentData[[#This Row],[S15]]=TRUE,Tbl_ResidentData[[#This Row],[P15]]=TRUE),1,0)</f>
        <v>0</v>
      </c>
      <c r="DD111" s="120">
        <f ca="1">IF(OR(Tbl_ResidentData[[#This Row],[S16]]=TRUE,Tbl_ResidentData[[#This Row],[P16]]=TRUE),1,0)</f>
        <v>0</v>
      </c>
      <c r="DE111" s="120">
        <f ca="1">IF(OR(Tbl_ResidentData[[#This Row],[S17]]=TRUE,Tbl_ResidentData[[#This Row],[P17]]=TRUE),1,0)</f>
        <v>0</v>
      </c>
      <c r="DF111" s="120">
        <f ca="1">IF(OR(Tbl_ResidentData[[#This Row],[S18]]=TRUE,Tbl_ResidentData[[#This Row],[P18]]=TRUE),1,0)</f>
        <v>0</v>
      </c>
      <c r="DG111" s="120">
        <f ca="1">IF(OR(Tbl_ResidentData[[#This Row],[S19]]=TRUE,Tbl_ResidentData[[#This Row],[P19]]=TRUE),1,0)</f>
        <v>0</v>
      </c>
      <c r="DH111" s="120">
        <f ca="1">IF(OR(Tbl_ResidentData[[#This Row],[S20]]=TRUE,Tbl_ResidentData[[#This Row],[P20]]=TRUE),1,0)</f>
        <v>0</v>
      </c>
      <c r="DI111" s="120">
        <f ca="1">IF(OR(Tbl_ResidentData[[#This Row],[S21]]=TRUE,Tbl_ResidentData[[#This Row],[P21]]=TRUE),1,0)</f>
        <v>0</v>
      </c>
      <c r="DJ111" s="120">
        <f ca="1">IF(OR(Tbl_ResidentData[[#This Row],[S22]]=TRUE,Tbl_ResidentData[[#This Row],[P22]]=TRUE),1,0)</f>
        <v>0</v>
      </c>
      <c r="DK111" s="120">
        <f ca="1">IF(OR(Tbl_ResidentData[[#This Row],[S23]]=TRUE,Tbl_ResidentData[[#This Row],[P23]]=TRUE),1,0)</f>
        <v>0</v>
      </c>
      <c r="DL111" s="120">
        <f ca="1">IF(OR(Tbl_ResidentData[[#This Row],[S24]]=TRUE,Tbl_ResidentData[[#This Row],[P24]]=TRUE),1,0)</f>
        <v>0</v>
      </c>
      <c r="DM111" s="123" t="str">
        <f ca="1">IFERROR(INDEX($CO$4:$DL$4,MATCH(TRUE,INDEX((Tbl_ResidentData[[#This Row],[Over1]:[Over24]]&lt;&gt;0),0),0)),"")</f>
        <v/>
      </c>
      <c r="DN111" s="133" t="str">
        <f>IFERROR(INDEX(Tbl_PDSAData[Last DRT],MATCH(Tbl_ResidentData[Resident Name '[last, first']],Tbl_PDSAData[Resident Name (last, first)],0)),"")</f>
        <v/>
      </c>
      <c r="DO111" s="222" t="str">
        <f>IFERROR(INDEX(Tbl_PDSAData[Last MR],MATCH(Tbl_ResidentData[Resident Name '[last, first']],Tbl_PDSAData[Resident Name (last, first)],0)),"")</f>
        <v/>
      </c>
    </row>
    <row r="112" spans="1:119" x14ac:dyDescent="0.25">
      <c r="A112" s="179"/>
      <c r="B112" s="180"/>
      <c r="C112" s="180"/>
      <c r="D112" s="218"/>
      <c r="E112" s="179"/>
      <c r="F112" s="181"/>
      <c r="G112" s="181"/>
      <c r="H112" s="375"/>
      <c r="I112" s="185"/>
      <c r="J112" s="387"/>
      <c r="K112" s="178"/>
      <c r="L112" s="388"/>
      <c r="M112" s="185"/>
      <c r="N112" s="386"/>
      <c r="O112" s="178"/>
      <c r="P112" s="388"/>
      <c r="Q112" s="394"/>
      <c r="R112" s="388"/>
      <c r="S112" s="131" t="str">
        <f>IF(ISBLANK(Tbl_ResidentData[[#This Row],[Discharge '[mmm-yyyy']]]),IF(ISBLANK(Tbl_ResidentData[[#This Row],[Enrollment '[mmm-yyyy']]]),"","In Care Home"),"Discharged")</f>
        <v/>
      </c>
      <c r="T112" s="119" t="str">
        <f>IF(ISBLANK(Tbl_ResidentData[[#This Row],[Diagnosis (RAI)]]),IF(ISBLANK(Tbl_ResidentData[[#This Row],[Resident Name '[last, first']]]),"",0),IF(Tbl_ResidentData[[#This Row],[Diagnosis (RAI)]]="Other (see clinical notes)",0,1))</f>
        <v/>
      </c>
      <c r="U112" s="120" t="str">
        <f ca="1">IF(U$4&gt;NOW(),"-",IF(ISBLANK(Tbl_ResidentData[[#This Row],[Enrollment '[mmm-yyyy']]]),"-",AND((Tbl_ResidentData[[#This Row],[Enrollment '[mmm-yyyy']]]&lt;=U$4),IF(ISBLANK(Tbl_ResidentData[[#This Row],[Discharge '[mmm-yyyy']]]),TRUE,(Tbl_ResidentData[[#This Row],[Discharge '[mmm-yyyy']]]&gt;=U$4)))))</f>
        <v>-</v>
      </c>
      <c r="V112" s="121" t="str">
        <f ca="1">IF(V$4&gt;NOW(),"-",IF(ISBLANK(Tbl_ResidentData[[#This Row],[Enrollment '[mmm-yyyy']]]),"-",AND((Tbl_ResidentData[[#This Row],[Enrollment '[mmm-yyyy']]]&lt;=V$4),IF(ISBLANK(Tbl_ResidentData[[#This Row],[Discharge '[mmm-yyyy']]]),TRUE,(Tbl_ResidentData[[#This Row],[Discharge '[mmm-yyyy']]]&gt;=V$4)))))</f>
        <v>-</v>
      </c>
      <c r="W112" s="121" t="str">
        <f ca="1">IF(W$4&gt;NOW(),"-",IF(ISBLANK(Tbl_ResidentData[[#This Row],[Enrollment '[mmm-yyyy']]]),"-",AND((Tbl_ResidentData[[#This Row],[Enrollment '[mmm-yyyy']]]&lt;=W$4),IF(ISBLANK(Tbl_ResidentData[[#This Row],[Discharge '[mmm-yyyy']]]),TRUE,(Tbl_ResidentData[[#This Row],[Discharge '[mmm-yyyy']]]&gt;=W$4)))))</f>
        <v>-</v>
      </c>
      <c r="X112" s="121" t="str">
        <f ca="1">IF(X$4&gt;NOW(),"-",IF(ISBLANK(Tbl_ResidentData[[#This Row],[Enrollment '[mmm-yyyy']]]),"-",AND((Tbl_ResidentData[[#This Row],[Enrollment '[mmm-yyyy']]]&lt;=X$4),IF(ISBLANK(Tbl_ResidentData[[#This Row],[Discharge '[mmm-yyyy']]]),TRUE,(Tbl_ResidentData[[#This Row],[Discharge '[mmm-yyyy']]]&gt;=X$4)))))</f>
        <v>-</v>
      </c>
      <c r="Y112" s="121" t="str">
        <f ca="1">IF(Y$4&gt;NOW(),"-",IF(ISBLANK(Tbl_ResidentData[[#This Row],[Enrollment '[mmm-yyyy']]]),"-",AND((Tbl_ResidentData[[#This Row],[Enrollment '[mmm-yyyy']]]&lt;=Y$4),IF(ISBLANK(Tbl_ResidentData[[#This Row],[Discharge '[mmm-yyyy']]]),TRUE,(Tbl_ResidentData[[#This Row],[Discharge '[mmm-yyyy']]]&gt;=Y$4)))))</f>
        <v>-</v>
      </c>
      <c r="Z112" s="121" t="str">
        <f ca="1">IF(Z$4&gt;NOW(),"-",IF(ISBLANK(Tbl_ResidentData[[#This Row],[Enrollment '[mmm-yyyy']]]),"-",AND((Tbl_ResidentData[[#This Row],[Enrollment '[mmm-yyyy']]]&lt;=Z$4),IF(ISBLANK(Tbl_ResidentData[[#This Row],[Discharge '[mmm-yyyy']]]),TRUE,(Tbl_ResidentData[[#This Row],[Discharge '[mmm-yyyy']]]&gt;=Z$4)))))</f>
        <v>-</v>
      </c>
      <c r="AA112" s="121" t="str">
        <f ca="1">IF(AA$4&gt;NOW(),"-",IF(ISBLANK(Tbl_ResidentData[[#This Row],[Enrollment '[mmm-yyyy']]]),"-",AND((Tbl_ResidentData[[#This Row],[Enrollment '[mmm-yyyy']]]&lt;=AA$4),IF(ISBLANK(Tbl_ResidentData[[#This Row],[Discharge '[mmm-yyyy']]]),TRUE,(Tbl_ResidentData[[#This Row],[Discharge '[mmm-yyyy']]]&gt;=AA$4)))))</f>
        <v>-</v>
      </c>
      <c r="AB112" s="121" t="str">
        <f ca="1">IF(AB$4&gt;NOW(),"-",IF(ISBLANK(Tbl_ResidentData[[#This Row],[Enrollment '[mmm-yyyy']]]),"-",AND((Tbl_ResidentData[[#This Row],[Enrollment '[mmm-yyyy']]]&lt;=AB$4),IF(ISBLANK(Tbl_ResidentData[[#This Row],[Discharge '[mmm-yyyy']]]),TRUE,(Tbl_ResidentData[[#This Row],[Discharge '[mmm-yyyy']]]&gt;=AB$4)))))</f>
        <v>-</v>
      </c>
      <c r="AC112" s="121" t="str">
        <f ca="1">IF(AC$4&gt;NOW(),"-",IF(ISBLANK(Tbl_ResidentData[[#This Row],[Enrollment '[mmm-yyyy']]]),"-",AND((Tbl_ResidentData[[#This Row],[Enrollment '[mmm-yyyy']]]&lt;=AC$4),IF(ISBLANK(Tbl_ResidentData[[#This Row],[Discharge '[mmm-yyyy']]]),TRUE,(Tbl_ResidentData[[#This Row],[Discharge '[mmm-yyyy']]]&gt;=AC$4)))))</f>
        <v>-</v>
      </c>
      <c r="AD112" s="121" t="str">
        <f ca="1">IF(AD$4&gt;NOW(),"-",IF(ISBLANK(Tbl_ResidentData[[#This Row],[Enrollment '[mmm-yyyy']]]),"-",AND((Tbl_ResidentData[[#This Row],[Enrollment '[mmm-yyyy']]]&lt;=AD$4),IF(ISBLANK(Tbl_ResidentData[[#This Row],[Discharge '[mmm-yyyy']]]),TRUE,(Tbl_ResidentData[[#This Row],[Discharge '[mmm-yyyy']]]&gt;=AD$4)))))</f>
        <v>-</v>
      </c>
      <c r="AE112" s="121" t="str">
        <f ca="1">IF(AE$4&gt;NOW(),"-",IF(ISBLANK(Tbl_ResidentData[[#This Row],[Enrollment '[mmm-yyyy']]]),"-",AND((Tbl_ResidentData[[#This Row],[Enrollment '[mmm-yyyy']]]&lt;=AE$4),IF(ISBLANK(Tbl_ResidentData[[#This Row],[Discharge '[mmm-yyyy']]]),TRUE,(Tbl_ResidentData[[#This Row],[Discharge '[mmm-yyyy']]]&gt;=AE$4)))))</f>
        <v>-</v>
      </c>
      <c r="AF112" s="121" t="str">
        <f ca="1">IF(AF$4&gt;NOW(),"-",IF(ISBLANK(Tbl_ResidentData[[#This Row],[Enrollment '[mmm-yyyy']]]),"-",AND((Tbl_ResidentData[[#This Row],[Enrollment '[mmm-yyyy']]]&lt;=AF$4),IF(ISBLANK(Tbl_ResidentData[[#This Row],[Discharge '[mmm-yyyy']]]),TRUE,(Tbl_ResidentData[[#This Row],[Discharge '[mmm-yyyy']]]&gt;=AF$4)))))</f>
        <v>-</v>
      </c>
      <c r="AG112" s="121" t="str">
        <f ca="1">IF(AG$4&gt;NOW(),"-",IF(ISBLANK(Tbl_ResidentData[[#This Row],[Enrollment '[mmm-yyyy']]]),"-",AND((Tbl_ResidentData[[#This Row],[Enrollment '[mmm-yyyy']]]&lt;=AG$4),IF(ISBLANK(Tbl_ResidentData[[#This Row],[Discharge '[mmm-yyyy']]]),TRUE,(Tbl_ResidentData[[#This Row],[Discharge '[mmm-yyyy']]]&gt;=AG$4)))))</f>
        <v>-</v>
      </c>
      <c r="AH112" s="121" t="str">
        <f ca="1">IF(AH$4&gt;NOW(),"-",IF(ISBLANK(Tbl_ResidentData[[#This Row],[Enrollment '[mmm-yyyy']]]),"-",AND((Tbl_ResidentData[[#This Row],[Enrollment '[mmm-yyyy']]]&lt;=AH$4),IF(ISBLANK(Tbl_ResidentData[[#This Row],[Discharge '[mmm-yyyy']]]),TRUE,(Tbl_ResidentData[[#This Row],[Discharge '[mmm-yyyy']]]&gt;=AH$4)))))</f>
        <v>-</v>
      </c>
      <c r="AI112" s="121" t="str">
        <f ca="1">IF(AI$4&gt;NOW(),"-",IF(ISBLANK(Tbl_ResidentData[[#This Row],[Enrollment '[mmm-yyyy']]]),"-",AND((Tbl_ResidentData[[#This Row],[Enrollment '[mmm-yyyy']]]&lt;=AI$4),IF(ISBLANK(Tbl_ResidentData[[#This Row],[Discharge '[mmm-yyyy']]]),TRUE,(Tbl_ResidentData[[#This Row],[Discharge '[mmm-yyyy']]]&gt;=AI$4)))))</f>
        <v>-</v>
      </c>
      <c r="AJ112" s="121" t="str">
        <f ca="1">IF(AJ$4&gt;NOW(),"-",IF(ISBLANK(Tbl_ResidentData[[#This Row],[Enrollment '[mmm-yyyy']]]),"-",AND((Tbl_ResidentData[[#This Row],[Enrollment '[mmm-yyyy']]]&lt;=AJ$4),IF(ISBLANK(Tbl_ResidentData[[#This Row],[Discharge '[mmm-yyyy']]]),TRUE,(Tbl_ResidentData[[#This Row],[Discharge '[mmm-yyyy']]]&gt;=AJ$4)))))</f>
        <v>-</v>
      </c>
      <c r="AK112" s="121" t="str">
        <f ca="1">IF(AK$4&gt;NOW(),"-",IF(ISBLANK(Tbl_ResidentData[[#This Row],[Enrollment '[mmm-yyyy']]]),"-",AND((Tbl_ResidentData[[#This Row],[Enrollment '[mmm-yyyy']]]&lt;=AK$4),IF(ISBLANK(Tbl_ResidentData[[#This Row],[Discharge '[mmm-yyyy']]]),TRUE,(Tbl_ResidentData[[#This Row],[Discharge '[mmm-yyyy']]]&gt;=AK$4)))))</f>
        <v>-</v>
      </c>
      <c r="AL112" s="121" t="str">
        <f ca="1">IF(AL$4&gt;NOW(),"-",IF(ISBLANK(Tbl_ResidentData[[#This Row],[Enrollment '[mmm-yyyy']]]),"-",AND((Tbl_ResidentData[[#This Row],[Enrollment '[mmm-yyyy']]]&lt;=AL$4),IF(ISBLANK(Tbl_ResidentData[[#This Row],[Discharge '[mmm-yyyy']]]),TRUE,(Tbl_ResidentData[[#This Row],[Discharge '[mmm-yyyy']]]&gt;=AL$4)))))</f>
        <v>-</v>
      </c>
      <c r="AM112" s="121" t="str">
        <f ca="1">IF(AM$4&gt;NOW(),"-",IF(ISBLANK(Tbl_ResidentData[[#This Row],[Enrollment '[mmm-yyyy']]]),"-",AND((Tbl_ResidentData[[#This Row],[Enrollment '[mmm-yyyy']]]&lt;=AM$4),IF(ISBLANK(Tbl_ResidentData[[#This Row],[Discharge '[mmm-yyyy']]]),TRUE,(Tbl_ResidentData[[#This Row],[Discharge '[mmm-yyyy']]]&gt;=AM$4)))))</f>
        <v>-</v>
      </c>
      <c r="AN112" s="121" t="str">
        <f ca="1">IF(AN$4&gt;NOW(),"-",IF(ISBLANK(Tbl_ResidentData[[#This Row],[Enrollment '[mmm-yyyy']]]),"-",AND((Tbl_ResidentData[[#This Row],[Enrollment '[mmm-yyyy']]]&lt;=AN$4),IF(ISBLANK(Tbl_ResidentData[[#This Row],[Discharge '[mmm-yyyy']]]),TRUE,(Tbl_ResidentData[[#This Row],[Discharge '[mmm-yyyy']]]&gt;=AN$4)))))</f>
        <v>-</v>
      </c>
      <c r="AO112" s="121" t="str">
        <f ca="1">IF(AO$4&gt;NOW(),"-",IF(ISBLANK(Tbl_ResidentData[[#This Row],[Enrollment '[mmm-yyyy']]]),"-",AND((Tbl_ResidentData[[#This Row],[Enrollment '[mmm-yyyy']]]&lt;=AO$4),IF(ISBLANK(Tbl_ResidentData[[#This Row],[Discharge '[mmm-yyyy']]]),TRUE,(Tbl_ResidentData[[#This Row],[Discharge '[mmm-yyyy']]]&gt;=AO$4)))))</f>
        <v>-</v>
      </c>
      <c r="AP112" s="121" t="str">
        <f ca="1">IF(AP$4&gt;NOW(),"-",IF(ISBLANK(Tbl_ResidentData[[#This Row],[Enrollment '[mmm-yyyy']]]),"-",AND((Tbl_ResidentData[[#This Row],[Enrollment '[mmm-yyyy']]]&lt;=AP$4),IF(ISBLANK(Tbl_ResidentData[[#This Row],[Discharge '[mmm-yyyy']]]),TRUE,(Tbl_ResidentData[[#This Row],[Discharge '[mmm-yyyy']]]&gt;=AP$4)))))</f>
        <v>-</v>
      </c>
      <c r="AQ112" s="121" t="str">
        <f ca="1">IF(AQ$4&gt;NOW(),"-",IF(ISBLANK(Tbl_ResidentData[[#This Row],[Enrollment '[mmm-yyyy']]]),"-",AND((Tbl_ResidentData[[#This Row],[Enrollment '[mmm-yyyy']]]&lt;=AQ$4),IF(ISBLANK(Tbl_ResidentData[[#This Row],[Discharge '[mmm-yyyy']]]),TRUE,(Tbl_ResidentData[[#This Row],[Discharge '[mmm-yyyy']]]&gt;=AQ$4)))))</f>
        <v>-</v>
      </c>
      <c r="AR112" s="122" t="str">
        <f ca="1">IF(AR$4&gt;NOW(),"-",IF(ISBLANK(Tbl_ResidentData[[#This Row],[Enrollment '[mmm-yyyy']]]),"-",AND((Tbl_ResidentData[[#This Row],[Enrollment '[mmm-yyyy']]]&lt;=AR$4),IF(ISBLANK(Tbl_ResidentData[[#This Row],[Discharge '[mmm-yyyy']]]),TRUE,(Tbl_ResidentData[[#This Row],[Discharge '[mmm-yyyy']]]&gt;=AR$4)))))</f>
        <v>-</v>
      </c>
      <c r="AS11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2" s="120" t="b">
        <f ca="1">AND(Tbl_ResidentData[[#This Row],[PRN Med Started]]&lt;&gt;"",Tbl_ResidentData[[#This Row],[PRN Med Started]]&lt;=NOW(),Tbl_ResidentData[[#This Row],[PRN Med Started]]&lt;=AS$4,OR(Tbl_ResidentData[[#This Row],[PRN Med Discontinued]]&gt;AS$4,ISBLANK(Tbl_ResidentData[[#This Row],[PRN Med Discontinued]])))</f>
        <v>0</v>
      </c>
      <c r="BR112" s="121" t="b">
        <f ca="1">AND(Tbl_ResidentData[[#This Row],[PRN Med Started]]&lt;&gt;"",Tbl_ResidentData[[#This Row],[PRN Med Started]]&lt;=NOW(),Tbl_ResidentData[[#This Row],[PRN Med Started]]&lt;=AT$4,OR(Tbl_ResidentData[[#This Row],[PRN Med Discontinued]]&gt;AT$4,ISBLANK(Tbl_ResidentData[[#This Row],[PRN Med Discontinued]])))</f>
        <v>0</v>
      </c>
      <c r="BS112" s="121" t="b">
        <f ca="1">AND(Tbl_ResidentData[[#This Row],[PRN Med Started]]&lt;&gt;"",Tbl_ResidentData[[#This Row],[PRN Med Started]]&lt;=NOW(),Tbl_ResidentData[[#This Row],[PRN Med Started]]&lt;=AU$4,OR(Tbl_ResidentData[[#This Row],[PRN Med Discontinued]]&gt;AU$4,ISBLANK(Tbl_ResidentData[[#This Row],[PRN Med Discontinued]])))</f>
        <v>0</v>
      </c>
      <c r="BT112" s="121" t="b">
        <f ca="1">AND(Tbl_ResidentData[[#This Row],[PRN Med Started]]&lt;&gt;"",Tbl_ResidentData[[#This Row],[PRN Med Started]]&lt;=NOW(),Tbl_ResidentData[[#This Row],[PRN Med Started]]&lt;=AV$4,OR(Tbl_ResidentData[[#This Row],[PRN Med Discontinued]]&gt;AV$4,ISBLANK(Tbl_ResidentData[[#This Row],[PRN Med Discontinued]])))</f>
        <v>0</v>
      </c>
      <c r="BU112" s="121" t="b">
        <f ca="1">AND(Tbl_ResidentData[[#This Row],[PRN Med Started]]&lt;&gt;"",Tbl_ResidentData[[#This Row],[PRN Med Started]]&lt;=NOW(),Tbl_ResidentData[[#This Row],[PRN Med Started]]&lt;=AW$4,OR(Tbl_ResidentData[[#This Row],[PRN Med Discontinued]]&gt;AW$4,ISBLANK(Tbl_ResidentData[[#This Row],[PRN Med Discontinued]])))</f>
        <v>0</v>
      </c>
      <c r="BV112" s="121" t="b">
        <f ca="1">AND(Tbl_ResidentData[[#This Row],[PRN Med Started]]&lt;&gt;"",Tbl_ResidentData[[#This Row],[PRN Med Started]]&lt;=NOW(),Tbl_ResidentData[[#This Row],[PRN Med Started]]&lt;=AX$4,OR(Tbl_ResidentData[[#This Row],[PRN Med Discontinued]]&gt;AX$4,ISBLANK(Tbl_ResidentData[[#This Row],[PRN Med Discontinued]])))</f>
        <v>0</v>
      </c>
      <c r="BW112" s="121" t="b">
        <f ca="1">AND(Tbl_ResidentData[[#This Row],[PRN Med Started]]&lt;&gt;"",Tbl_ResidentData[[#This Row],[PRN Med Started]]&lt;=NOW(),Tbl_ResidentData[[#This Row],[PRN Med Started]]&lt;=AY$4,OR(Tbl_ResidentData[[#This Row],[PRN Med Discontinued]]&gt;AY$4,ISBLANK(Tbl_ResidentData[[#This Row],[PRN Med Discontinued]])))</f>
        <v>0</v>
      </c>
      <c r="BX112" s="121" t="b">
        <f ca="1">AND(Tbl_ResidentData[[#This Row],[PRN Med Started]]&lt;&gt;"",Tbl_ResidentData[[#This Row],[PRN Med Started]]&lt;=NOW(),Tbl_ResidentData[[#This Row],[PRN Med Started]]&lt;=AZ$4,OR(Tbl_ResidentData[[#This Row],[PRN Med Discontinued]]&gt;AZ$4,ISBLANK(Tbl_ResidentData[[#This Row],[PRN Med Discontinued]])))</f>
        <v>0</v>
      </c>
      <c r="BY112" s="121" t="b">
        <f ca="1">AND(Tbl_ResidentData[[#This Row],[PRN Med Started]]&lt;&gt;"",Tbl_ResidentData[[#This Row],[PRN Med Started]]&lt;=NOW(),Tbl_ResidentData[[#This Row],[PRN Med Started]]&lt;=BA$4,OR(Tbl_ResidentData[[#This Row],[PRN Med Discontinued]]&gt;BA$4,ISBLANK(Tbl_ResidentData[[#This Row],[PRN Med Discontinued]])))</f>
        <v>0</v>
      </c>
      <c r="BZ112" s="121" t="b">
        <f ca="1">AND(Tbl_ResidentData[[#This Row],[PRN Med Started]]&lt;&gt;"",Tbl_ResidentData[[#This Row],[PRN Med Started]]&lt;=NOW(),Tbl_ResidentData[[#This Row],[PRN Med Started]]&lt;=BB$4,OR(Tbl_ResidentData[[#This Row],[PRN Med Discontinued]]&gt;BB$4,ISBLANK(Tbl_ResidentData[[#This Row],[PRN Med Discontinued]])))</f>
        <v>0</v>
      </c>
      <c r="CA112" s="121" t="b">
        <f ca="1">AND(Tbl_ResidentData[[#This Row],[PRN Med Started]]&lt;&gt;"",Tbl_ResidentData[[#This Row],[PRN Med Started]]&lt;=NOW(),Tbl_ResidentData[[#This Row],[PRN Med Started]]&lt;=BC$4,OR(Tbl_ResidentData[[#This Row],[PRN Med Discontinued]]&gt;BC$4,ISBLANK(Tbl_ResidentData[[#This Row],[PRN Med Discontinued]])))</f>
        <v>0</v>
      </c>
      <c r="CB112" s="121" t="b">
        <f ca="1">AND(Tbl_ResidentData[[#This Row],[PRN Med Started]]&lt;&gt;"",Tbl_ResidentData[[#This Row],[PRN Med Started]]&lt;=NOW(),Tbl_ResidentData[[#This Row],[PRN Med Started]]&lt;=BD$4,OR(Tbl_ResidentData[[#This Row],[PRN Med Discontinued]]&gt;BD$4,ISBLANK(Tbl_ResidentData[[#This Row],[PRN Med Discontinued]])))</f>
        <v>0</v>
      </c>
      <c r="CC112" s="121" t="b">
        <f ca="1">AND(Tbl_ResidentData[[#This Row],[PRN Med Started]]&lt;&gt;"",Tbl_ResidentData[[#This Row],[PRN Med Started]]&lt;=NOW(),Tbl_ResidentData[[#This Row],[PRN Med Started]]&lt;=BE$4,OR(Tbl_ResidentData[[#This Row],[PRN Med Discontinued]]&gt;BE$4,ISBLANK(Tbl_ResidentData[[#This Row],[PRN Med Discontinued]])))</f>
        <v>0</v>
      </c>
      <c r="CD112" s="121" t="b">
        <f ca="1">AND(Tbl_ResidentData[[#This Row],[PRN Med Started]]&lt;&gt;"",Tbl_ResidentData[[#This Row],[PRN Med Started]]&lt;=NOW(),Tbl_ResidentData[[#This Row],[PRN Med Started]]&lt;=BF$4,OR(Tbl_ResidentData[[#This Row],[PRN Med Discontinued]]&gt;BF$4,ISBLANK(Tbl_ResidentData[[#This Row],[PRN Med Discontinued]])))</f>
        <v>0</v>
      </c>
      <c r="CE112" s="121" t="b">
        <f ca="1">AND(Tbl_ResidentData[[#This Row],[PRN Med Started]]&lt;&gt;"",Tbl_ResidentData[[#This Row],[PRN Med Started]]&lt;=NOW(),Tbl_ResidentData[[#This Row],[PRN Med Started]]&lt;=BG$4,OR(Tbl_ResidentData[[#This Row],[PRN Med Discontinued]]&gt;BG$4,ISBLANK(Tbl_ResidentData[[#This Row],[PRN Med Discontinued]])))</f>
        <v>0</v>
      </c>
      <c r="CF112" s="121" t="b">
        <f ca="1">AND(Tbl_ResidentData[[#This Row],[PRN Med Started]]&lt;&gt;"",Tbl_ResidentData[[#This Row],[PRN Med Started]]&lt;=NOW(),Tbl_ResidentData[[#This Row],[PRN Med Started]]&lt;=BH$4,OR(Tbl_ResidentData[[#This Row],[PRN Med Discontinued]]&gt;BH$4,ISBLANK(Tbl_ResidentData[[#This Row],[PRN Med Discontinued]])))</f>
        <v>0</v>
      </c>
      <c r="CG112" s="121" t="b">
        <f ca="1">AND(Tbl_ResidentData[[#This Row],[PRN Med Started]]&lt;&gt;"",Tbl_ResidentData[[#This Row],[PRN Med Started]]&lt;=NOW(),Tbl_ResidentData[[#This Row],[PRN Med Started]]&lt;=BI$4,OR(Tbl_ResidentData[[#This Row],[PRN Med Discontinued]]&gt;BI$4,ISBLANK(Tbl_ResidentData[[#This Row],[PRN Med Discontinued]])))</f>
        <v>0</v>
      </c>
      <c r="CH112" s="121" t="b">
        <f ca="1">AND(Tbl_ResidentData[[#This Row],[PRN Med Started]]&lt;&gt;"",Tbl_ResidentData[[#This Row],[PRN Med Started]]&lt;=NOW(),Tbl_ResidentData[[#This Row],[PRN Med Started]]&lt;=BJ$4,OR(Tbl_ResidentData[[#This Row],[PRN Med Discontinued]]&gt;BJ$4,ISBLANK(Tbl_ResidentData[[#This Row],[PRN Med Discontinued]])))</f>
        <v>0</v>
      </c>
      <c r="CI112" s="121" t="b">
        <f ca="1">AND(Tbl_ResidentData[[#This Row],[PRN Med Started]]&lt;&gt;"",Tbl_ResidentData[[#This Row],[PRN Med Started]]&lt;=NOW(),Tbl_ResidentData[[#This Row],[PRN Med Started]]&lt;=BK$4,OR(Tbl_ResidentData[[#This Row],[PRN Med Discontinued]]&gt;BK$4,ISBLANK(Tbl_ResidentData[[#This Row],[PRN Med Discontinued]])))</f>
        <v>0</v>
      </c>
      <c r="CJ112" s="121" t="b">
        <f ca="1">AND(Tbl_ResidentData[[#This Row],[PRN Med Started]]&lt;&gt;"",Tbl_ResidentData[[#This Row],[PRN Med Started]]&lt;=NOW(),Tbl_ResidentData[[#This Row],[PRN Med Started]]&lt;=BL$4,OR(Tbl_ResidentData[[#This Row],[PRN Med Discontinued]]&gt;BL$4,ISBLANK(Tbl_ResidentData[[#This Row],[PRN Med Discontinued]])))</f>
        <v>0</v>
      </c>
      <c r="CK112" s="121" t="b">
        <f ca="1">AND(Tbl_ResidentData[[#This Row],[PRN Med Started]]&lt;&gt;"",Tbl_ResidentData[[#This Row],[PRN Med Started]]&lt;=NOW(),Tbl_ResidentData[[#This Row],[PRN Med Started]]&lt;=BM$4,OR(Tbl_ResidentData[[#This Row],[PRN Med Discontinued]]&gt;BM$4,ISBLANK(Tbl_ResidentData[[#This Row],[PRN Med Discontinued]])))</f>
        <v>0</v>
      </c>
      <c r="CL112" s="121" t="b">
        <f ca="1">AND(Tbl_ResidentData[[#This Row],[PRN Med Started]]&lt;&gt;"",Tbl_ResidentData[[#This Row],[PRN Med Started]]&lt;=NOW(),Tbl_ResidentData[[#This Row],[PRN Med Started]]&lt;=BN$4,OR(Tbl_ResidentData[[#This Row],[PRN Med Discontinued]]&gt;BN$4,ISBLANK(Tbl_ResidentData[[#This Row],[PRN Med Discontinued]])))</f>
        <v>0</v>
      </c>
      <c r="CM112" s="121" t="b">
        <f ca="1">AND(Tbl_ResidentData[[#This Row],[PRN Med Started]]&lt;&gt;"",Tbl_ResidentData[[#This Row],[PRN Med Started]]&lt;=NOW(),Tbl_ResidentData[[#This Row],[PRN Med Started]]&lt;=BO$4,OR(Tbl_ResidentData[[#This Row],[PRN Med Discontinued]]&gt;BO$4,ISBLANK(Tbl_ResidentData[[#This Row],[PRN Med Discontinued]])))</f>
        <v>0</v>
      </c>
      <c r="CN112" s="122" t="b">
        <f ca="1">AND(Tbl_ResidentData[[#This Row],[PRN Med Started]]&lt;&gt;"",Tbl_ResidentData[[#This Row],[PRN Med Started]]&lt;=NOW(),Tbl_ResidentData[[#This Row],[PRN Med Started]]&lt;=BP$4,OR(Tbl_ResidentData[[#This Row],[PRN Med Discontinued]]&gt;BP$4,ISBLANK(Tbl_ResidentData[[#This Row],[PRN Med Discontinued]])))</f>
        <v>0</v>
      </c>
      <c r="CO112" s="120">
        <f ca="1">IF(OR(Tbl_ResidentData[[#This Row],[S1]]=TRUE,Tbl_ResidentData[[#This Row],[P1]]=TRUE),1,0)</f>
        <v>0</v>
      </c>
      <c r="CP112" s="121">
        <f ca="1">IF(OR(Tbl_ResidentData[[#This Row],[S2]]=TRUE,Tbl_ResidentData[[#This Row],[P2]]=TRUE),1,0)</f>
        <v>0</v>
      </c>
      <c r="CQ112" s="121">
        <f ca="1">IF(OR(Tbl_ResidentData[[#This Row],[S3]]=TRUE,Tbl_ResidentData[[#This Row],[P3]]=TRUE),1,0)</f>
        <v>0</v>
      </c>
      <c r="CR112" s="120">
        <f ca="1">IF(OR(Tbl_ResidentData[[#This Row],[S4]]=TRUE,Tbl_ResidentData[[#This Row],[P4]]=TRUE),1,0)</f>
        <v>0</v>
      </c>
      <c r="CS112" s="120">
        <f ca="1">IF(OR(Tbl_ResidentData[[#This Row],[S5]]=TRUE,Tbl_ResidentData[[#This Row],[P5]]=TRUE),1,0)</f>
        <v>0</v>
      </c>
      <c r="CT112" s="120">
        <f ca="1">IF(OR(Tbl_ResidentData[[#This Row],[S6]]=TRUE,Tbl_ResidentData[[#This Row],[P6]]=TRUE),1,0)</f>
        <v>0</v>
      </c>
      <c r="CU112" s="120">
        <f ca="1">IF(OR(Tbl_ResidentData[[#This Row],[S7]]=TRUE,Tbl_ResidentData[[#This Row],[P7]]=TRUE),1,0)</f>
        <v>0</v>
      </c>
      <c r="CV112" s="120">
        <f ca="1">IF(OR(Tbl_ResidentData[[#This Row],[S8]]=TRUE,Tbl_ResidentData[[#This Row],[P8]]=TRUE),1,0)</f>
        <v>0</v>
      </c>
      <c r="CW112" s="120">
        <f ca="1">IF(OR(Tbl_ResidentData[[#This Row],[S9]]=TRUE,Tbl_ResidentData[[#This Row],[P9]]=TRUE),1,0)</f>
        <v>0</v>
      </c>
      <c r="CX112" s="120">
        <f ca="1">IF(OR(Tbl_ResidentData[[#This Row],[S10]]=TRUE,Tbl_ResidentData[[#This Row],[P10]]=TRUE),1,0)</f>
        <v>0</v>
      </c>
      <c r="CY112" s="120">
        <f ca="1">IF(OR(Tbl_ResidentData[[#This Row],[S11]]=TRUE,Tbl_ResidentData[[#This Row],[P11]]=TRUE),1,0)</f>
        <v>0</v>
      </c>
      <c r="CZ112" s="120">
        <f ca="1">IF(OR(Tbl_ResidentData[[#This Row],[S12]]=TRUE,Tbl_ResidentData[[#This Row],[P12]]=TRUE),1,0)</f>
        <v>0</v>
      </c>
      <c r="DA112" s="120">
        <f ca="1">IF(OR(Tbl_ResidentData[[#This Row],[S13]]=TRUE,Tbl_ResidentData[[#This Row],[P13]]=TRUE),1,0)</f>
        <v>0</v>
      </c>
      <c r="DB112" s="120">
        <f ca="1">IF(OR(Tbl_ResidentData[[#This Row],[S14]]=TRUE,Tbl_ResidentData[[#This Row],[P14]]=TRUE),1,0)</f>
        <v>0</v>
      </c>
      <c r="DC112" s="120">
        <f ca="1">IF(OR(Tbl_ResidentData[[#This Row],[S15]]=TRUE,Tbl_ResidentData[[#This Row],[P15]]=TRUE),1,0)</f>
        <v>0</v>
      </c>
      <c r="DD112" s="120">
        <f ca="1">IF(OR(Tbl_ResidentData[[#This Row],[S16]]=TRUE,Tbl_ResidentData[[#This Row],[P16]]=TRUE),1,0)</f>
        <v>0</v>
      </c>
      <c r="DE112" s="120">
        <f ca="1">IF(OR(Tbl_ResidentData[[#This Row],[S17]]=TRUE,Tbl_ResidentData[[#This Row],[P17]]=TRUE),1,0)</f>
        <v>0</v>
      </c>
      <c r="DF112" s="120">
        <f ca="1">IF(OR(Tbl_ResidentData[[#This Row],[S18]]=TRUE,Tbl_ResidentData[[#This Row],[P18]]=TRUE),1,0)</f>
        <v>0</v>
      </c>
      <c r="DG112" s="120">
        <f ca="1">IF(OR(Tbl_ResidentData[[#This Row],[S19]]=TRUE,Tbl_ResidentData[[#This Row],[P19]]=TRUE),1,0)</f>
        <v>0</v>
      </c>
      <c r="DH112" s="120">
        <f ca="1">IF(OR(Tbl_ResidentData[[#This Row],[S20]]=TRUE,Tbl_ResidentData[[#This Row],[P20]]=TRUE),1,0)</f>
        <v>0</v>
      </c>
      <c r="DI112" s="120">
        <f ca="1">IF(OR(Tbl_ResidentData[[#This Row],[S21]]=TRUE,Tbl_ResidentData[[#This Row],[P21]]=TRUE),1,0)</f>
        <v>0</v>
      </c>
      <c r="DJ112" s="120">
        <f ca="1">IF(OR(Tbl_ResidentData[[#This Row],[S22]]=TRUE,Tbl_ResidentData[[#This Row],[P22]]=TRUE),1,0)</f>
        <v>0</v>
      </c>
      <c r="DK112" s="120">
        <f ca="1">IF(OR(Tbl_ResidentData[[#This Row],[S23]]=TRUE,Tbl_ResidentData[[#This Row],[P23]]=TRUE),1,0)</f>
        <v>0</v>
      </c>
      <c r="DL112" s="120">
        <f ca="1">IF(OR(Tbl_ResidentData[[#This Row],[S24]]=TRUE,Tbl_ResidentData[[#This Row],[P24]]=TRUE),1,0)</f>
        <v>0</v>
      </c>
      <c r="DM112" s="123" t="str">
        <f ca="1">IFERROR(INDEX($CO$4:$DL$4,MATCH(TRUE,INDEX((Tbl_ResidentData[[#This Row],[Over1]:[Over24]]&lt;&gt;0),0),0)),"")</f>
        <v/>
      </c>
      <c r="DN112" s="133" t="str">
        <f>IFERROR(INDEX(Tbl_PDSAData[Last DRT],MATCH(Tbl_ResidentData[Resident Name '[last, first']],Tbl_PDSAData[Resident Name (last, first)],0)),"")</f>
        <v/>
      </c>
      <c r="DO112" s="222" t="str">
        <f>IFERROR(INDEX(Tbl_PDSAData[Last MR],MATCH(Tbl_ResidentData[Resident Name '[last, first']],Tbl_PDSAData[Resident Name (last, first)],0)),"")</f>
        <v/>
      </c>
    </row>
    <row r="113" spans="1:119" x14ac:dyDescent="0.25">
      <c r="A113" s="179"/>
      <c r="B113" s="180"/>
      <c r="C113" s="180"/>
      <c r="D113" s="218"/>
      <c r="E113" s="179"/>
      <c r="F113" s="181"/>
      <c r="G113" s="181"/>
      <c r="H113" s="375"/>
      <c r="I113" s="185"/>
      <c r="J113" s="387"/>
      <c r="K113" s="178"/>
      <c r="L113" s="388"/>
      <c r="M113" s="185"/>
      <c r="N113" s="386"/>
      <c r="O113" s="178"/>
      <c r="P113" s="388"/>
      <c r="Q113" s="395"/>
      <c r="R113" s="396"/>
      <c r="S113" s="131" t="str">
        <f>IF(ISBLANK(Tbl_ResidentData[[#This Row],[Discharge '[mmm-yyyy']]]),IF(ISBLANK(Tbl_ResidentData[[#This Row],[Enrollment '[mmm-yyyy']]]),"","In Care Home"),"Discharged")</f>
        <v/>
      </c>
      <c r="T113" s="119" t="str">
        <f>IF(ISBLANK(Tbl_ResidentData[[#This Row],[Diagnosis (RAI)]]),IF(ISBLANK(Tbl_ResidentData[[#This Row],[Resident Name '[last, first']]]),"",0),IF(Tbl_ResidentData[[#This Row],[Diagnosis (RAI)]]="Other (see clinical notes)",0,1))</f>
        <v/>
      </c>
      <c r="U113" s="120" t="str">
        <f ca="1">IF(U$4&gt;NOW(),"-",IF(ISBLANK(Tbl_ResidentData[[#This Row],[Enrollment '[mmm-yyyy']]]),"-",AND((Tbl_ResidentData[[#This Row],[Enrollment '[mmm-yyyy']]]&lt;=U$4),IF(ISBLANK(Tbl_ResidentData[[#This Row],[Discharge '[mmm-yyyy']]]),TRUE,(Tbl_ResidentData[[#This Row],[Discharge '[mmm-yyyy']]]&gt;=U$4)))))</f>
        <v>-</v>
      </c>
      <c r="V113" s="121" t="str">
        <f ca="1">IF(V$4&gt;NOW(),"-",IF(ISBLANK(Tbl_ResidentData[[#This Row],[Enrollment '[mmm-yyyy']]]),"-",AND((Tbl_ResidentData[[#This Row],[Enrollment '[mmm-yyyy']]]&lt;=V$4),IF(ISBLANK(Tbl_ResidentData[[#This Row],[Discharge '[mmm-yyyy']]]),TRUE,(Tbl_ResidentData[[#This Row],[Discharge '[mmm-yyyy']]]&gt;=V$4)))))</f>
        <v>-</v>
      </c>
      <c r="W113" s="121" t="str">
        <f ca="1">IF(W$4&gt;NOW(),"-",IF(ISBLANK(Tbl_ResidentData[[#This Row],[Enrollment '[mmm-yyyy']]]),"-",AND((Tbl_ResidentData[[#This Row],[Enrollment '[mmm-yyyy']]]&lt;=W$4),IF(ISBLANK(Tbl_ResidentData[[#This Row],[Discharge '[mmm-yyyy']]]),TRUE,(Tbl_ResidentData[[#This Row],[Discharge '[mmm-yyyy']]]&gt;=W$4)))))</f>
        <v>-</v>
      </c>
      <c r="X113" s="121" t="str">
        <f ca="1">IF(X$4&gt;NOW(),"-",IF(ISBLANK(Tbl_ResidentData[[#This Row],[Enrollment '[mmm-yyyy']]]),"-",AND((Tbl_ResidentData[[#This Row],[Enrollment '[mmm-yyyy']]]&lt;=X$4),IF(ISBLANK(Tbl_ResidentData[[#This Row],[Discharge '[mmm-yyyy']]]),TRUE,(Tbl_ResidentData[[#This Row],[Discharge '[mmm-yyyy']]]&gt;=X$4)))))</f>
        <v>-</v>
      </c>
      <c r="Y113" s="121" t="str">
        <f ca="1">IF(Y$4&gt;NOW(),"-",IF(ISBLANK(Tbl_ResidentData[[#This Row],[Enrollment '[mmm-yyyy']]]),"-",AND((Tbl_ResidentData[[#This Row],[Enrollment '[mmm-yyyy']]]&lt;=Y$4),IF(ISBLANK(Tbl_ResidentData[[#This Row],[Discharge '[mmm-yyyy']]]),TRUE,(Tbl_ResidentData[[#This Row],[Discharge '[mmm-yyyy']]]&gt;=Y$4)))))</f>
        <v>-</v>
      </c>
      <c r="Z113" s="121" t="str">
        <f ca="1">IF(Z$4&gt;NOW(),"-",IF(ISBLANK(Tbl_ResidentData[[#This Row],[Enrollment '[mmm-yyyy']]]),"-",AND((Tbl_ResidentData[[#This Row],[Enrollment '[mmm-yyyy']]]&lt;=Z$4),IF(ISBLANK(Tbl_ResidentData[[#This Row],[Discharge '[mmm-yyyy']]]),TRUE,(Tbl_ResidentData[[#This Row],[Discharge '[mmm-yyyy']]]&gt;=Z$4)))))</f>
        <v>-</v>
      </c>
      <c r="AA113" s="121" t="str">
        <f ca="1">IF(AA$4&gt;NOW(),"-",IF(ISBLANK(Tbl_ResidentData[[#This Row],[Enrollment '[mmm-yyyy']]]),"-",AND((Tbl_ResidentData[[#This Row],[Enrollment '[mmm-yyyy']]]&lt;=AA$4),IF(ISBLANK(Tbl_ResidentData[[#This Row],[Discharge '[mmm-yyyy']]]),TRUE,(Tbl_ResidentData[[#This Row],[Discharge '[mmm-yyyy']]]&gt;=AA$4)))))</f>
        <v>-</v>
      </c>
      <c r="AB113" s="121" t="str">
        <f ca="1">IF(AB$4&gt;NOW(),"-",IF(ISBLANK(Tbl_ResidentData[[#This Row],[Enrollment '[mmm-yyyy']]]),"-",AND((Tbl_ResidentData[[#This Row],[Enrollment '[mmm-yyyy']]]&lt;=AB$4),IF(ISBLANK(Tbl_ResidentData[[#This Row],[Discharge '[mmm-yyyy']]]),TRUE,(Tbl_ResidentData[[#This Row],[Discharge '[mmm-yyyy']]]&gt;=AB$4)))))</f>
        <v>-</v>
      </c>
      <c r="AC113" s="121" t="str">
        <f ca="1">IF(AC$4&gt;NOW(),"-",IF(ISBLANK(Tbl_ResidentData[[#This Row],[Enrollment '[mmm-yyyy']]]),"-",AND((Tbl_ResidentData[[#This Row],[Enrollment '[mmm-yyyy']]]&lt;=AC$4),IF(ISBLANK(Tbl_ResidentData[[#This Row],[Discharge '[mmm-yyyy']]]),TRUE,(Tbl_ResidentData[[#This Row],[Discharge '[mmm-yyyy']]]&gt;=AC$4)))))</f>
        <v>-</v>
      </c>
      <c r="AD113" s="121" t="str">
        <f ca="1">IF(AD$4&gt;NOW(),"-",IF(ISBLANK(Tbl_ResidentData[[#This Row],[Enrollment '[mmm-yyyy']]]),"-",AND((Tbl_ResidentData[[#This Row],[Enrollment '[mmm-yyyy']]]&lt;=AD$4),IF(ISBLANK(Tbl_ResidentData[[#This Row],[Discharge '[mmm-yyyy']]]),TRUE,(Tbl_ResidentData[[#This Row],[Discharge '[mmm-yyyy']]]&gt;=AD$4)))))</f>
        <v>-</v>
      </c>
      <c r="AE113" s="121" t="str">
        <f ca="1">IF(AE$4&gt;NOW(),"-",IF(ISBLANK(Tbl_ResidentData[[#This Row],[Enrollment '[mmm-yyyy']]]),"-",AND((Tbl_ResidentData[[#This Row],[Enrollment '[mmm-yyyy']]]&lt;=AE$4),IF(ISBLANK(Tbl_ResidentData[[#This Row],[Discharge '[mmm-yyyy']]]),TRUE,(Tbl_ResidentData[[#This Row],[Discharge '[mmm-yyyy']]]&gt;=AE$4)))))</f>
        <v>-</v>
      </c>
      <c r="AF113" s="121" t="str">
        <f ca="1">IF(AF$4&gt;NOW(),"-",IF(ISBLANK(Tbl_ResidentData[[#This Row],[Enrollment '[mmm-yyyy']]]),"-",AND((Tbl_ResidentData[[#This Row],[Enrollment '[mmm-yyyy']]]&lt;=AF$4),IF(ISBLANK(Tbl_ResidentData[[#This Row],[Discharge '[mmm-yyyy']]]),TRUE,(Tbl_ResidentData[[#This Row],[Discharge '[mmm-yyyy']]]&gt;=AF$4)))))</f>
        <v>-</v>
      </c>
      <c r="AG113" s="121" t="str">
        <f ca="1">IF(AG$4&gt;NOW(),"-",IF(ISBLANK(Tbl_ResidentData[[#This Row],[Enrollment '[mmm-yyyy']]]),"-",AND((Tbl_ResidentData[[#This Row],[Enrollment '[mmm-yyyy']]]&lt;=AG$4),IF(ISBLANK(Tbl_ResidentData[[#This Row],[Discharge '[mmm-yyyy']]]),TRUE,(Tbl_ResidentData[[#This Row],[Discharge '[mmm-yyyy']]]&gt;=AG$4)))))</f>
        <v>-</v>
      </c>
      <c r="AH113" s="121" t="str">
        <f ca="1">IF(AH$4&gt;NOW(),"-",IF(ISBLANK(Tbl_ResidentData[[#This Row],[Enrollment '[mmm-yyyy']]]),"-",AND((Tbl_ResidentData[[#This Row],[Enrollment '[mmm-yyyy']]]&lt;=AH$4),IF(ISBLANK(Tbl_ResidentData[[#This Row],[Discharge '[mmm-yyyy']]]),TRUE,(Tbl_ResidentData[[#This Row],[Discharge '[mmm-yyyy']]]&gt;=AH$4)))))</f>
        <v>-</v>
      </c>
      <c r="AI113" s="121" t="str">
        <f ca="1">IF(AI$4&gt;NOW(),"-",IF(ISBLANK(Tbl_ResidentData[[#This Row],[Enrollment '[mmm-yyyy']]]),"-",AND((Tbl_ResidentData[[#This Row],[Enrollment '[mmm-yyyy']]]&lt;=AI$4),IF(ISBLANK(Tbl_ResidentData[[#This Row],[Discharge '[mmm-yyyy']]]),TRUE,(Tbl_ResidentData[[#This Row],[Discharge '[mmm-yyyy']]]&gt;=AI$4)))))</f>
        <v>-</v>
      </c>
      <c r="AJ113" s="121" t="str">
        <f ca="1">IF(AJ$4&gt;NOW(),"-",IF(ISBLANK(Tbl_ResidentData[[#This Row],[Enrollment '[mmm-yyyy']]]),"-",AND((Tbl_ResidentData[[#This Row],[Enrollment '[mmm-yyyy']]]&lt;=AJ$4),IF(ISBLANK(Tbl_ResidentData[[#This Row],[Discharge '[mmm-yyyy']]]),TRUE,(Tbl_ResidentData[[#This Row],[Discharge '[mmm-yyyy']]]&gt;=AJ$4)))))</f>
        <v>-</v>
      </c>
      <c r="AK113" s="121" t="str">
        <f ca="1">IF(AK$4&gt;NOW(),"-",IF(ISBLANK(Tbl_ResidentData[[#This Row],[Enrollment '[mmm-yyyy']]]),"-",AND((Tbl_ResidentData[[#This Row],[Enrollment '[mmm-yyyy']]]&lt;=AK$4),IF(ISBLANK(Tbl_ResidentData[[#This Row],[Discharge '[mmm-yyyy']]]),TRUE,(Tbl_ResidentData[[#This Row],[Discharge '[mmm-yyyy']]]&gt;=AK$4)))))</f>
        <v>-</v>
      </c>
      <c r="AL113" s="121" t="str">
        <f ca="1">IF(AL$4&gt;NOW(),"-",IF(ISBLANK(Tbl_ResidentData[[#This Row],[Enrollment '[mmm-yyyy']]]),"-",AND((Tbl_ResidentData[[#This Row],[Enrollment '[mmm-yyyy']]]&lt;=AL$4),IF(ISBLANK(Tbl_ResidentData[[#This Row],[Discharge '[mmm-yyyy']]]),TRUE,(Tbl_ResidentData[[#This Row],[Discharge '[mmm-yyyy']]]&gt;=AL$4)))))</f>
        <v>-</v>
      </c>
      <c r="AM113" s="121" t="str">
        <f ca="1">IF(AM$4&gt;NOW(),"-",IF(ISBLANK(Tbl_ResidentData[[#This Row],[Enrollment '[mmm-yyyy']]]),"-",AND((Tbl_ResidentData[[#This Row],[Enrollment '[mmm-yyyy']]]&lt;=AM$4),IF(ISBLANK(Tbl_ResidentData[[#This Row],[Discharge '[mmm-yyyy']]]),TRUE,(Tbl_ResidentData[[#This Row],[Discharge '[mmm-yyyy']]]&gt;=AM$4)))))</f>
        <v>-</v>
      </c>
      <c r="AN113" s="121" t="str">
        <f ca="1">IF(AN$4&gt;NOW(),"-",IF(ISBLANK(Tbl_ResidentData[[#This Row],[Enrollment '[mmm-yyyy']]]),"-",AND((Tbl_ResidentData[[#This Row],[Enrollment '[mmm-yyyy']]]&lt;=AN$4),IF(ISBLANK(Tbl_ResidentData[[#This Row],[Discharge '[mmm-yyyy']]]),TRUE,(Tbl_ResidentData[[#This Row],[Discharge '[mmm-yyyy']]]&gt;=AN$4)))))</f>
        <v>-</v>
      </c>
      <c r="AO113" s="121" t="str">
        <f ca="1">IF(AO$4&gt;NOW(),"-",IF(ISBLANK(Tbl_ResidentData[[#This Row],[Enrollment '[mmm-yyyy']]]),"-",AND((Tbl_ResidentData[[#This Row],[Enrollment '[mmm-yyyy']]]&lt;=AO$4),IF(ISBLANK(Tbl_ResidentData[[#This Row],[Discharge '[mmm-yyyy']]]),TRUE,(Tbl_ResidentData[[#This Row],[Discharge '[mmm-yyyy']]]&gt;=AO$4)))))</f>
        <v>-</v>
      </c>
      <c r="AP113" s="121" t="str">
        <f ca="1">IF(AP$4&gt;NOW(),"-",IF(ISBLANK(Tbl_ResidentData[[#This Row],[Enrollment '[mmm-yyyy']]]),"-",AND((Tbl_ResidentData[[#This Row],[Enrollment '[mmm-yyyy']]]&lt;=AP$4),IF(ISBLANK(Tbl_ResidentData[[#This Row],[Discharge '[mmm-yyyy']]]),TRUE,(Tbl_ResidentData[[#This Row],[Discharge '[mmm-yyyy']]]&gt;=AP$4)))))</f>
        <v>-</v>
      </c>
      <c r="AQ113" s="121" t="str">
        <f ca="1">IF(AQ$4&gt;NOW(),"-",IF(ISBLANK(Tbl_ResidentData[[#This Row],[Enrollment '[mmm-yyyy']]]),"-",AND((Tbl_ResidentData[[#This Row],[Enrollment '[mmm-yyyy']]]&lt;=AQ$4),IF(ISBLANK(Tbl_ResidentData[[#This Row],[Discharge '[mmm-yyyy']]]),TRUE,(Tbl_ResidentData[[#This Row],[Discharge '[mmm-yyyy']]]&gt;=AQ$4)))))</f>
        <v>-</v>
      </c>
      <c r="AR113" s="122" t="str">
        <f ca="1">IF(AR$4&gt;NOW(),"-",IF(ISBLANK(Tbl_ResidentData[[#This Row],[Enrollment '[mmm-yyyy']]]),"-",AND((Tbl_ResidentData[[#This Row],[Enrollment '[mmm-yyyy']]]&lt;=AR$4),IF(ISBLANK(Tbl_ResidentData[[#This Row],[Discharge '[mmm-yyyy']]]),TRUE,(Tbl_ResidentData[[#This Row],[Discharge '[mmm-yyyy']]]&gt;=AR$4)))))</f>
        <v>-</v>
      </c>
      <c r="AS11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3" s="120" t="b">
        <f ca="1">AND(Tbl_ResidentData[[#This Row],[PRN Med Started]]&lt;&gt;"",Tbl_ResidentData[[#This Row],[PRN Med Started]]&lt;=NOW(),Tbl_ResidentData[[#This Row],[PRN Med Started]]&lt;=AS$4,OR(Tbl_ResidentData[[#This Row],[PRN Med Discontinued]]&gt;AS$4,ISBLANK(Tbl_ResidentData[[#This Row],[PRN Med Discontinued]])))</f>
        <v>0</v>
      </c>
      <c r="BR113" s="121" t="b">
        <f ca="1">AND(Tbl_ResidentData[[#This Row],[PRN Med Started]]&lt;&gt;"",Tbl_ResidentData[[#This Row],[PRN Med Started]]&lt;=NOW(),Tbl_ResidentData[[#This Row],[PRN Med Started]]&lt;=AT$4,OR(Tbl_ResidentData[[#This Row],[PRN Med Discontinued]]&gt;AT$4,ISBLANK(Tbl_ResidentData[[#This Row],[PRN Med Discontinued]])))</f>
        <v>0</v>
      </c>
      <c r="BS113" s="121" t="b">
        <f ca="1">AND(Tbl_ResidentData[[#This Row],[PRN Med Started]]&lt;&gt;"",Tbl_ResidentData[[#This Row],[PRN Med Started]]&lt;=NOW(),Tbl_ResidentData[[#This Row],[PRN Med Started]]&lt;=AU$4,OR(Tbl_ResidentData[[#This Row],[PRN Med Discontinued]]&gt;AU$4,ISBLANK(Tbl_ResidentData[[#This Row],[PRN Med Discontinued]])))</f>
        <v>0</v>
      </c>
      <c r="BT113" s="121" t="b">
        <f ca="1">AND(Tbl_ResidentData[[#This Row],[PRN Med Started]]&lt;&gt;"",Tbl_ResidentData[[#This Row],[PRN Med Started]]&lt;=NOW(),Tbl_ResidentData[[#This Row],[PRN Med Started]]&lt;=AV$4,OR(Tbl_ResidentData[[#This Row],[PRN Med Discontinued]]&gt;AV$4,ISBLANK(Tbl_ResidentData[[#This Row],[PRN Med Discontinued]])))</f>
        <v>0</v>
      </c>
      <c r="BU113" s="121" t="b">
        <f ca="1">AND(Tbl_ResidentData[[#This Row],[PRN Med Started]]&lt;&gt;"",Tbl_ResidentData[[#This Row],[PRN Med Started]]&lt;=NOW(),Tbl_ResidentData[[#This Row],[PRN Med Started]]&lt;=AW$4,OR(Tbl_ResidentData[[#This Row],[PRN Med Discontinued]]&gt;AW$4,ISBLANK(Tbl_ResidentData[[#This Row],[PRN Med Discontinued]])))</f>
        <v>0</v>
      </c>
      <c r="BV113" s="121" t="b">
        <f ca="1">AND(Tbl_ResidentData[[#This Row],[PRN Med Started]]&lt;&gt;"",Tbl_ResidentData[[#This Row],[PRN Med Started]]&lt;=NOW(),Tbl_ResidentData[[#This Row],[PRN Med Started]]&lt;=AX$4,OR(Tbl_ResidentData[[#This Row],[PRN Med Discontinued]]&gt;AX$4,ISBLANK(Tbl_ResidentData[[#This Row],[PRN Med Discontinued]])))</f>
        <v>0</v>
      </c>
      <c r="BW113" s="121" t="b">
        <f ca="1">AND(Tbl_ResidentData[[#This Row],[PRN Med Started]]&lt;&gt;"",Tbl_ResidentData[[#This Row],[PRN Med Started]]&lt;=NOW(),Tbl_ResidentData[[#This Row],[PRN Med Started]]&lt;=AY$4,OR(Tbl_ResidentData[[#This Row],[PRN Med Discontinued]]&gt;AY$4,ISBLANK(Tbl_ResidentData[[#This Row],[PRN Med Discontinued]])))</f>
        <v>0</v>
      </c>
      <c r="BX113" s="121" t="b">
        <f ca="1">AND(Tbl_ResidentData[[#This Row],[PRN Med Started]]&lt;&gt;"",Tbl_ResidentData[[#This Row],[PRN Med Started]]&lt;=NOW(),Tbl_ResidentData[[#This Row],[PRN Med Started]]&lt;=AZ$4,OR(Tbl_ResidentData[[#This Row],[PRN Med Discontinued]]&gt;AZ$4,ISBLANK(Tbl_ResidentData[[#This Row],[PRN Med Discontinued]])))</f>
        <v>0</v>
      </c>
      <c r="BY113" s="121" t="b">
        <f ca="1">AND(Tbl_ResidentData[[#This Row],[PRN Med Started]]&lt;&gt;"",Tbl_ResidentData[[#This Row],[PRN Med Started]]&lt;=NOW(),Tbl_ResidentData[[#This Row],[PRN Med Started]]&lt;=BA$4,OR(Tbl_ResidentData[[#This Row],[PRN Med Discontinued]]&gt;BA$4,ISBLANK(Tbl_ResidentData[[#This Row],[PRN Med Discontinued]])))</f>
        <v>0</v>
      </c>
      <c r="BZ113" s="121" t="b">
        <f ca="1">AND(Tbl_ResidentData[[#This Row],[PRN Med Started]]&lt;&gt;"",Tbl_ResidentData[[#This Row],[PRN Med Started]]&lt;=NOW(),Tbl_ResidentData[[#This Row],[PRN Med Started]]&lt;=BB$4,OR(Tbl_ResidentData[[#This Row],[PRN Med Discontinued]]&gt;BB$4,ISBLANK(Tbl_ResidentData[[#This Row],[PRN Med Discontinued]])))</f>
        <v>0</v>
      </c>
      <c r="CA113" s="121" t="b">
        <f ca="1">AND(Tbl_ResidentData[[#This Row],[PRN Med Started]]&lt;&gt;"",Tbl_ResidentData[[#This Row],[PRN Med Started]]&lt;=NOW(),Tbl_ResidentData[[#This Row],[PRN Med Started]]&lt;=BC$4,OR(Tbl_ResidentData[[#This Row],[PRN Med Discontinued]]&gt;BC$4,ISBLANK(Tbl_ResidentData[[#This Row],[PRN Med Discontinued]])))</f>
        <v>0</v>
      </c>
      <c r="CB113" s="121" t="b">
        <f ca="1">AND(Tbl_ResidentData[[#This Row],[PRN Med Started]]&lt;&gt;"",Tbl_ResidentData[[#This Row],[PRN Med Started]]&lt;=NOW(),Tbl_ResidentData[[#This Row],[PRN Med Started]]&lt;=BD$4,OR(Tbl_ResidentData[[#This Row],[PRN Med Discontinued]]&gt;BD$4,ISBLANK(Tbl_ResidentData[[#This Row],[PRN Med Discontinued]])))</f>
        <v>0</v>
      </c>
      <c r="CC113" s="121" t="b">
        <f ca="1">AND(Tbl_ResidentData[[#This Row],[PRN Med Started]]&lt;&gt;"",Tbl_ResidentData[[#This Row],[PRN Med Started]]&lt;=NOW(),Tbl_ResidentData[[#This Row],[PRN Med Started]]&lt;=BE$4,OR(Tbl_ResidentData[[#This Row],[PRN Med Discontinued]]&gt;BE$4,ISBLANK(Tbl_ResidentData[[#This Row],[PRN Med Discontinued]])))</f>
        <v>0</v>
      </c>
      <c r="CD113" s="121" t="b">
        <f ca="1">AND(Tbl_ResidentData[[#This Row],[PRN Med Started]]&lt;&gt;"",Tbl_ResidentData[[#This Row],[PRN Med Started]]&lt;=NOW(),Tbl_ResidentData[[#This Row],[PRN Med Started]]&lt;=BF$4,OR(Tbl_ResidentData[[#This Row],[PRN Med Discontinued]]&gt;BF$4,ISBLANK(Tbl_ResidentData[[#This Row],[PRN Med Discontinued]])))</f>
        <v>0</v>
      </c>
      <c r="CE113" s="121" t="b">
        <f ca="1">AND(Tbl_ResidentData[[#This Row],[PRN Med Started]]&lt;&gt;"",Tbl_ResidentData[[#This Row],[PRN Med Started]]&lt;=NOW(),Tbl_ResidentData[[#This Row],[PRN Med Started]]&lt;=BG$4,OR(Tbl_ResidentData[[#This Row],[PRN Med Discontinued]]&gt;BG$4,ISBLANK(Tbl_ResidentData[[#This Row],[PRN Med Discontinued]])))</f>
        <v>0</v>
      </c>
      <c r="CF113" s="121" t="b">
        <f ca="1">AND(Tbl_ResidentData[[#This Row],[PRN Med Started]]&lt;&gt;"",Tbl_ResidentData[[#This Row],[PRN Med Started]]&lt;=NOW(),Tbl_ResidentData[[#This Row],[PRN Med Started]]&lt;=BH$4,OR(Tbl_ResidentData[[#This Row],[PRN Med Discontinued]]&gt;BH$4,ISBLANK(Tbl_ResidentData[[#This Row],[PRN Med Discontinued]])))</f>
        <v>0</v>
      </c>
      <c r="CG113" s="121" t="b">
        <f ca="1">AND(Tbl_ResidentData[[#This Row],[PRN Med Started]]&lt;&gt;"",Tbl_ResidentData[[#This Row],[PRN Med Started]]&lt;=NOW(),Tbl_ResidentData[[#This Row],[PRN Med Started]]&lt;=BI$4,OR(Tbl_ResidentData[[#This Row],[PRN Med Discontinued]]&gt;BI$4,ISBLANK(Tbl_ResidentData[[#This Row],[PRN Med Discontinued]])))</f>
        <v>0</v>
      </c>
      <c r="CH113" s="121" t="b">
        <f ca="1">AND(Tbl_ResidentData[[#This Row],[PRN Med Started]]&lt;&gt;"",Tbl_ResidentData[[#This Row],[PRN Med Started]]&lt;=NOW(),Tbl_ResidentData[[#This Row],[PRN Med Started]]&lt;=BJ$4,OR(Tbl_ResidentData[[#This Row],[PRN Med Discontinued]]&gt;BJ$4,ISBLANK(Tbl_ResidentData[[#This Row],[PRN Med Discontinued]])))</f>
        <v>0</v>
      </c>
      <c r="CI113" s="121" t="b">
        <f ca="1">AND(Tbl_ResidentData[[#This Row],[PRN Med Started]]&lt;&gt;"",Tbl_ResidentData[[#This Row],[PRN Med Started]]&lt;=NOW(),Tbl_ResidentData[[#This Row],[PRN Med Started]]&lt;=BK$4,OR(Tbl_ResidentData[[#This Row],[PRN Med Discontinued]]&gt;BK$4,ISBLANK(Tbl_ResidentData[[#This Row],[PRN Med Discontinued]])))</f>
        <v>0</v>
      </c>
      <c r="CJ113" s="121" t="b">
        <f ca="1">AND(Tbl_ResidentData[[#This Row],[PRN Med Started]]&lt;&gt;"",Tbl_ResidentData[[#This Row],[PRN Med Started]]&lt;=NOW(),Tbl_ResidentData[[#This Row],[PRN Med Started]]&lt;=BL$4,OR(Tbl_ResidentData[[#This Row],[PRN Med Discontinued]]&gt;BL$4,ISBLANK(Tbl_ResidentData[[#This Row],[PRN Med Discontinued]])))</f>
        <v>0</v>
      </c>
      <c r="CK113" s="121" t="b">
        <f ca="1">AND(Tbl_ResidentData[[#This Row],[PRN Med Started]]&lt;&gt;"",Tbl_ResidentData[[#This Row],[PRN Med Started]]&lt;=NOW(),Tbl_ResidentData[[#This Row],[PRN Med Started]]&lt;=BM$4,OR(Tbl_ResidentData[[#This Row],[PRN Med Discontinued]]&gt;BM$4,ISBLANK(Tbl_ResidentData[[#This Row],[PRN Med Discontinued]])))</f>
        <v>0</v>
      </c>
      <c r="CL113" s="121" t="b">
        <f ca="1">AND(Tbl_ResidentData[[#This Row],[PRN Med Started]]&lt;&gt;"",Tbl_ResidentData[[#This Row],[PRN Med Started]]&lt;=NOW(),Tbl_ResidentData[[#This Row],[PRN Med Started]]&lt;=BN$4,OR(Tbl_ResidentData[[#This Row],[PRN Med Discontinued]]&gt;BN$4,ISBLANK(Tbl_ResidentData[[#This Row],[PRN Med Discontinued]])))</f>
        <v>0</v>
      </c>
      <c r="CM113" s="121" t="b">
        <f ca="1">AND(Tbl_ResidentData[[#This Row],[PRN Med Started]]&lt;&gt;"",Tbl_ResidentData[[#This Row],[PRN Med Started]]&lt;=NOW(),Tbl_ResidentData[[#This Row],[PRN Med Started]]&lt;=BO$4,OR(Tbl_ResidentData[[#This Row],[PRN Med Discontinued]]&gt;BO$4,ISBLANK(Tbl_ResidentData[[#This Row],[PRN Med Discontinued]])))</f>
        <v>0</v>
      </c>
      <c r="CN113" s="122" t="b">
        <f ca="1">AND(Tbl_ResidentData[[#This Row],[PRN Med Started]]&lt;&gt;"",Tbl_ResidentData[[#This Row],[PRN Med Started]]&lt;=NOW(),Tbl_ResidentData[[#This Row],[PRN Med Started]]&lt;=BP$4,OR(Tbl_ResidentData[[#This Row],[PRN Med Discontinued]]&gt;BP$4,ISBLANK(Tbl_ResidentData[[#This Row],[PRN Med Discontinued]])))</f>
        <v>0</v>
      </c>
      <c r="CO113" s="120">
        <f ca="1">IF(OR(Tbl_ResidentData[[#This Row],[S1]]=TRUE,Tbl_ResidentData[[#This Row],[P1]]=TRUE),1,0)</f>
        <v>0</v>
      </c>
      <c r="CP113" s="121">
        <f ca="1">IF(OR(Tbl_ResidentData[[#This Row],[S2]]=TRUE,Tbl_ResidentData[[#This Row],[P2]]=TRUE),1,0)</f>
        <v>0</v>
      </c>
      <c r="CQ113" s="121">
        <f ca="1">IF(OR(Tbl_ResidentData[[#This Row],[S3]]=TRUE,Tbl_ResidentData[[#This Row],[P3]]=TRUE),1,0)</f>
        <v>0</v>
      </c>
      <c r="CR113" s="120">
        <f ca="1">IF(OR(Tbl_ResidentData[[#This Row],[S4]]=TRUE,Tbl_ResidentData[[#This Row],[P4]]=TRUE),1,0)</f>
        <v>0</v>
      </c>
      <c r="CS113" s="120">
        <f ca="1">IF(OR(Tbl_ResidentData[[#This Row],[S5]]=TRUE,Tbl_ResidentData[[#This Row],[P5]]=TRUE),1,0)</f>
        <v>0</v>
      </c>
      <c r="CT113" s="120">
        <f ca="1">IF(OR(Tbl_ResidentData[[#This Row],[S6]]=TRUE,Tbl_ResidentData[[#This Row],[P6]]=TRUE),1,0)</f>
        <v>0</v>
      </c>
      <c r="CU113" s="120">
        <f ca="1">IF(OR(Tbl_ResidentData[[#This Row],[S7]]=TRUE,Tbl_ResidentData[[#This Row],[P7]]=TRUE),1,0)</f>
        <v>0</v>
      </c>
      <c r="CV113" s="120">
        <f ca="1">IF(OR(Tbl_ResidentData[[#This Row],[S8]]=TRUE,Tbl_ResidentData[[#This Row],[P8]]=TRUE),1,0)</f>
        <v>0</v>
      </c>
      <c r="CW113" s="120">
        <f ca="1">IF(OR(Tbl_ResidentData[[#This Row],[S9]]=TRUE,Tbl_ResidentData[[#This Row],[P9]]=TRUE),1,0)</f>
        <v>0</v>
      </c>
      <c r="CX113" s="120">
        <f ca="1">IF(OR(Tbl_ResidentData[[#This Row],[S10]]=TRUE,Tbl_ResidentData[[#This Row],[P10]]=TRUE),1,0)</f>
        <v>0</v>
      </c>
      <c r="CY113" s="120">
        <f ca="1">IF(OR(Tbl_ResidentData[[#This Row],[S11]]=TRUE,Tbl_ResidentData[[#This Row],[P11]]=TRUE),1,0)</f>
        <v>0</v>
      </c>
      <c r="CZ113" s="120">
        <f ca="1">IF(OR(Tbl_ResidentData[[#This Row],[S12]]=TRUE,Tbl_ResidentData[[#This Row],[P12]]=TRUE),1,0)</f>
        <v>0</v>
      </c>
      <c r="DA113" s="120">
        <f ca="1">IF(OR(Tbl_ResidentData[[#This Row],[S13]]=TRUE,Tbl_ResidentData[[#This Row],[P13]]=TRUE),1,0)</f>
        <v>0</v>
      </c>
      <c r="DB113" s="120">
        <f ca="1">IF(OR(Tbl_ResidentData[[#This Row],[S14]]=TRUE,Tbl_ResidentData[[#This Row],[P14]]=TRUE),1,0)</f>
        <v>0</v>
      </c>
      <c r="DC113" s="120">
        <f ca="1">IF(OR(Tbl_ResidentData[[#This Row],[S15]]=TRUE,Tbl_ResidentData[[#This Row],[P15]]=TRUE),1,0)</f>
        <v>0</v>
      </c>
      <c r="DD113" s="120">
        <f ca="1">IF(OR(Tbl_ResidentData[[#This Row],[S16]]=TRUE,Tbl_ResidentData[[#This Row],[P16]]=TRUE),1,0)</f>
        <v>0</v>
      </c>
      <c r="DE113" s="120">
        <f ca="1">IF(OR(Tbl_ResidentData[[#This Row],[S17]]=TRUE,Tbl_ResidentData[[#This Row],[P17]]=TRUE),1,0)</f>
        <v>0</v>
      </c>
      <c r="DF113" s="120">
        <f ca="1">IF(OR(Tbl_ResidentData[[#This Row],[S18]]=TRUE,Tbl_ResidentData[[#This Row],[P18]]=TRUE),1,0)</f>
        <v>0</v>
      </c>
      <c r="DG113" s="120">
        <f ca="1">IF(OR(Tbl_ResidentData[[#This Row],[S19]]=TRUE,Tbl_ResidentData[[#This Row],[P19]]=TRUE),1,0)</f>
        <v>0</v>
      </c>
      <c r="DH113" s="120">
        <f ca="1">IF(OR(Tbl_ResidentData[[#This Row],[S20]]=TRUE,Tbl_ResidentData[[#This Row],[P20]]=TRUE),1,0)</f>
        <v>0</v>
      </c>
      <c r="DI113" s="120">
        <f ca="1">IF(OR(Tbl_ResidentData[[#This Row],[S21]]=TRUE,Tbl_ResidentData[[#This Row],[P21]]=TRUE),1,0)</f>
        <v>0</v>
      </c>
      <c r="DJ113" s="120">
        <f ca="1">IF(OR(Tbl_ResidentData[[#This Row],[S22]]=TRUE,Tbl_ResidentData[[#This Row],[P22]]=TRUE),1,0)</f>
        <v>0</v>
      </c>
      <c r="DK113" s="120">
        <f ca="1">IF(OR(Tbl_ResidentData[[#This Row],[S23]]=TRUE,Tbl_ResidentData[[#This Row],[P23]]=TRUE),1,0)</f>
        <v>0</v>
      </c>
      <c r="DL113" s="120">
        <f ca="1">IF(OR(Tbl_ResidentData[[#This Row],[S24]]=TRUE,Tbl_ResidentData[[#This Row],[P24]]=TRUE),1,0)</f>
        <v>0</v>
      </c>
      <c r="DM113" s="123" t="str">
        <f ca="1">IFERROR(INDEX($CO$4:$DL$4,MATCH(TRUE,INDEX((Tbl_ResidentData[[#This Row],[Over1]:[Over24]]&lt;&gt;0),0),0)),"")</f>
        <v/>
      </c>
      <c r="DN113" s="133" t="str">
        <f>IFERROR(INDEX(Tbl_PDSAData[Last DRT],MATCH(Tbl_ResidentData[Resident Name '[last, first']],Tbl_PDSAData[Resident Name (last, first)],0)),"")</f>
        <v/>
      </c>
      <c r="DO113" s="222" t="str">
        <f>IFERROR(INDEX(Tbl_PDSAData[Last MR],MATCH(Tbl_ResidentData[Resident Name '[last, first']],Tbl_PDSAData[Resident Name (last, first)],0)),"")</f>
        <v/>
      </c>
    </row>
    <row r="114" spans="1:119" x14ac:dyDescent="0.25">
      <c r="A114" s="179"/>
      <c r="B114" s="180"/>
      <c r="C114" s="180"/>
      <c r="D114" s="218"/>
      <c r="E114" s="179"/>
      <c r="F114" s="181"/>
      <c r="G114" s="181"/>
      <c r="H114" s="182"/>
      <c r="I114" s="185"/>
      <c r="J114" s="387"/>
      <c r="K114" s="178"/>
      <c r="L114" s="388"/>
      <c r="M114" s="185"/>
      <c r="N114" s="386"/>
      <c r="O114" s="178"/>
      <c r="P114" s="388"/>
      <c r="Q114" s="394"/>
      <c r="R114" s="388"/>
      <c r="S114" s="131" t="str">
        <f>IF(ISBLANK(Tbl_ResidentData[[#This Row],[Discharge '[mmm-yyyy']]]),IF(ISBLANK(Tbl_ResidentData[[#This Row],[Enrollment '[mmm-yyyy']]]),"","In Care Home"),"Discharged")</f>
        <v/>
      </c>
      <c r="T114" s="119" t="str">
        <f>IF(ISBLANK(Tbl_ResidentData[[#This Row],[Diagnosis (RAI)]]),IF(ISBLANK(Tbl_ResidentData[[#This Row],[Resident Name '[last, first']]]),"",0),IF(Tbl_ResidentData[[#This Row],[Diagnosis (RAI)]]="Other (see clinical notes)",0,1))</f>
        <v/>
      </c>
      <c r="U114" s="120" t="str">
        <f ca="1">IF(U$4&gt;NOW(),"-",IF(ISBLANK(Tbl_ResidentData[[#This Row],[Enrollment '[mmm-yyyy']]]),"-",AND((Tbl_ResidentData[[#This Row],[Enrollment '[mmm-yyyy']]]&lt;=U$4),IF(ISBLANK(Tbl_ResidentData[[#This Row],[Discharge '[mmm-yyyy']]]),TRUE,(Tbl_ResidentData[[#This Row],[Discharge '[mmm-yyyy']]]&gt;=U$4)))))</f>
        <v>-</v>
      </c>
      <c r="V114" s="121" t="str">
        <f ca="1">IF(V$4&gt;NOW(),"-",IF(ISBLANK(Tbl_ResidentData[[#This Row],[Enrollment '[mmm-yyyy']]]),"-",AND((Tbl_ResidentData[[#This Row],[Enrollment '[mmm-yyyy']]]&lt;=V$4),IF(ISBLANK(Tbl_ResidentData[[#This Row],[Discharge '[mmm-yyyy']]]),TRUE,(Tbl_ResidentData[[#This Row],[Discharge '[mmm-yyyy']]]&gt;=V$4)))))</f>
        <v>-</v>
      </c>
      <c r="W114" s="121" t="str">
        <f ca="1">IF(W$4&gt;NOW(),"-",IF(ISBLANK(Tbl_ResidentData[[#This Row],[Enrollment '[mmm-yyyy']]]),"-",AND((Tbl_ResidentData[[#This Row],[Enrollment '[mmm-yyyy']]]&lt;=W$4),IF(ISBLANK(Tbl_ResidentData[[#This Row],[Discharge '[mmm-yyyy']]]),TRUE,(Tbl_ResidentData[[#This Row],[Discharge '[mmm-yyyy']]]&gt;=W$4)))))</f>
        <v>-</v>
      </c>
      <c r="X114" s="121" t="str">
        <f ca="1">IF(X$4&gt;NOW(),"-",IF(ISBLANK(Tbl_ResidentData[[#This Row],[Enrollment '[mmm-yyyy']]]),"-",AND((Tbl_ResidentData[[#This Row],[Enrollment '[mmm-yyyy']]]&lt;=X$4),IF(ISBLANK(Tbl_ResidentData[[#This Row],[Discharge '[mmm-yyyy']]]),TRUE,(Tbl_ResidentData[[#This Row],[Discharge '[mmm-yyyy']]]&gt;=X$4)))))</f>
        <v>-</v>
      </c>
      <c r="Y114" s="121" t="str">
        <f ca="1">IF(Y$4&gt;NOW(),"-",IF(ISBLANK(Tbl_ResidentData[[#This Row],[Enrollment '[mmm-yyyy']]]),"-",AND((Tbl_ResidentData[[#This Row],[Enrollment '[mmm-yyyy']]]&lt;=Y$4),IF(ISBLANK(Tbl_ResidentData[[#This Row],[Discharge '[mmm-yyyy']]]),TRUE,(Tbl_ResidentData[[#This Row],[Discharge '[mmm-yyyy']]]&gt;=Y$4)))))</f>
        <v>-</v>
      </c>
      <c r="Z114" s="121" t="str">
        <f ca="1">IF(Z$4&gt;NOW(),"-",IF(ISBLANK(Tbl_ResidentData[[#This Row],[Enrollment '[mmm-yyyy']]]),"-",AND((Tbl_ResidentData[[#This Row],[Enrollment '[mmm-yyyy']]]&lt;=Z$4),IF(ISBLANK(Tbl_ResidentData[[#This Row],[Discharge '[mmm-yyyy']]]),TRUE,(Tbl_ResidentData[[#This Row],[Discharge '[mmm-yyyy']]]&gt;=Z$4)))))</f>
        <v>-</v>
      </c>
      <c r="AA114" s="121" t="str">
        <f ca="1">IF(AA$4&gt;NOW(),"-",IF(ISBLANK(Tbl_ResidentData[[#This Row],[Enrollment '[mmm-yyyy']]]),"-",AND((Tbl_ResidentData[[#This Row],[Enrollment '[mmm-yyyy']]]&lt;=AA$4),IF(ISBLANK(Tbl_ResidentData[[#This Row],[Discharge '[mmm-yyyy']]]),TRUE,(Tbl_ResidentData[[#This Row],[Discharge '[mmm-yyyy']]]&gt;=AA$4)))))</f>
        <v>-</v>
      </c>
      <c r="AB114" s="121" t="str">
        <f ca="1">IF(AB$4&gt;NOW(),"-",IF(ISBLANK(Tbl_ResidentData[[#This Row],[Enrollment '[mmm-yyyy']]]),"-",AND((Tbl_ResidentData[[#This Row],[Enrollment '[mmm-yyyy']]]&lt;=AB$4),IF(ISBLANK(Tbl_ResidentData[[#This Row],[Discharge '[mmm-yyyy']]]),TRUE,(Tbl_ResidentData[[#This Row],[Discharge '[mmm-yyyy']]]&gt;=AB$4)))))</f>
        <v>-</v>
      </c>
      <c r="AC114" s="121" t="str">
        <f ca="1">IF(AC$4&gt;NOW(),"-",IF(ISBLANK(Tbl_ResidentData[[#This Row],[Enrollment '[mmm-yyyy']]]),"-",AND((Tbl_ResidentData[[#This Row],[Enrollment '[mmm-yyyy']]]&lt;=AC$4),IF(ISBLANK(Tbl_ResidentData[[#This Row],[Discharge '[mmm-yyyy']]]),TRUE,(Tbl_ResidentData[[#This Row],[Discharge '[mmm-yyyy']]]&gt;=AC$4)))))</f>
        <v>-</v>
      </c>
      <c r="AD114" s="121" t="str">
        <f ca="1">IF(AD$4&gt;NOW(),"-",IF(ISBLANK(Tbl_ResidentData[[#This Row],[Enrollment '[mmm-yyyy']]]),"-",AND((Tbl_ResidentData[[#This Row],[Enrollment '[mmm-yyyy']]]&lt;=AD$4),IF(ISBLANK(Tbl_ResidentData[[#This Row],[Discharge '[mmm-yyyy']]]),TRUE,(Tbl_ResidentData[[#This Row],[Discharge '[mmm-yyyy']]]&gt;=AD$4)))))</f>
        <v>-</v>
      </c>
      <c r="AE114" s="121" t="str">
        <f ca="1">IF(AE$4&gt;NOW(),"-",IF(ISBLANK(Tbl_ResidentData[[#This Row],[Enrollment '[mmm-yyyy']]]),"-",AND((Tbl_ResidentData[[#This Row],[Enrollment '[mmm-yyyy']]]&lt;=AE$4),IF(ISBLANK(Tbl_ResidentData[[#This Row],[Discharge '[mmm-yyyy']]]),TRUE,(Tbl_ResidentData[[#This Row],[Discharge '[mmm-yyyy']]]&gt;=AE$4)))))</f>
        <v>-</v>
      </c>
      <c r="AF114" s="121" t="str">
        <f ca="1">IF(AF$4&gt;NOW(),"-",IF(ISBLANK(Tbl_ResidentData[[#This Row],[Enrollment '[mmm-yyyy']]]),"-",AND((Tbl_ResidentData[[#This Row],[Enrollment '[mmm-yyyy']]]&lt;=AF$4),IF(ISBLANK(Tbl_ResidentData[[#This Row],[Discharge '[mmm-yyyy']]]),TRUE,(Tbl_ResidentData[[#This Row],[Discharge '[mmm-yyyy']]]&gt;=AF$4)))))</f>
        <v>-</v>
      </c>
      <c r="AG114" s="121" t="str">
        <f ca="1">IF(AG$4&gt;NOW(),"-",IF(ISBLANK(Tbl_ResidentData[[#This Row],[Enrollment '[mmm-yyyy']]]),"-",AND((Tbl_ResidentData[[#This Row],[Enrollment '[mmm-yyyy']]]&lt;=AG$4),IF(ISBLANK(Tbl_ResidentData[[#This Row],[Discharge '[mmm-yyyy']]]),TRUE,(Tbl_ResidentData[[#This Row],[Discharge '[mmm-yyyy']]]&gt;=AG$4)))))</f>
        <v>-</v>
      </c>
      <c r="AH114" s="121" t="str">
        <f ca="1">IF(AH$4&gt;NOW(),"-",IF(ISBLANK(Tbl_ResidentData[[#This Row],[Enrollment '[mmm-yyyy']]]),"-",AND((Tbl_ResidentData[[#This Row],[Enrollment '[mmm-yyyy']]]&lt;=AH$4),IF(ISBLANK(Tbl_ResidentData[[#This Row],[Discharge '[mmm-yyyy']]]),TRUE,(Tbl_ResidentData[[#This Row],[Discharge '[mmm-yyyy']]]&gt;=AH$4)))))</f>
        <v>-</v>
      </c>
      <c r="AI114" s="121" t="str">
        <f ca="1">IF(AI$4&gt;NOW(),"-",IF(ISBLANK(Tbl_ResidentData[[#This Row],[Enrollment '[mmm-yyyy']]]),"-",AND((Tbl_ResidentData[[#This Row],[Enrollment '[mmm-yyyy']]]&lt;=AI$4),IF(ISBLANK(Tbl_ResidentData[[#This Row],[Discharge '[mmm-yyyy']]]),TRUE,(Tbl_ResidentData[[#This Row],[Discharge '[mmm-yyyy']]]&gt;=AI$4)))))</f>
        <v>-</v>
      </c>
      <c r="AJ114" s="121" t="str">
        <f ca="1">IF(AJ$4&gt;NOW(),"-",IF(ISBLANK(Tbl_ResidentData[[#This Row],[Enrollment '[mmm-yyyy']]]),"-",AND((Tbl_ResidentData[[#This Row],[Enrollment '[mmm-yyyy']]]&lt;=AJ$4),IF(ISBLANK(Tbl_ResidentData[[#This Row],[Discharge '[mmm-yyyy']]]),TRUE,(Tbl_ResidentData[[#This Row],[Discharge '[mmm-yyyy']]]&gt;=AJ$4)))))</f>
        <v>-</v>
      </c>
      <c r="AK114" s="121" t="str">
        <f ca="1">IF(AK$4&gt;NOW(),"-",IF(ISBLANK(Tbl_ResidentData[[#This Row],[Enrollment '[mmm-yyyy']]]),"-",AND((Tbl_ResidentData[[#This Row],[Enrollment '[mmm-yyyy']]]&lt;=AK$4),IF(ISBLANK(Tbl_ResidentData[[#This Row],[Discharge '[mmm-yyyy']]]),TRUE,(Tbl_ResidentData[[#This Row],[Discharge '[mmm-yyyy']]]&gt;=AK$4)))))</f>
        <v>-</v>
      </c>
      <c r="AL114" s="121" t="str">
        <f ca="1">IF(AL$4&gt;NOW(),"-",IF(ISBLANK(Tbl_ResidentData[[#This Row],[Enrollment '[mmm-yyyy']]]),"-",AND((Tbl_ResidentData[[#This Row],[Enrollment '[mmm-yyyy']]]&lt;=AL$4),IF(ISBLANK(Tbl_ResidentData[[#This Row],[Discharge '[mmm-yyyy']]]),TRUE,(Tbl_ResidentData[[#This Row],[Discharge '[mmm-yyyy']]]&gt;=AL$4)))))</f>
        <v>-</v>
      </c>
      <c r="AM114" s="121" t="str">
        <f ca="1">IF(AM$4&gt;NOW(),"-",IF(ISBLANK(Tbl_ResidentData[[#This Row],[Enrollment '[mmm-yyyy']]]),"-",AND((Tbl_ResidentData[[#This Row],[Enrollment '[mmm-yyyy']]]&lt;=AM$4),IF(ISBLANK(Tbl_ResidentData[[#This Row],[Discharge '[mmm-yyyy']]]),TRUE,(Tbl_ResidentData[[#This Row],[Discharge '[mmm-yyyy']]]&gt;=AM$4)))))</f>
        <v>-</v>
      </c>
      <c r="AN114" s="121" t="str">
        <f ca="1">IF(AN$4&gt;NOW(),"-",IF(ISBLANK(Tbl_ResidentData[[#This Row],[Enrollment '[mmm-yyyy']]]),"-",AND((Tbl_ResidentData[[#This Row],[Enrollment '[mmm-yyyy']]]&lt;=AN$4),IF(ISBLANK(Tbl_ResidentData[[#This Row],[Discharge '[mmm-yyyy']]]),TRUE,(Tbl_ResidentData[[#This Row],[Discharge '[mmm-yyyy']]]&gt;=AN$4)))))</f>
        <v>-</v>
      </c>
      <c r="AO114" s="121" t="str">
        <f ca="1">IF(AO$4&gt;NOW(),"-",IF(ISBLANK(Tbl_ResidentData[[#This Row],[Enrollment '[mmm-yyyy']]]),"-",AND((Tbl_ResidentData[[#This Row],[Enrollment '[mmm-yyyy']]]&lt;=AO$4),IF(ISBLANK(Tbl_ResidentData[[#This Row],[Discharge '[mmm-yyyy']]]),TRUE,(Tbl_ResidentData[[#This Row],[Discharge '[mmm-yyyy']]]&gt;=AO$4)))))</f>
        <v>-</v>
      </c>
      <c r="AP114" s="121" t="str">
        <f ca="1">IF(AP$4&gt;NOW(),"-",IF(ISBLANK(Tbl_ResidentData[[#This Row],[Enrollment '[mmm-yyyy']]]),"-",AND((Tbl_ResidentData[[#This Row],[Enrollment '[mmm-yyyy']]]&lt;=AP$4),IF(ISBLANK(Tbl_ResidentData[[#This Row],[Discharge '[mmm-yyyy']]]),TRUE,(Tbl_ResidentData[[#This Row],[Discharge '[mmm-yyyy']]]&gt;=AP$4)))))</f>
        <v>-</v>
      </c>
      <c r="AQ114" s="121" t="str">
        <f ca="1">IF(AQ$4&gt;NOW(),"-",IF(ISBLANK(Tbl_ResidentData[[#This Row],[Enrollment '[mmm-yyyy']]]),"-",AND((Tbl_ResidentData[[#This Row],[Enrollment '[mmm-yyyy']]]&lt;=AQ$4),IF(ISBLANK(Tbl_ResidentData[[#This Row],[Discharge '[mmm-yyyy']]]),TRUE,(Tbl_ResidentData[[#This Row],[Discharge '[mmm-yyyy']]]&gt;=AQ$4)))))</f>
        <v>-</v>
      </c>
      <c r="AR114" s="122" t="str">
        <f ca="1">IF(AR$4&gt;NOW(),"-",IF(ISBLANK(Tbl_ResidentData[[#This Row],[Enrollment '[mmm-yyyy']]]),"-",AND((Tbl_ResidentData[[#This Row],[Enrollment '[mmm-yyyy']]]&lt;=AR$4),IF(ISBLANK(Tbl_ResidentData[[#This Row],[Discharge '[mmm-yyyy']]]),TRUE,(Tbl_ResidentData[[#This Row],[Discharge '[mmm-yyyy']]]&gt;=AR$4)))))</f>
        <v>-</v>
      </c>
      <c r="AS11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4" s="120" t="b">
        <f ca="1">AND(Tbl_ResidentData[[#This Row],[PRN Med Started]]&lt;&gt;"",Tbl_ResidentData[[#This Row],[PRN Med Started]]&lt;=NOW(),Tbl_ResidentData[[#This Row],[PRN Med Started]]&lt;=AS$4,OR(Tbl_ResidentData[[#This Row],[PRN Med Discontinued]]&gt;AS$4,ISBLANK(Tbl_ResidentData[[#This Row],[PRN Med Discontinued]])))</f>
        <v>0</v>
      </c>
      <c r="BR114" s="121" t="b">
        <f ca="1">AND(Tbl_ResidentData[[#This Row],[PRN Med Started]]&lt;&gt;"",Tbl_ResidentData[[#This Row],[PRN Med Started]]&lt;=NOW(),Tbl_ResidentData[[#This Row],[PRN Med Started]]&lt;=AT$4,OR(Tbl_ResidentData[[#This Row],[PRN Med Discontinued]]&gt;AT$4,ISBLANK(Tbl_ResidentData[[#This Row],[PRN Med Discontinued]])))</f>
        <v>0</v>
      </c>
      <c r="BS114" s="121" t="b">
        <f ca="1">AND(Tbl_ResidentData[[#This Row],[PRN Med Started]]&lt;&gt;"",Tbl_ResidentData[[#This Row],[PRN Med Started]]&lt;=NOW(),Tbl_ResidentData[[#This Row],[PRN Med Started]]&lt;=AU$4,OR(Tbl_ResidentData[[#This Row],[PRN Med Discontinued]]&gt;AU$4,ISBLANK(Tbl_ResidentData[[#This Row],[PRN Med Discontinued]])))</f>
        <v>0</v>
      </c>
      <c r="BT114" s="121" t="b">
        <f ca="1">AND(Tbl_ResidentData[[#This Row],[PRN Med Started]]&lt;&gt;"",Tbl_ResidentData[[#This Row],[PRN Med Started]]&lt;=NOW(),Tbl_ResidentData[[#This Row],[PRN Med Started]]&lt;=AV$4,OR(Tbl_ResidentData[[#This Row],[PRN Med Discontinued]]&gt;AV$4,ISBLANK(Tbl_ResidentData[[#This Row],[PRN Med Discontinued]])))</f>
        <v>0</v>
      </c>
      <c r="BU114" s="121" t="b">
        <f ca="1">AND(Tbl_ResidentData[[#This Row],[PRN Med Started]]&lt;&gt;"",Tbl_ResidentData[[#This Row],[PRN Med Started]]&lt;=NOW(),Tbl_ResidentData[[#This Row],[PRN Med Started]]&lt;=AW$4,OR(Tbl_ResidentData[[#This Row],[PRN Med Discontinued]]&gt;AW$4,ISBLANK(Tbl_ResidentData[[#This Row],[PRN Med Discontinued]])))</f>
        <v>0</v>
      </c>
      <c r="BV114" s="121" t="b">
        <f ca="1">AND(Tbl_ResidentData[[#This Row],[PRN Med Started]]&lt;&gt;"",Tbl_ResidentData[[#This Row],[PRN Med Started]]&lt;=NOW(),Tbl_ResidentData[[#This Row],[PRN Med Started]]&lt;=AX$4,OR(Tbl_ResidentData[[#This Row],[PRN Med Discontinued]]&gt;AX$4,ISBLANK(Tbl_ResidentData[[#This Row],[PRN Med Discontinued]])))</f>
        <v>0</v>
      </c>
      <c r="BW114" s="121" t="b">
        <f ca="1">AND(Tbl_ResidentData[[#This Row],[PRN Med Started]]&lt;&gt;"",Tbl_ResidentData[[#This Row],[PRN Med Started]]&lt;=NOW(),Tbl_ResidentData[[#This Row],[PRN Med Started]]&lt;=AY$4,OR(Tbl_ResidentData[[#This Row],[PRN Med Discontinued]]&gt;AY$4,ISBLANK(Tbl_ResidentData[[#This Row],[PRN Med Discontinued]])))</f>
        <v>0</v>
      </c>
      <c r="BX114" s="121" t="b">
        <f ca="1">AND(Tbl_ResidentData[[#This Row],[PRN Med Started]]&lt;&gt;"",Tbl_ResidentData[[#This Row],[PRN Med Started]]&lt;=NOW(),Tbl_ResidentData[[#This Row],[PRN Med Started]]&lt;=AZ$4,OR(Tbl_ResidentData[[#This Row],[PRN Med Discontinued]]&gt;AZ$4,ISBLANK(Tbl_ResidentData[[#This Row],[PRN Med Discontinued]])))</f>
        <v>0</v>
      </c>
      <c r="BY114" s="121" t="b">
        <f ca="1">AND(Tbl_ResidentData[[#This Row],[PRN Med Started]]&lt;&gt;"",Tbl_ResidentData[[#This Row],[PRN Med Started]]&lt;=NOW(),Tbl_ResidentData[[#This Row],[PRN Med Started]]&lt;=BA$4,OR(Tbl_ResidentData[[#This Row],[PRN Med Discontinued]]&gt;BA$4,ISBLANK(Tbl_ResidentData[[#This Row],[PRN Med Discontinued]])))</f>
        <v>0</v>
      </c>
      <c r="BZ114" s="121" t="b">
        <f ca="1">AND(Tbl_ResidentData[[#This Row],[PRN Med Started]]&lt;&gt;"",Tbl_ResidentData[[#This Row],[PRN Med Started]]&lt;=NOW(),Tbl_ResidentData[[#This Row],[PRN Med Started]]&lt;=BB$4,OR(Tbl_ResidentData[[#This Row],[PRN Med Discontinued]]&gt;BB$4,ISBLANK(Tbl_ResidentData[[#This Row],[PRN Med Discontinued]])))</f>
        <v>0</v>
      </c>
      <c r="CA114" s="121" t="b">
        <f ca="1">AND(Tbl_ResidentData[[#This Row],[PRN Med Started]]&lt;&gt;"",Tbl_ResidentData[[#This Row],[PRN Med Started]]&lt;=NOW(),Tbl_ResidentData[[#This Row],[PRN Med Started]]&lt;=BC$4,OR(Tbl_ResidentData[[#This Row],[PRN Med Discontinued]]&gt;BC$4,ISBLANK(Tbl_ResidentData[[#This Row],[PRN Med Discontinued]])))</f>
        <v>0</v>
      </c>
      <c r="CB114" s="121" t="b">
        <f ca="1">AND(Tbl_ResidentData[[#This Row],[PRN Med Started]]&lt;&gt;"",Tbl_ResidentData[[#This Row],[PRN Med Started]]&lt;=NOW(),Tbl_ResidentData[[#This Row],[PRN Med Started]]&lt;=BD$4,OR(Tbl_ResidentData[[#This Row],[PRN Med Discontinued]]&gt;BD$4,ISBLANK(Tbl_ResidentData[[#This Row],[PRN Med Discontinued]])))</f>
        <v>0</v>
      </c>
      <c r="CC114" s="121" t="b">
        <f ca="1">AND(Tbl_ResidentData[[#This Row],[PRN Med Started]]&lt;&gt;"",Tbl_ResidentData[[#This Row],[PRN Med Started]]&lt;=NOW(),Tbl_ResidentData[[#This Row],[PRN Med Started]]&lt;=BE$4,OR(Tbl_ResidentData[[#This Row],[PRN Med Discontinued]]&gt;BE$4,ISBLANK(Tbl_ResidentData[[#This Row],[PRN Med Discontinued]])))</f>
        <v>0</v>
      </c>
      <c r="CD114" s="121" t="b">
        <f ca="1">AND(Tbl_ResidentData[[#This Row],[PRN Med Started]]&lt;&gt;"",Tbl_ResidentData[[#This Row],[PRN Med Started]]&lt;=NOW(),Tbl_ResidentData[[#This Row],[PRN Med Started]]&lt;=BF$4,OR(Tbl_ResidentData[[#This Row],[PRN Med Discontinued]]&gt;BF$4,ISBLANK(Tbl_ResidentData[[#This Row],[PRN Med Discontinued]])))</f>
        <v>0</v>
      </c>
      <c r="CE114" s="121" t="b">
        <f ca="1">AND(Tbl_ResidentData[[#This Row],[PRN Med Started]]&lt;&gt;"",Tbl_ResidentData[[#This Row],[PRN Med Started]]&lt;=NOW(),Tbl_ResidentData[[#This Row],[PRN Med Started]]&lt;=BG$4,OR(Tbl_ResidentData[[#This Row],[PRN Med Discontinued]]&gt;BG$4,ISBLANK(Tbl_ResidentData[[#This Row],[PRN Med Discontinued]])))</f>
        <v>0</v>
      </c>
      <c r="CF114" s="121" t="b">
        <f ca="1">AND(Tbl_ResidentData[[#This Row],[PRN Med Started]]&lt;&gt;"",Tbl_ResidentData[[#This Row],[PRN Med Started]]&lt;=NOW(),Tbl_ResidentData[[#This Row],[PRN Med Started]]&lt;=BH$4,OR(Tbl_ResidentData[[#This Row],[PRN Med Discontinued]]&gt;BH$4,ISBLANK(Tbl_ResidentData[[#This Row],[PRN Med Discontinued]])))</f>
        <v>0</v>
      </c>
      <c r="CG114" s="121" t="b">
        <f ca="1">AND(Tbl_ResidentData[[#This Row],[PRN Med Started]]&lt;&gt;"",Tbl_ResidentData[[#This Row],[PRN Med Started]]&lt;=NOW(),Tbl_ResidentData[[#This Row],[PRN Med Started]]&lt;=BI$4,OR(Tbl_ResidentData[[#This Row],[PRN Med Discontinued]]&gt;BI$4,ISBLANK(Tbl_ResidentData[[#This Row],[PRN Med Discontinued]])))</f>
        <v>0</v>
      </c>
      <c r="CH114" s="121" t="b">
        <f ca="1">AND(Tbl_ResidentData[[#This Row],[PRN Med Started]]&lt;&gt;"",Tbl_ResidentData[[#This Row],[PRN Med Started]]&lt;=NOW(),Tbl_ResidentData[[#This Row],[PRN Med Started]]&lt;=BJ$4,OR(Tbl_ResidentData[[#This Row],[PRN Med Discontinued]]&gt;BJ$4,ISBLANK(Tbl_ResidentData[[#This Row],[PRN Med Discontinued]])))</f>
        <v>0</v>
      </c>
      <c r="CI114" s="121" t="b">
        <f ca="1">AND(Tbl_ResidentData[[#This Row],[PRN Med Started]]&lt;&gt;"",Tbl_ResidentData[[#This Row],[PRN Med Started]]&lt;=NOW(),Tbl_ResidentData[[#This Row],[PRN Med Started]]&lt;=BK$4,OR(Tbl_ResidentData[[#This Row],[PRN Med Discontinued]]&gt;BK$4,ISBLANK(Tbl_ResidentData[[#This Row],[PRN Med Discontinued]])))</f>
        <v>0</v>
      </c>
      <c r="CJ114" s="121" t="b">
        <f ca="1">AND(Tbl_ResidentData[[#This Row],[PRN Med Started]]&lt;&gt;"",Tbl_ResidentData[[#This Row],[PRN Med Started]]&lt;=NOW(),Tbl_ResidentData[[#This Row],[PRN Med Started]]&lt;=BL$4,OR(Tbl_ResidentData[[#This Row],[PRN Med Discontinued]]&gt;BL$4,ISBLANK(Tbl_ResidentData[[#This Row],[PRN Med Discontinued]])))</f>
        <v>0</v>
      </c>
      <c r="CK114" s="121" t="b">
        <f ca="1">AND(Tbl_ResidentData[[#This Row],[PRN Med Started]]&lt;&gt;"",Tbl_ResidentData[[#This Row],[PRN Med Started]]&lt;=NOW(),Tbl_ResidentData[[#This Row],[PRN Med Started]]&lt;=BM$4,OR(Tbl_ResidentData[[#This Row],[PRN Med Discontinued]]&gt;BM$4,ISBLANK(Tbl_ResidentData[[#This Row],[PRN Med Discontinued]])))</f>
        <v>0</v>
      </c>
      <c r="CL114" s="121" t="b">
        <f ca="1">AND(Tbl_ResidentData[[#This Row],[PRN Med Started]]&lt;&gt;"",Tbl_ResidentData[[#This Row],[PRN Med Started]]&lt;=NOW(),Tbl_ResidentData[[#This Row],[PRN Med Started]]&lt;=BN$4,OR(Tbl_ResidentData[[#This Row],[PRN Med Discontinued]]&gt;BN$4,ISBLANK(Tbl_ResidentData[[#This Row],[PRN Med Discontinued]])))</f>
        <v>0</v>
      </c>
      <c r="CM114" s="121" t="b">
        <f ca="1">AND(Tbl_ResidentData[[#This Row],[PRN Med Started]]&lt;&gt;"",Tbl_ResidentData[[#This Row],[PRN Med Started]]&lt;=NOW(),Tbl_ResidentData[[#This Row],[PRN Med Started]]&lt;=BO$4,OR(Tbl_ResidentData[[#This Row],[PRN Med Discontinued]]&gt;BO$4,ISBLANK(Tbl_ResidentData[[#This Row],[PRN Med Discontinued]])))</f>
        <v>0</v>
      </c>
      <c r="CN114" s="122" t="b">
        <f ca="1">AND(Tbl_ResidentData[[#This Row],[PRN Med Started]]&lt;&gt;"",Tbl_ResidentData[[#This Row],[PRN Med Started]]&lt;=NOW(),Tbl_ResidentData[[#This Row],[PRN Med Started]]&lt;=BP$4,OR(Tbl_ResidentData[[#This Row],[PRN Med Discontinued]]&gt;BP$4,ISBLANK(Tbl_ResidentData[[#This Row],[PRN Med Discontinued]])))</f>
        <v>0</v>
      </c>
      <c r="CO114" s="120">
        <f ca="1">IF(OR(Tbl_ResidentData[[#This Row],[S1]]=TRUE,Tbl_ResidentData[[#This Row],[P1]]=TRUE),1,0)</f>
        <v>0</v>
      </c>
      <c r="CP114" s="121">
        <f ca="1">IF(OR(Tbl_ResidentData[[#This Row],[S2]]=TRUE,Tbl_ResidentData[[#This Row],[P2]]=TRUE),1,0)</f>
        <v>0</v>
      </c>
      <c r="CQ114" s="121">
        <f ca="1">IF(OR(Tbl_ResidentData[[#This Row],[S3]]=TRUE,Tbl_ResidentData[[#This Row],[P3]]=TRUE),1,0)</f>
        <v>0</v>
      </c>
      <c r="CR114" s="120">
        <f ca="1">IF(OR(Tbl_ResidentData[[#This Row],[S4]]=TRUE,Tbl_ResidentData[[#This Row],[P4]]=TRUE),1,0)</f>
        <v>0</v>
      </c>
      <c r="CS114" s="120">
        <f ca="1">IF(OR(Tbl_ResidentData[[#This Row],[S5]]=TRUE,Tbl_ResidentData[[#This Row],[P5]]=TRUE),1,0)</f>
        <v>0</v>
      </c>
      <c r="CT114" s="120">
        <f ca="1">IF(OR(Tbl_ResidentData[[#This Row],[S6]]=TRUE,Tbl_ResidentData[[#This Row],[P6]]=TRUE),1,0)</f>
        <v>0</v>
      </c>
      <c r="CU114" s="120">
        <f ca="1">IF(OR(Tbl_ResidentData[[#This Row],[S7]]=TRUE,Tbl_ResidentData[[#This Row],[P7]]=TRUE),1,0)</f>
        <v>0</v>
      </c>
      <c r="CV114" s="120">
        <f ca="1">IF(OR(Tbl_ResidentData[[#This Row],[S8]]=TRUE,Tbl_ResidentData[[#This Row],[P8]]=TRUE),1,0)</f>
        <v>0</v>
      </c>
      <c r="CW114" s="120">
        <f ca="1">IF(OR(Tbl_ResidentData[[#This Row],[S9]]=TRUE,Tbl_ResidentData[[#This Row],[P9]]=TRUE),1,0)</f>
        <v>0</v>
      </c>
      <c r="CX114" s="120">
        <f ca="1">IF(OR(Tbl_ResidentData[[#This Row],[S10]]=TRUE,Tbl_ResidentData[[#This Row],[P10]]=TRUE),1,0)</f>
        <v>0</v>
      </c>
      <c r="CY114" s="120">
        <f ca="1">IF(OR(Tbl_ResidentData[[#This Row],[S11]]=TRUE,Tbl_ResidentData[[#This Row],[P11]]=TRUE),1,0)</f>
        <v>0</v>
      </c>
      <c r="CZ114" s="120">
        <f ca="1">IF(OR(Tbl_ResidentData[[#This Row],[S12]]=TRUE,Tbl_ResidentData[[#This Row],[P12]]=TRUE),1,0)</f>
        <v>0</v>
      </c>
      <c r="DA114" s="120">
        <f ca="1">IF(OR(Tbl_ResidentData[[#This Row],[S13]]=TRUE,Tbl_ResidentData[[#This Row],[P13]]=TRUE),1,0)</f>
        <v>0</v>
      </c>
      <c r="DB114" s="120">
        <f ca="1">IF(OR(Tbl_ResidentData[[#This Row],[S14]]=TRUE,Tbl_ResidentData[[#This Row],[P14]]=TRUE),1,0)</f>
        <v>0</v>
      </c>
      <c r="DC114" s="120">
        <f ca="1">IF(OR(Tbl_ResidentData[[#This Row],[S15]]=TRUE,Tbl_ResidentData[[#This Row],[P15]]=TRUE),1,0)</f>
        <v>0</v>
      </c>
      <c r="DD114" s="120">
        <f ca="1">IF(OR(Tbl_ResidentData[[#This Row],[S16]]=TRUE,Tbl_ResidentData[[#This Row],[P16]]=TRUE),1,0)</f>
        <v>0</v>
      </c>
      <c r="DE114" s="120">
        <f ca="1">IF(OR(Tbl_ResidentData[[#This Row],[S17]]=TRUE,Tbl_ResidentData[[#This Row],[P17]]=TRUE),1,0)</f>
        <v>0</v>
      </c>
      <c r="DF114" s="120">
        <f ca="1">IF(OR(Tbl_ResidentData[[#This Row],[S18]]=TRUE,Tbl_ResidentData[[#This Row],[P18]]=TRUE),1,0)</f>
        <v>0</v>
      </c>
      <c r="DG114" s="120">
        <f ca="1">IF(OR(Tbl_ResidentData[[#This Row],[S19]]=TRUE,Tbl_ResidentData[[#This Row],[P19]]=TRUE),1,0)</f>
        <v>0</v>
      </c>
      <c r="DH114" s="120">
        <f ca="1">IF(OR(Tbl_ResidentData[[#This Row],[S20]]=TRUE,Tbl_ResidentData[[#This Row],[P20]]=TRUE),1,0)</f>
        <v>0</v>
      </c>
      <c r="DI114" s="120">
        <f ca="1">IF(OR(Tbl_ResidentData[[#This Row],[S21]]=TRUE,Tbl_ResidentData[[#This Row],[P21]]=TRUE),1,0)</f>
        <v>0</v>
      </c>
      <c r="DJ114" s="120">
        <f ca="1">IF(OR(Tbl_ResidentData[[#This Row],[S22]]=TRUE,Tbl_ResidentData[[#This Row],[P22]]=TRUE),1,0)</f>
        <v>0</v>
      </c>
      <c r="DK114" s="120">
        <f ca="1">IF(OR(Tbl_ResidentData[[#This Row],[S23]]=TRUE,Tbl_ResidentData[[#This Row],[P23]]=TRUE),1,0)</f>
        <v>0</v>
      </c>
      <c r="DL114" s="120">
        <f ca="1">IF(OR(Tbl_ResidentData[[#This Row],[S24]]=TRUE,Tbl_ResidentData[[#This Row],[P24]]=TRUE),1,0)</f>
        <v>0</v>
      </c>
      <c r="DM114" s="123" t="str">
        <f ca="1">IFERROR(INDEX($CO$4:$DL$4,MATCH(TRUE,INDEX((Tbl_ResidentData[[#This Row],[Over1]:[Over24]]&lt;&gt;0),0),0)),"")</f>
        <v/>
      </c>
      <c r="DN114" s="133" t="str">
        <f>IFERROR(INDEX(Tbl_PDSAData[Last DRT],MATCH(Tbl_ResidentData[Resident Name '[last, first']],Tbl_PDSAData[Resident Name (last, first)],0)),"")</f>
        <v/>
      </c>
      <c r="DO114" s="222" t="str">
        <f>IFERROR(INDEX(Tbl_PDSAData[Last MR],MATCH(Tbl_ResidentData[Resident Name '[last, first']],Tbl_PDSAData[Resident Name (last, first)],0)),"")</f>
        <v/>
      </c>
    </row>
    <row r="115" spans="1:119" x14ac:dyDescent="0.25">
      <c r="A115" s="179"/>
      <c r="B115" s="180"/>
      <c r="C115" s="180"/>
      <c r="D115" s="218"/>
      <c r="E115" s="179"/>
      <c r="F115" s="181"/>
      <c r="G115" s="181"/>
      <c r="H115" s="375"/>
      <c r="I115" s="185"/>
      <c r="J115" s="387"/>
      <c r="K115" s="178"/>
      <c r="L115" s="388"/>
      <c r="M115" s="185"/>
      <c r="N115" s="386"/>
      <c r="O115" s="178"/>
      <c r="P115" s="388"/>
      <c r="Q115" s="395"/>
      <c r="R115" s="396"/>
      <c r="S115" s="131" t="str">
        <f>IF(ISBLANK(Tbl_ResidentData[[#This Row],[Discharge '[mmm-yyyy']]]),IF(ISBLANK(Tbl_ResidentData[[#This Row],[Enrollment '[mmm-yyyy']]]),"","In Care Home"),"Discharged")</f>
        <v/>
      </c>
      <c r="T115" s="119" t="str">
        <f>IF(ISBLANK(Tbl_ResidentData[[#This Row],[Diagnosis (RAI)]]),IF(ISBLANK(Tbl_ResidentData[[#This Row],[Resident Name '[last, first']]]),"",0),IF(Tbl_ResidentData[[#This Row],[Diagnosis (RAI)]]="Other (see clinical notes)",0,1))</f>
        <v/>
      </c>
      <c r="U115" s="120" t="str">
        <f ca="1">IF(U$4&gt;NOW(),"-",IF(ISBLANK(Tbl_ResidentData[[#This Row],[Enrollment '[mmm-yyyy']]]),"-",AND((Tbl_ResidentData[[#This Row],[Enrollment '[mmm-yyyy']]]&lt;=U$4),IF(ISBLANK(Tbl_ResidentData[[#This Row],[Discharge '[mmm-yyyy']]]),TRUE,(Tbl_ResidentData[[#This Row],[Discharge '[mmm-yyyy']]]&gt;=U$4)))))</f>
        <v>-</v>
      </c>
      <c r="V115" s="121" t="str">
        <f ca="1">IF(V$4&gt;NOW(),"-",IF(ISBLANK(Tbl_ResidentData[[#This Row],[Enrollment '[mmm-yyyy']]]),"-",AND((Tbl_ResidentData[[#This Row],[Enrollment '[mmm-yyyy']]]&lt;=V$4),IF(ISBLANK(Tbl_ResidentData[[#This Row],[Discharge '[mmm-yyyy']]]),TRUE,(Tbl_ResidentData[[#This Row],[Discharge '[mmm-yyyy']]]&gt;=V$4)))))</f>
        <v>-</v>
      </c>
      <c r="W115" s="121" t="str">
        <f ca="1">IF(W$4&gt;NOW(),"-",IF(ISBLANK(Tbl_ResidentData[[#This Row],[Enrollment '[mmm-yyyy']]]),"-",AND((Tbl_ResidentData[[#This Row],[Enrollment '[mmm-yyyy']]]&lt;=W$4),IF(ISBLANK(Tbl_ResidentData[[#This Row],[Discharge '[mmm-yyyy']]]),TRUE,(Tbl_ResidentData[[#This Row],[Discharge '[mmm-yyyy']]]&gt;=W$4)))))</f>
        <v>-</v>
      </c>
      <c r="X115" s="121" t="str">
        <f ca="1">IF(X$4&gt;NOW(),"-",IF(ISBLANK(Tbl_ResidentData[[#This Row],[Enrollment '[mmm-yyyy']]]),"-",AND((Tbl_ResidentData[[#This Row],[Enrollment '[mmm-yyyy']]]&lt;=X$4),IF(ISBLANK(Tbl_ResidentData[[#This Row],[Discharge '[mmm-yyyy']]]),TRUE,(Tbl_ResidentData[[#This Row],[Discharge '[mmm-yyyy']]]&gt;=X$4)))))</f>
        <v>-</v>
      </c>
      <c r="Y115" s="121" t="str">
        <f ca="1">IF(Y$4&gt;NOW(),"-",IF(ISBLANK(Tbl_ResidentData[[#This Row],[Enrollment '[mmm-yyyy']]]),"-",AND((Tbl_ResidentData[[#This Row],[Enrollment '[mmm-yyyy']]]&lt;=Y$4),IF(ISBLANK(Tbl_ResidentData[[#This Row],[Discharge '[mmm-yyyy']]]),TRUE,(Tbl_ResidentData[[#This Row],[Discharge '[mmm-yyyy']]]&gt;=Y$4)))))</f>
        <v>-</v>
      </c>
      <c r="Z115" s="121" t="str">
        <f ca="1">IF(Z$4&gt;NOW(),"-",IF(ISBLANK(Tbl_ResidentData[[#This Row],[Enrollment '[mmm-yyyy']]]),"-",AND((Tbl_ResidentData[[#This Row],[Enrollment '[mmm-yyyy']]]&lt;=Z$4),IF(ISBLANK(Tbl_ResidentData[[#This Row],[Discharge '[mmm-yyyy']]]),TRUE,(Tbl_ResidentData[[#This Row],[Discharge '[mmm-yyyy']]]&gt;=Z$4)))))</f>
        <v>-</v>
      </c>
      <c r="AA115" s="121" t="str">
        <f ca="1">IF(AA$4&gt;NOW(),"-",IF(ISBLANK(Tbl_ResidentData[[#This Row],[Enrollment '[mmm-yyyy']]]),"-",AND((Tbl_ResidentData[[#This Row],[Enrollment '[mmm-yyyy']]]&lt;=AA$4),IF(ISBLANK(Tbl_ResidentData[[#This Row],[Discharge '[mmm-yyyy']]]),TRUE,(Tbl_ResidentData[[#This Row],[Discharge '[mmm-yyyy']]]&gt;=AA$4)))))</f>
        <v>-</v>
      </c>
      <c r="AB115" s="121" t="str">
        <f ca="1">IF(AB$4&gt;NOW(),"-",IF(ISBLANK(Tbl_ResidentData[[#This Row],[Enrollment '[mmm-yyyy']]]),"-",AND((Tbl_ResidentData[[#This Row],[Enrollment '[mmm-yyyy']]]&lt;=AB$4),IF(ISBLANK(Tbl_ResidentData[[#This Row],[Discharge '[mmm-yyyy']]]),TRUE,(Tbl_ResidentData[[#This Row],[Discharge '[mmm-yyyy']]]&gt;=AB$4)))))</f>
        <v>-</v>
      </c>
      <c r="AC115" s="121" t="str">
        <f ca="1">IF(AC$4&gt;NOW(),"-",IF(ISBLANK(Tbl_ResidentData[[#This Row],[Enrollment '[mmm-yyyy']]]),"-",AND((Tbl_ResidentData[[#This Row],[Enrollment '[mmm-yyyy']]]&lt;=AC$4),IF(ISBLANK(Tbl_ResidentData[[#This Row],[Discharge '[mmm-yyyy']]]),TRUE,(Tbl_ResidentData[[#This Row],[Discharge '[mmm-yyyy']]]&gt;=AC$4)))))</f>
        <v>-</v>
      </c>
      <c r="AD115" s="121" t="str">
        <f ca="1">IF(AD$4&gt;NOW(),"-",IF(ISBLANK(Tbl_ResidentData[[#This Row],[Enrollment '[mmm-yyyy']]]),"-",AND((Tbl_ResidentData[[#This Row],[Enrollment '[mmm-yyyy']]]&lt;=AD$4),IF(ISBLANK(Tbl_ResidentData[[#This Row],[Discharge '[mmm-yyyy']]]),TRUE,(Tbl_ResidentData[[#This Row],[Discharge '[mmm-yyyy']]]&gt;=AD$4)))))</f>
        <v>-</v>
      </c>
      <c r="AE115" s="121" t="str">
        <f ca="1">IF(AE$4&gt;NOW(),"-",IF(ISBLANK(Tbl_ResidentData[[#This Row],[Enrollment '[mmm-yyyy']]]),"-",AND((Tbl_ResidentData[[#This Row],[Enrollment '[mmm-yyyy']]]&lt;=AE$4),IF(ISBLANK(Tbl_ResidentData[[#This Row],[Discharge '[mmm-yyyy']]]),TRUE,(Tbl_ResidentData[[#This Row],[Discharge '[mmm-yyyy']]]&gt;=AE$4)))))</f>
        <v>-</v>
      </c>
      <c r="AF115" s="121" t="str">
        <f ca="1">IF(AF$4&gt;NOW(),"-",IF(ISBLANK(Tbl_ResidentData[[#This Row],[Enrollment '[mmm-yyyy']]]),"-",AND((Tbl_ResidentData[[#This Row],[Enrollment '[mmm-yyyy']]]&lt;=AF$4),IF(ISBLANK(Tbl_ResidentData[[#This Row],[Discharge '[mmm-yyyy']]]),TRUE,(Tbl_ResidentData[[#This Row],[Discharge '[mmm-yyyy']]]&gt;=AF$4)))))</f>
        <v>-</v>
      </c>
      <c r="AG115" s="121" t="str">
        <f ca="1">IF(AG$4&gt;NOW(),"-",IF(ISBLANK(Tbl_ResidentData[[#This Row],[Enrollment '[mmm-yyyy']]]),"-",AND((Tbl_ResidentData[[#This Row],[Enrollment '[mmm-yyyy']]]&lt;=AG$4),IF(ISBLANK(Tbl_ResidentData[[#This Row],[Discharge '[mmm-yyyy']]]),TRUE,(Tbl_ResidentData[[#This Row],[Discharge '[mmm-yyyy']]]&gt;=AG$4)))))</f>
        <v>-</v>
      </c>
      <c r="AH115" s="121" t="str">
        <f ca="1">IF(AH$4&gt;NOW(),"-",IF(ISBLANK(Tbl_ResidentData[[#This Row],[Enrollment '[mmm-yyyy']]]),"-",AND((Tbl_ResidentData[[#This Row],[Enrollment '[mmm-yyyy']]]&lt;=AH$4),IF(ISBLANK(Tbl_ResidentData[[#This Row],[Discharge '[mmm-yyyy']]]),TRUE,(Tbl_ResidentData[[#This Row],[Discharge '[mmm-yyyy']]]&gt;=AH$4)))))</f>
        <v>-</v>
      </c>
      <c r="AI115" s="121" t="str">
        <f ca="1">IF(AI$4&gt;NOW(),"-",IF(ISBLANK(Tbl_ResidentData[[#This Row],[Enrollment '[mmm-yyyy']]]),"-",AND((Tbl_ResidentData[[#This Row],[Enrollment '[mmm-yyyy']]]&lt;=AI$4),IF(ISBLANK(Tbl_ResidentData[[#This Row],[Discharge '[mmm-yyyy']]]),TRUE,(Tbl_ResidentData[[#This Row],[Discharge '[mmm-yyyy']]]&gt;=AI$4)))))</f>
        <v>-</v>
      </c>
      <c r="AJ115" s="121" t="str">
        <f ca="1">IF(AJ$4&gt;NOW(),"-",IF(ISBLANK(Tbl_ResidentData[[#This Row],[Enrollment '[mmm-yyyy']]]),"-",AND((Tbl_ResidentData[[#This Row],[Enrollment '[mmm-yyyy']]]&lt;=AJ$4),IF(ISBLANK(Tbl_ResidentData[[#This Row],[Discharge '[mmm-yyyy']]]),TRUE,(Tbl_ResidentData[[#This Row],[Discharge '[mmm-yyyy']]]&gt;=AJ$4)))))</f>
        <v>-</v>
      </c>
      <c r="AK115" s="121" t="str">
        <f ca="1">IF(AK$4&gt;NOW(),"-",IF(ISBLANK(Tbl_ResidentData[[#This Row],[Enrollment '[mmm-yyyy']]]),"-",AND((Tbl_ResidentData[[#This Row],[Enrollment '[mmm-yyyy']]]&lt;=AK$4),IF(ISBLANK(Tbl_ResidentData[[#This Row],[Discharge '[mmm-yyyy']]]),TRUE,(Tbl_ResidentData[[#This Row],[Discharge '[mmm-yyyy']]]&gt;=AK$4)))))</f>
        <v>-</v>
      </c>
      <c r="AL115" s="121" t="str">
        <f ca="1">IF(AL$4&gt;NOW(),"-",IF(ISBLANK(Tbl_ResidentData[[#This Row],[Enrollment '[mmm-yyyy']]]),"-",AND((Tbl_ResidentData[[#This Row],[Enrollment '[mmm-yyyy']]]&lt;=AL$4),IF(ISBLANK(Tbl_ResidentData[[#This Row],[Discharge '[mmm-yyyy']]]),TRUE,(Tbl_ResidentData[[#This Row],[Discharge '[mmm-yyyy']]]&gt;=AL$4)))))</f>
        <v>-</v>
      </c>
      <c r="AM115" s="121" t="str">
        <f ca="1">IF(AM$4&gt;NOW(),"-",IF(ISBLANK(Tbl_ResidentData[[#This Row],[Enrollment '[mmm-yyyy']]]),"-",AND((Tbl_ResidentData[[#This Row],[Enrollment '[mmm-yyyy']]]&lt;=AM$4),IF(ISBLANK(Tbl_ResidentData[[#This Row],[Discharge '[mmm-yyyy']]]),TRUE,(Tbl_ResidentData[[#This Row],[Discharge '[mmm-yyyy']]]&gt;=AM$4)))))</f>
        <v>-</v>
      </c>
      <c r="AN115" s="121" t="str">
        <f ca="1">IF(AN$4&gt;NOW(),"-",IF(ISBLANK(Tbl_ResidentData[[#This Row],[Enrollment '[mmm-yyyy']]]),"-",AND((Tbl_ResidentData[[#This Row],[Enrollment '[mmm-yyyy']]]&lt;=AN$4),IF(ISBLANK(Tbl_ResidentData[[#This Row],[Discharge '[mmm-yyyy']]]),TRUE,(Tbl_ResidentData[[#This Row],[Discharge '[mmm-yyyy']]]&gt;=AN$4)))))</f>
        <v>-</v>
      </c>
      <c r="AO115" s="121" t="str">
        <f ca="1">IF(AO$4&gt;NOW(),"-",IF(ISBLANK(Tbl_ResidentData[[#This Row],[Enrollment '[mmm-yyyy']]]),"-",AND((Tbl_ResidentData[[#This Row],[Enrollment '[mmm-yyyy']]]&lt;=AO$4),IF(ISBLANK(Tbl_ResidentData[[#This Row],[Discharge '[mmm-yyyy']]]),TRUE,(Tbl_ResidentData[[#This Row],[Discharge '[mmm-yyyy']]]&gt;=AO$4)))))</f>
        <v>-</v>
      </c>
      <c r="AP115" s="121" t="str">
        <f ca="1">IF(AP$4&gt;NOW(),"-",IF(ISBLANK(Tbl_ResidentData[[#This Row],[Enrollment '[mmm-yyyy']]]),"-",AND((Tbl_ResidentData[[#This Row],[Enrollment '[mmm-yyyy']]]&lt;=AP$4),IF(ISBLANK(Tbl_ResidentData[[#This Row],[Discharge '[mmm-yyyy']]]),TRUE,(Tbl_ResidentData[[#This Row],[Discharge '[mmm-yyyy']]]&gt;=AP$4)))))</f>
        <v>-</v>
      </c>
      <c r="AQ115" s="121" t="str">
        <f ca="1">IF(AQ$4&gt;NOW(),"-",IF(ISBLANK(Tbl_ResidentData[[#This Row],[Enrollment '[mmm-yyyy']]]),"-",AND((Tbl_ResidentData[[#This Row],[Enrollment '[mmm-yyyy']]]&lt;=AQ$4),IF(ISBLANK(Tbl_ResidentData[[#This Row],[Discharge '[mmm-yyyy']]]),TRUE,(Tbl_ResidentData[[#This Row],[Discharge '[mmm-yyyy']]]&gt;=AQ$4)))))</f>
        <v>-</v>
      </c>
      <c r="AR115" s="122" t="str">
        <f ca="1">IF(AR$4&gt;NOW(),"-",IF(ISBLANK(Tbl_ResidentData[[#This Row],[Enrollment '[mmm-yyyy']]]),"-",AND((Tbl_ResidentData[[#This Row],[Enrollment '[mmm-yyyy']]]&lt;=AR$4),IF(ISBLANK(Tbl_ResidentData[[#This Row],[Discharge '[mmm-yyyy']]]),TRUE,(Tbl_ResidentData[[#This Row],[Discharge '[mmm-yyyy']]]&gt;=AR$4)))))</f>
        <v>-</v>
      </c>
      <c r="AS11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5" s="120" t="b">
        <f ca="1">AND(Tbl_ResidentData[[#This Row],[PRN Med Started]]&lt;&gt;"",Tbl_ResidentData[[#This Row],[PRN Med Started]]&lt;=NOW(),Tbl_ResidentData[[#This Row],[PRN Med Started]]&lt;=AS$4,OR(Tbl_ResidentData[[#This Row],[PRN Med Discontinued]]&gt;AS$4,ISBLANK(Tbl_ResidentData[[#This Row],[PRN Med Discontinued]])))</f>
        <v>0</v>
      </c>
      <c r="BR115" s="121" t="b">
        <f ca="1">AND(Tbl_ResidentData[[#This Row],[PRN Med Started]]&lt;&gt;"",Tbl_ResidentData[[#This Row],[PRN Med Started]]&lt;=NOW(),Tbl_ResidentData[[#This Row],[PRN Med Started]]&lt;=AT$4,OR(Tbl_ResidentData[[#This Row],[PRN Med Discontinued]]&gt;AT$4,ISBLANK(Tbl_ResidentData[[#This Row],[PRN Med Discontinued]])))</f>
        <v>0</v>
      </c>
      <c r="BS115" s="121" t="b">
        <f ca="1">AND(Tbl_ResidentData[[#This Row],[PRN Med Started]]&lt;&gt;"",Tbl_ResidentData[[#This Row],[PRN Med Started]]&lt;=NOW(),Tbl_ResidentData[[#This Row],[PRN Med Started]]&lt;=AU$4,OR(Tbl_ResidentData[[#This Row],[PRN Med Discontinued]]&gt;AU$4,ISBLANK(Tbl_ResidentData[[#This Row],[PRN Med Discontinued]])))</f>
        <v>0</v>
      </c>
      <c r="BT115" s="121" t="b">
        <f ca="1">AND(Tbl_ResidentData[[#This Row],[PRN Med Started]]&lt;&gt;"",Tbl_ResidentData[[#This Row],[PRN Med Started]]&lt;=NOW(),Tbl_ResidentData[[#This Row],[PRN Med Started]]&lt;=AV$4,OR(Tbl_ResidentData[[#This Row],[PRN Med Discontinued]]&gt;AV$4,ISBLANK(Tbl_ResidentData[[#This Row],[PRN Med Discontinued]])))</f>
        <v>0</v>
      </c>
      <c r="BU115" s="121" t="b">
        <f ca="1">AND(Tbl_ResidentData[[#This Row],[PRN Med Started]]&lt;&gt;"",Tbl_ResidentData[[#This Row],[PRN Med Started]]&lt;=NOW(),Tbl_ResidentData[[#This Row],[PRN Med Started]]&lt;=AW$4,OR(Tbl_ResidentData[[#This Row],[PRN Med Discontinued]]&gt;AW$4,ISBLANK(Tbl_ResidentData[[#This Row],[PRN Med Discontinued]])))</f>
        <v>0</v>
      </c>
      <c r="BV115" s="121" t="b">
        <f ca="1">AND(Tbl_ResidentData[[#This Row],[PRN Med Started]]&lt;&gt;"",Tbl_ResidentData[[#This Row],[PRN Med Started]]&lt;=NOW(),Tbl_ResidentData[[#This Row],[PRN Med Started]]&lt;=AX$4,OR(Tbl_ResidentData[[#This Row],[PRN Med Discontinued]]&gt;AX$4,ISBLANK(Tbl_ResidentData[[#This Row],[PRN Med Discontinued]])))</f>
        <v>0</v>
      </c>
      <c r="BW115" s="121" t="b">
        <f ca="1">AND(Tbl_ResidentData[[#This Row],[PRN Med Started]]&lt;&gt;"",Tbl_ResidentData[[#This Row],[PRN Med Started]]&lt;=NOW(),Tbl_ResidentData[[#This Row],[PRN Med Started]]&lt;=AY$4,OR(Tbl_ResidentData[[#This Row],[PRN Med Discontinued]]&gt;AY$4,ISBLANK(Tbl_ResidentData[[#This Row],[PRN Med Discontinued]])))</f>
        <v>0</v>
      </c>
      <c r="BX115" s="121" t="b">
        <f ca="1">AND(Tbl_ResidentData[[#This Row],[PRN Med Started]]&lt;&gt;"",Tbl_ResidentData[[#This Row],[PRN Med Started]]&lt;=NOW(),Tbl_ResidentData[[#This Row],[PRN Med Started]]&lt;=AZ$4,OR(Tbl_ResidentData[[#This Row],[PRN Med Discontinued]]&gt;AZ$4,ISBLANK(Tbl_ResidentData[[#This Row],[PRN Med Discontinued]])))</f>
        <v>0</v>
      </c>
      <c r="BY115" s="121" t="b">
        <f ca="1">AND(Tbl_ResidentData[[#This Row],[PRN Med Started]]&lt;&gt;"",Tbl_ResidentData[[#This Row],[PRN Med Started]]&lt;=NOW(),Tbl_ResidentData[[#This Row],[PRN Med Started]]&lt;=BA$4,OR(Tbl_ResidentData[[#This Row],[PRN Med Discontinued]]&gt;BA$4,ISBLANK(Tbl_ResidentData[[#This Row],[PRN Med Discontinued]])))</f>
        <v>0</v>
      </c>
      <c r="BZ115" s="121" t="b">
        <f ca="1">AND(Tbl_ResidentData[[#This Row],[PRN Med Started]]&lt;&gt;"",Tbl_ResidentData[[#This Row],[PRN Med Started]]&lt;=NOW(),Tbl_ResidentData[[#This Row],[PRN Med Started]]&lt;=BB$4,OR(Tbl_ResidentData[[#This Row],[PRN Med Discontinued]]&gt;BB$4,ISBLANK(Tbl_ResidentData[[#This Row],[PRN Med Discontinued]])))</f>
        <v>0</v>
      </c>
      <c r="CA115" s="121" t="b">
        <f ca="1">AND(Tbl_ResidentData[[#This Row],[PRN Med Started]]&lt;&gt;"",Tbl_ResidentData[[#This Row],[PRN Med Started]]&lt;=NOW(),Tbl_ResidentData[[#This Row],[PRN Med Started]]&lt;=BC$4,OR(Tbl_ResidentData[[#This Row],[PRN Med Discontinued]]&gt;BC$4,ISBLANK(Tbl_ResidentData[[#This Row],[PRN Med Discontinued]])))</f>
        <v>0</v>
      </c>
      <c r="CB115" s="121" t="b">
        <f ca="1">AND(Tbl_ResidentData[[#This Row],[PRN Med Started]]&lt;&gt;"",Tbl_ResidentData[[#This Row],[PRN Med Started]]&lt;=NOW(),Tbl_ResidentData[[#This Row],[PRN Med Started]]&lt;=BD$4,OR(Tbl_ResidentData[[#This Row],[PRN Med Discontinued]]&gt;BD$4,ISBLANK(Tbl_ResidentData[[#This Row],[PRN Med Discontinued]])))</f>
        <v>0</v>
      </c>
      <c r="CC115" s="121" t="b">
        <f ca="1">AND(Tbl_ResidentData[[#This Row],[PRN Med Started]]&lt;&gt;"",Tbl_ResidentData[[#This Row],[PRN Med Started]]&lt;=NOW(),Tbl_ResidentData[[#This Row],[PRN Med Started]]&lt;=BE$4,OR(Tbl_ResidentData[[#This Row],[PRN Med Discontinued]]&gt;BE$4,ISBLANK(Tbl_ResidentData[[#This Row],[PRN Med Discontinued]])))</f>
        <v>0</v>
      </c>
      <c r="CD115" s="121" t="b">
        <f ca="1">AND(Tbl_ResidentData[[#This Row],[PRN Med Started]]&lt;&gt;"",Tbl_ResidentData[[#This Row],[PRN Med Started]]&lt;=NOW(),Tbl_ResidentData[[#This Row],[PRN Med Started]]&lt;=BF$4,OR(Tbl_ResidentData[[#This Row],[PRN Med Discontinued]]&gt;BF$4,ISBLANK(Tbl_ResidentData[[#This Row],[PRN Med Discontinued]])))</f>
        <v>0</v>
      </c>
      <c r="CE115" s="121" t="b">
        <f ca="1">AND(Tbl_ResidentData[[#This Row],[PRN Med Started]]&lt;&gt;"",Tbl_ResidentData[[#This Row],[PRN Med Started]]&lt;=NOW(),Tbl_ResidentData[[#This Row],[PRN Med Started]]&lt;=BG$4,OR(Tbl_ResidentData[[#This Row],[PRN Med Discontinued]]&gt;BG$4,ISBLANK(Tbl_ResidentData[[#This Row],[PRN Med Discontinued]])))</f>
        <v>0</v>
      </c>
      <c r="CF115" s="121" t="b">
        <f ca="1">AND(Tbl_ResidentData[[#This Row],[PRN Med Started]]&lt;&gt;"",Tbl_ResidentData[[#This Row],[PRN Med Started]]&lt;=NOW(),Tbl_ResidentData[[#This Row],[PRN Med Started]]&lt;=BH$4,OR(Tbl_ResidentData[[#This Row],[PRN Med Discontinued]]&gt;BH$4,ISBLANK(Tbl_ResidentData[[#This Row],[PRN Med Discontinued]])))</f>
        <v>0</v>
      </c>
      <c r="CG115" s="121" t="b">
        <f ca="1">AND(Tbl_ResidentData[[#This Row],[PRN Med Started]]&lt;&gt;"",Tbl_ResidentData[[#This Row],[PRN Med Started]]&lt;=NOW(),Tbl_ResidentData[[#This Row],[PRN Med Started]]&lt;=BI$4,OR(Tbl_ResidentData[[#This Row],[PRN Med Discontinued]]&gt;BI$4,ISBLANK(Tbl_ResidentData[[#This Row],[PRN Med Discontinued]])))</f>
        <v>0</v>
      </c>
      <c r="CH115" s="121" t="b">
        <f ca="1">AND(Tbl_ResidentData[[#This Row],[PRN Med Started]]&lt;&gt;"",Tbl_ResidentData[[#This Row],[PRN Med Started]]&lt;=NOW(),Tbl_ResidentData[[#This Row],[PRN Med Started]]&lt;=BJ$4,OR(Tbl_ResidentData[[#This Row],[PRN Med Discontinued]]&gt;BJ$4,ISBLANK(Tbl_ResidentData[[#This Row],[PRN Med Discontinued]])))</f>
        <v>0</v>
      </c>
      <c r="CI115" s="121" t="b">
        <f ca="1">AND(Tbl_ResidentData[[#This Row],[PRN Med Started]]&lt;&gt;"",Tbl_ResidentData[[#This Row],[PRN Med Started]]&lt;=NOW(),Tbl_ResidentData[[#This Row],[PRN Med Started]]&lt;=BK$4,OR(Tbl_ResidentData[[#This Row],[PRN Med Discontinued]]&gt;BK$4,ISBLANK(Tbl_ResidentData[[#This Row],[PRN Med Discontinued]])))</f>
        <v>0</v>
      </c>
      <c r="CJ115" s="121" t="b">
        <f ca="1">AND(Tbl_ResidentData[[#This Row],[PRN Med Started]]&lt;&gt;"",Tbl_ResidentData[[#This Row],[PRN Med Started]]&lt;=NOW(),Tbl_ResidentData[[#This Row],[PRN Med Started]]&lt;=BL$4,OR(Tbl_ResidentData[[#This Row],[PRN Med Discontinued]]&gt;BL$4,ISBLANK(Tbl_ResidentData[[#This Row],[PRN Med Discontinued]])))</f>
        <v>0</v>
      </c>
      <c r="CK115" s="121" t="b">
        <f ca="1">AND(Tbl_ResidentData[[#This Row],[PRN Med Started]]&lt;&gt;"",Tbl_ResidentData[[#This Row],[PRN Med Started]]&lt;=NOW(),Tbl_ResidentData[[#This Row],[PRN Med Started]]&lt;=BM$4,OR(Tbl_ResidentData[[#This Row],[PRN Med Discontinued]]&gt;BM$4,ISBLANK(Tbl_ResidentData[[#This Row],[PRN Med Discontinued]])))</f>
        <v>0</v>
      </c>
      <c r="CL115" s="121" t="b">
        <f ca="1">AND(Tbl_ResidentData[[#This Row],[PRN Med Started]]&lt;&gt;"",Tbl_ResidentData[[#This Row],[PRN Med Started]]&lt;=NOW(),Tbl_ResidentData[[#This Row],[PRN Med Started]]&lt;=BN$4,OR(Tbl_ResidentData[[#This Row],[PRN Med Discontinued]]&gt;BN$4,ISBLANK(Tbl_ResidentData[[#This Row],[PRN Med Discontinued]])))</f>
        <v>0</v>
      </c>
      <c r="CM115" s="121" t="b">
        <f ca="1">AND(Tbl_ResidentData[[#This Row],[PRN Med Started]]&lt;&gt;"",Tbl_ResidentData[[#This Row],[PRN Med Started]]&lt;=NOW(),Tbl_ResidentData[[#This Row],[PRN Med Started]]&lt;=BO$4,OR(Tbl_ResidentData[[#This Row],[PRN Med Discontinued]]&gt;BO$4,ISBLANK(Tbl_ResidentData[[#This Row],[PRN Med Discontinued]])))</f>
        <v>0</v>
      </c>
      <c r="CN115" s="122" t="b">
        <f ca="1">AND(Tbl_ResidentData[[#This Row],[PRN Med Started]]&lt;&gt;"",Tbl_ResidentData[[#This Row],[PRN Med Started]]&lt;=NOW(),Tbl_ResidentData[[#This Row],[PRN Med Started]]&lt;=BP$4,OR(Tbl_ResidentData[[#This Row],[PRN Med Discontinued]]&gt;BP$4,ISBLANK(Tbl_ResidentData[[#This Row],[PRN Med Discontinued]])))</f>
        <v>0</v>
      </c>
      <c r="CO115" s="120">
        <f ca="1">IF(OR(Tbl_ResidentData[[#This Row],[S1]]=TRUE,Tbl_ResidentData[[#This Row],[P1]]=TRUE),1,0)</f>
        <v>0</v>
      </c>
      <c r="CP115" s="121">
        <f ca="1">IF(OR(Tbl_ResidentData[[#This Row],[S2]]=TRUE,Tbl_ResidentData[[#This Row],[P2]]=TRUE),1,0)</f>
        <v>0</v>
      </c>
      <c r="CQ115" s="121">
        <f ca="1">IF(OR(Tbl_ResidentData[[#This Row],[S3]]=TRUE,Tbl_ResidentData[[#This Row],[P3]]=TRUE),1,0)</f>
        <v>0</v>
      </c>
      <c r="CR115" s="120">
        <f ca="1">IF(OR(Tbl_ResidentData[[#This Row],[S4]]=TRUE,Tbl_ResidentData[[#This Row],[P4]]=TRUE),1,0)</f>
        <v>0</v>
      </c>
      <c r="CS115" s="120">
        <f ca="1">IF(OR(Tbl_ResidentData[[#This Row],[S5]]=TRUE,Tbl_ResidentData[[#This Row],[P5]]=TRUE),1,0)</f>
        <v>0</v>
      </c>
      <c r="CT115" s="120">
        <f ca="1">IF(OR(Tbl_ResidentData[[#This Row],[S6]]=TRUE,Tbl_ResidentData[[#This Row],[P6]]=TRUE),1,0)</f>
        <v>0</v>
      </c>
      <c r="CU115" s="120">
        <f ca="1">IF(OR(Tbl_ResidentData[[#This Row],[S7]]=TRUE,Tbl_ResidentData[[#This Row],[P7]]=TRUE),1,0)</f>
        <v>0</v>
      </c>
      <c r="CV115" s="120">
        <f ca="1">IF(OR(Tbl_ResidentData[[#This Row],[S8]]=TRUE,Tbl_ResidentData[[#This Row],[P8]]=TRUE),1,0)</f>
        <v>0</v>
      </c>
      <c r="CW115" s="120">
        <f ca="1">IF(OR(Tbl_ResidentData[[#This Row],[S9]]=TRUE,Tbl_ResidentData[[#This Row],[P9]]=TRUE),1,0)</f>
        <v>0</v>
      </c>
      <c r="CX115" s="120">
        <f ca="1">IF(OR(Tbl_ResidentData[[#This Row],[S10]]=TRUE,Tbl_ResidentData[[#This Row],[P10]]=TRUE),1,0)</f>
        <v>0</v>
      </c>
      <c r="CY115" s="120">
        <f ca="1">IF(OR(Tbl_ResidentData[[#This Row],[S11]]=TRUE,Tbl_ResidentData[[#This Row],[P11]]=TRUE),1,0)</f>
        <v>0</v>
      </c>
      <c r="CZ115" s="120">
        <f ca="1">IF(OR(Tbl_ResidentData[[#This Row],[S12]]=TRUE,Tbl_ResidentData[[#This Row],[P12]]=TRUE),1,0)</f>
        <v>0</v>
      </c>
      <c r="DA115" s="120">
        <f ca="1">IF(OR(Tbl_ResidentData[[#This Row],[S13]]=TRUE,Tbl_ResidentData[[#This Row],[P13]]=TRUE),1,0)</f>
        <v>0</v>
      </c>
      <c r="DB115" s="120">
        <f ca="1">IF(OR(Tbl_ResidentData[[#This Row],[S14]]=TRUE,Tbl_ResidentData[[#This Row],[P14]]=TRUE),1,0)</f>
        <v>0</v>
      </c>
      <c r="DC115" s="120">
        <f ca="1">IF(OR(Tbl_ResidentData[[#This Row],[S15]]=TRUE,Tbl_ResidentData[[#This Row],[P15]]=TRUE),1,0)</f>
        <v>0</v>
      </c>
      <c r="DD115" s="120">
        <f ca="1">IF(OR(Tbl_ResidentData[[#This Row],[S16]]=TRUE,Tbl_ResidentData[[#This Row],[P16]]=TRUE),1,0)</f>
        <v>0</v>
      </c>
      <c r="DE115" s="120">
        <f ca="1">IF(OR(Tbl_ResidentData[[#This Row],[S17]]=TRUE,Tbl_ResidentData[[#This Row],[P17]]=TRUE),1,0)</f>
        <v>0</v>
      </c>
      <c r="DF115" s="120">
        <f ca="1">IF(OR(Tbl_ResidentData[[#This Row],[S18]]=TRUE,Tbl_ResidentData[[#This Row],[P18]]=TRUE),1,0)</f>
        <v>0</v>
      </c>
      <c r="DG115" s="120">
        <f ca="1">IF(OR(Tbl_ResidentData[[#This Row],[S19]]=TRUE,Tbl_ResidentData[[#This Row],[P19]]=TRUE),1,0)</f>
        <v>0</v>
      </c>
      <c r="DH115" s="120">
        <f ca="1">IF(OR(Tbl_ResidentData[[#This Row],[S20]]=TRUE,Tbl_ResidentData[[#This Row],[P20]]=TRUE),1,0)</f>
        <v>0</v>
      </c>
      <c r="DI115" s="120">
        <f ca="1">IF(OR(Tbl_ResidentData[[#This Row],[S21]]=TRUE,Tbl_ResidentData[[#This Row],[P21]]=TRUE),1,0)</f>
        <v>0</v>
      </c>
      <c r="DJ115" s="120">
        <f ca="1">IF(OR(Tbl_ResidentData[[#This Row],[S22]]=TRUE,Tbl_ResidentData[[#This Row],[P22]]=TRUE),1,0)</f>
        <v>0</v>
      </c>
      <c r="DK115" s="120">
        <f ca="1">IF(OR(Tbl_ResidentData[[#This Row],[S23]]=TRUE,Tbl_ResidentData[[#This Row],[P23]]=TRUE),1,0)</f>
        <v>0</v>
      </c>
      <c r="DL115" s="120">
        <f ca="1">IF(OR(Tbl_ResidentData[[#This Row],[S24]]=TRUE,Tbl_ResidentData[[#This Row],[P24]]=TRUE),1,0)</f>
        <v>0</v>
      </c>
      <c r="DM115" s="123" t="str">
        <f ca="1">IFERROR(INDEX($CO$4:$DL$4,MATCH(TRUE,INDEX((Tbl_ResidentData[[#This Row],[Over1]:[Over24]]&lt;&gt;0),0),0)),"")</f>
        <v/>
      </c>
      <c r="DN115" s="133" t="str">
        <f>IFERROR(INDEX(Tbl_PDSAData[Last DRT],MATCH(Tbl_ResidentData[Resident Name '[last, first']],Tbl_PDSAData[Resident Name (last, first)],0)),"")</f>
        <v/>
      </c>
      <c r="DO115" s="222" t="str">
        <f>IFERROR(INDEX(Tbl_PDSAData[Last MR],MATCH(Tbl_ResidentData[Resident Name '[last, first']],Tbl_PDSAData[Resident Name (last, first)],0)),"")</f>
        <v/>
      </c>
    </row>
    <row r="116" spans="1:119" x14ac:dyDescent="0.25">
      <c r="A116" s="179"/>
      <c r="B116" s="180"/>
      <c r="C116" s="180"/>
      <c r="D116" s="217"/>
      <c r="E116" s="179"/>
      <c r="F116" s="181"/>
      <c r="G116" s="181"/>
      <c r="H116" s="375"/>
      <c r="I116" s="185"/>
      <c r="J116" s="387"/>
      <c r="K116" s="178"/>
      <c r="L116" s="388"/>
      <c r="M116" s="185"/>
      <c r="N116" s="386"/>
      <c r="O116" s="178"/>
      <c r="P116" s="388"/>
      <c r="Q116" s="394"/>
      <c r="R116" s="388"/>
      <c r="S116" s="131" t="str">
        <f>IF(ISBLANK(Tbl_ResidentData[[#This Row],[Discharge '[mmm-yyyy']]]),IF(ISBLANK(Tbl_ResidentData[[#This Row],[Enrollment '[mmm-yyyy']]]),"","In Care Home"),"Discharged")</f>
        <v/>
      </c>
      <c r="T116" s="119" t="str">
        <f>IF(ISBLANK(Tbl_ResidentData[[#This Row],[Diagnosis (RAI)]]),IF(ISBLANK(Tbl_ResidentData[[#This Row],[Resident Name '[last, first']]]),"",0),IF(Tbl_ResidentData[[#This Row],[Diagnosis (RAI)]]="Other (see clinical notes)",0,1))</f>
        <v/>
      </c>
      <c r="U116" s="120" t="str">
        <f ca="1">IF(U$4&gt;NOW(),"-",IF(ISBLANK(Tbl_ResidentData[[#This Row],[Enrollment '[mmm-yyyy']]]),"-",AND((Tbl_ResidentData[[#This Row],[Enrollment '[mmm-yyyy']]]&lt;=U$4),IF(ISBLANK(Tbl_ResidentData[[#This Row],[Discharge '[mmm-yyyy']]]),TRUE,(Tbl_ResidentData[[#This Row],[Discharge '[mmm-yyyy']]]&gt;=U$4)))))</f>
        <v>-</v>
      </c>
      <c r="V116" s="121" t="str">
        <f ca="1">IF(V$4&gt;NOW(),"-",IF(ISBLANK(Tbl_ResidentData[[#This Row],[Enrollment '[mmm-yyyy']]]),"-",AND((Tbl_ResidentData[[#This Row],[Enrollment '[mmm-yyyy']]]&lt;=V$4),IF(ISBLANK(Tbl_ResidentData[[#This Row],[Discharge '[mmm-yyyy']]]),TRUE,(Tbl_ResidentData[[#This Row],[Discharge '[mmm-yyyy']]]&gt;=V$4)))))</f>
        <v>-</v>
      </c>
      <c r="W116" s="121" t="str">
        <f ca="1">IF(W$4&gt;NOW(),"-",IF(ISBLANK(Tbl_ResidentData[[#This Row],[Enrollment '[mmm-yyyy']]]),"-",AND((Tbl_ResidentData[[#This Row],[Enrollment '[mmm-yyyy']]]&lt;=W$4),IF(ISBLANK(Tbl_ResidentData[[#This Row],[Discharge '[mmm-yyyy']]]),TRUE,(Tbl_ResidentData[[#This Row],[Discharge '[mmm-yyyy']]]&gt;=W$4)))))</f>
        <v>-</v>
      </c>
      <c r="X116" s="121" t="str">
        <f ca="1">IF(X$4&gt;NOW(),"-",IF(ISBLANK(Tbl_ResidentData[[#This Row],[Enrollment '[mmm-yyyy']]]),"-",AND((Tbl_ResidentData[[#This Row],[Enrollment '[mmm-yyyy']]]&lt;=X$4),IF(ISBLANK(Tbl_ResidentData[[#This Row],[Discharge '[mmm-yyyy']]]),TRUE,(Tbl_ResidentData[[#This Row],[Discharge '[mmm-yyyy']]]&gt;=X$4)))))</f>
        <v>-</v>
      </c>
      <c r="Y116" s="121" t="str">
        <f ca="1">IF(Y$4&gt;NOW(),"-",IF(ISBLANK(Tbl_ResidentData[[#This Row],[Enrollment '[mmm-yyyy']]]),"-",AND((Tbl_ResidentData[[#This Row],[Enrollment '[mmm-yyyy']]]&lt;=Y$4),IF(ISBLANK(Tbl_ResidentData[[#This Row],[Discharge '[mmm-yyyy']]]),TRUE,(Tbl_ResidentData[[#This Row],[Discharge '[mmm-yyyy']]]&gt;=Y$4)))))</f>
        <v>-</v>
      </c>
      <c r="Z116" s="121" t="str">
        <f ca="1">IF(Z$4&gt;NOW(),"-",IF(ISBLANK(Tbl_ResidentData[[#This Row],[Enrollment '[mmm-yyyy']]]),"-",AND((Tbl_ResidentData[[#This Row],[Enrollment '[mmm-yyyy']]]&lt;=Z$4),IF(ISBLANK(Tbl_ResidentData[[#This Row],[Discharge '[mmm-yyyy']]]),TRUE,(Tbl_ResidentData[[#This Row],[Discharge '[mmm-yyyy']]]&gt;=Z$4)))))</f>
        <v>-</v>
      </c>
      <c r="AA116" s="121" t="str">
        <f ca="1">IF(AA$4&gt;NOW(),"-",IF(ISBLANK(Tbl_ResidentData[[#This Row],[Enrollment '[mmm-yyyy']]]),"-",AND((Tbl_ResidentData[[#This Row],[Enrollment '[mmm-yyyy']]]&lt;=AA$4),IF(ISBLANK(Tbl_ResidentData[[#This Row],[Discharge '[mmm-yyyy']]]),TRUE,(Tbl_ResidentData[[#This Row],[Discharge '[mmm-yyyy']]]&gt;=AA$4)))))</f>
        <v>-</v>
      </c>
      <c r="AB116" s="121" t="str">
        <f ca="1">IF(AB$4&gt;NOW(),"-",IF(ISBLANK(Tbl_ResidentData[[#This Row],[Enrollment '[mmm-yyyy']]]),"-",AND((Tbl_ResidentData[[#This Row],[Enrollment '[mmm-yyyy']]]&lt;=AB$4),IF(ISBLANK(Tbl_ResidentData[[#This Row],[Discharge '[mmm-yyyy']]]),TRUE,(Tbl_ResidentData[[#This Row],[Discharge '[mmm-yyyy']]]&gt;=AB$4)))))</f>
        <v>-</v>
      </c>
      <c r="AC116" s="121" t="str">
        <f ca="1">IF(AC$4&gt;NOW(),"-",IF(ISBLANK(Tbl_ResidentData[[#This Row],[Enrollment '[mmm-yyyy']]]),"-",AND((Tbl_ResidentData[[#This Row],[Enrollment '[mmm-yyyy']]]&lt;=AC$4),IF(ISBLANK(Tbl_ResidentData[[#This Row],[Discharge '[mmm-yyyy']]]),TRUE,(Tbl_ResidentData[[#This Row],[Discharge '[mmm-yyyy']]]&gt;=AC$4)))))</f>
        <v>-</v>
      </c>
      <c r="AD116" s="121" t="str">
        <f ca="1">IF(AD$4&gt;NOW(),"-",IF(ISBLANK(Tbl_ResidentData[[#This Row],[Enrollment '[mmm-yyyy']]]),"-",AND((Tbl_ResidentData[[#This Row],[Enrollment '[mmm-yyyy']]]&lt;=AD$4),IF(ISBLANK(Tbl_ResidentData[[#This Row],[Discharge '[mmm-yyyy']]]),TRUE,(Tbl_ResidentData[[#This Row],[Discharge '[mmm-yyyy']]]&gt;=AD$4)))))</f>
        <v>-</v>
      </c>
      <c r="AE116" s="121" t="str">
        <f ca="1">IF(AE$4&gt;NOW(),"-",IF(ISBLANK(Tbl_ResidentData[[#This Row],[Enrollment '[mmm-yyyy']]]),"-",AND((Tbl_ResidentData[[#This Row],[Enrollment '[mmm-yyyy']]]&lt;=AE$4),IF(ISBLANK(Tbl_ResidentData[[#This Row],[Discharge '[mmm-yyyy']]]),TRUE,(Tbl_ResidentData[[#This Row],[Discharge '[mmm-yyyy']]]&gt;=AE$4)))))</f>
        <v>-</v>
      </c>
      <c r="AF116" s="121" t="str">
        <f ca="1">IF(AF$4&gt;NOW(),"-",IF(ISBLANK(Tbl_ResidentData[[#This Row],[Enrollment '[mmm-yyyy']]]),"-",AND((Tbl_ResidentData[[#This Row],[Enrollment '[mmm-yyyy']]]&lt;=AF$4),IF(ISBLANK(Tbl_ResidentData[[#This Row],[Discharge '[mmm-yyyy']]]),TRUE,(Tbl_ResidentData[[#This Row],[Discharge '[mmm-yyyy']]]&gt;=AF$4)))))</f>
        <v>-</v>
      </c>
      <c r="AG116" s="121" t="str">
        <f ca="1">IF(AG$4&gt;NOW(),"-",IF(ISBLANK(Tbl_ResidentData[[#This Row],[Enrollment '[mmm-yyyy']]]),"-",AND((Tbl_ResidentData[[#This Row],[Enrollment '[mmm-yyyy']]]&lt;=AG$4),IF(ISBLANK(Tbl_ResidentData[[#This Row],[Discharge '[mmm-yyyy']]]),TRUE,(Tbl_ResidentData[[#This Row],[Discharge '[mmm-yyyy']]]&gt;=AG$4)))))</f>
        <v>-</v>
      </c>
      <c r="AH116" s="121" t="str">
        <f ca="1">IF(AH$4&gt;NOW(),"-",IF(ISBLANK(Tbl_ResidentData[[#This Row],[Enrollment '[mmm-yyyy']]]),"-",AND((Tbl_ResidentData[[#This Row],[Enrollment '[mmm-yyyy']]]&lt;=AH$4),IF(ISBLANK(Tbl_ResidentData[[#This Row],[Discharge '[mmm-yyyy']]]),TRUE,(Tbl_ResidentData[[#This Row],[Discharge '[mmm-yyyy']]]&gt;=AH$4)))))</f>
        <v>-</v>
      </c>
      <c r="AI116" s="121" t="str">
        <f ca="1">IF(AI$4&gt;NOW(),"-",IF(ISBLANK(Tbl_ResidentData[[#This Row],[Enrollment '[mmm-yyyy']]]),"-",AND((Tbl_ResidentData[[#This Row],[Enrollment '[mmm-yyyy']]]&lt;=AI$4),IF(ISBLANK(Tbl_ResidentData[[#This Row],[Discharge '[mmm-yyyy']]]),TRUE,(Tbl_ResidentData[[#This Row],[Discharge '[mmm-yyyy']]]&gt;=AI$4)))))</f>
        <v>-</v>
      </c>
      <c r="AJ116" s="121" t="str">
        <f ca="1">IF(AJ$4&gt;NOW(),"-",IF(ISBLANK(Tbl_ResidentData[[#This Row],[Enrollment '[mmm-yyyy']]]),"-",AND((Tbl_ResidentData[[#This Row],[Enrollment '[mmm-yyyy']]]&lt;=AJ$4),IF(ISBLANK(Tbl_ResidentData[[#This Row],[Discharge '[mmm-yyyy']]]),TRUE,(Tbl_ResidentData[[#This Row],[Discharge '[mmm-yyyy']]]&gt;=AJ$4)))))</f>
        <v>-</v>
      </c>
      <c r="AK116" s="121" t="str">
        <f ca="1">IF(AK$4&gt;NOW(),"-",IF(ISBLANK(Tbl_ResidentData[[#This Row],[Enrollment '[mmm-yyyy']]]),"-",AND((Tbl_ResidentData[[#This Row],[Enrollment '[mmm-yyyy']]]&lt;=AK$4),IF(ISBLANK(Tbl_ResidentData[[#This Row],[Discharge '[mmm-yyyy']]]),TRUE,(Tbl_ResidentData[[#This Row],[Discharge '[mmm-yyyy']]]&gt;=AK$4)))))</f>
        <v>-</v>
      </c>
      <c r="AL116" s="121" t="str">
        <f ca="1">IF(AL$4&gt;NOW(),"-",IF(ISBLANK(Tbl_ResidentData[[#This Row],[Enrollment '[mmm-yyyy']]]),"-",AND((Tbl_ResidentData[[#This Row],[Enrollment '[mmm-yyyy']]]&lt;=AL$4),IF(ISBLANK(Tbl_ResidentData[[#This Row],[Discharge '[mmm-yyyy']]]),TRUE,(Tbl_ResidentData[[#This Row],[Discharge '[mmm-yyyy']]]&gt;=AL$4)))))</f>
        <v>-</v>
      </c>
      <c r="AM116" s="121" t="str">
        <f ca="1">IF(AM$4&gt;NOW(),"-",IF(ISBLANK(Tbl_ResidentData[[#This Row],[Enrollment '[mmm-yyyy']]]),"-",AND((Tbl_ResidentData[[#This Row],[Enrollment '[mmm-yyyy']]]&lt;=AM$4),IF(ISBLANK(Tbl_ResidentData[[#This Row],[Discharge '[mmm-yyyy']]]),TRUE,(Tbl_ResidentData[[#This Row],[Discharge '[mmm-yyyy']]]&gt;=AM$4)))))</f>
        <v>-</v>
      </c>
      <c r="AN116" s="121" t="str">
        <f ca="1">IF(AN$4&gt;NOW(),"-",IF(ISBLANK(Tbl_ResidentData[[#This Row],[Enrollment '[mmm-yyyy']]]),"-",AND((Tbl_ResidentData[[#This Row],[Enrollment '[mmm-yyyy']]]&lt;=AN$4),IF(ISBLANK(Tbl_ResidentData[[#This Row],[Discharge '[mmm-yyyy']]]),TRUE,(Tbl_ResidentData[[#This Row],[Discharge '[mmm-yyyy']]]&gt;=AN$4)))))</f>
        <v>-</v>
      </c>
      <c r="AO116" s="121" t="str">
        <f ca="1">IF(AO$4&gt;NOW(),"-",IF(ISBLANK(Tbl_ResidentData[[#This Row],[Enrollment '[mmm-yyyy']]]),"-",AND((Tbl_ResidentData[[#This Row],[Enrollment '[mmm-yyyy']]]&lt;=AO$4),IF(ISBLANK(Tbl_ResidentData[[#This Row],[Discharge '[mmm-yyyy']]]),TRUE,(Tbl_ResidentData[[#This Row],[Discharge '[mmm-yyyy']]]&gt;=AO$4)))))</f>
        <v>-</v>
      </c>
      <c r="AP116" s="121" t="str">
        <f ca="1">IF(AP$4&gt;NOW(),"-",IF(ISBLANK(Tbl_ResidentData[[#This Row],[Enrollment '[mmm-yyyy']]]),"-",AND((Tbl_ResidentData[[#This Row],[Enrollment '[mmm-yyyy']]]&lt;=AP$4),IF(ISBLANK(Tbl_ResidentData[[#This Row],[Discharge '[mmm-yyyy']]]),TRUE,(Tbl_ResidentData[[#This Row],[Discharge '[mmm-yyyy']]]&gt;=AP$4)))))</f>
        <v>-</v>
      </c>
      <c r="AQ116" s="121" t="str">
        <f ca="1">IF(AQ$4&gt;NOW(),"-",IF(ISBLANK(Tbl_ResidentData[[#This Row],[Enrollment '[mmm-yyyy']]]),"-",AND((Tbl_ResidentData[[#This Row],[Enrollment '[mmm-yyyy']]]&lt;=AQ$4),IF(ISBLANK(Tbl_ResidentData[[#This Row],[Discharge '[mmm-yyyy']]]),TRUE,(Tbl_ResidentData[[#This Row],[Discharge '[mmm-yyyy']]]&gt;=AQ$4)))))</f>
        <v>-</v>
      </c>
      <c r="AR116" s="122" t="str">
        <f ca="1">IF(AR$4&gt;NOW(),"-",IF(ISBLANK(Tbl_ResidentData[[#This Row],[Enrollment '[mmm-yyyy']]]),"-",AND((Tbl_ResidentData[[#This Row],[Enrollment '[mmm-yyyy']]]&lt;=AR$4),IF(ISBLANK(Tbl_ResidentData[[#This Row],[Discharge '[mmm-yyyy']]]),TRUE,(Tbl_ResidentData[[#This Row],[Discharge '[mmm-yyyy']]]&gt;=AR$4)))))</f>
        <v>-</v>
      </c>
      <c r="AS11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6" s="120" t="b">
        <f ca="1">AND(Tbl_ResidentData[[#This Row],[PRN Med Started]]&lt;&gt;"",Tbl_ResidentData[[#This Row],[PRN Med Started]]&lt;=NOW(),Tbl_ResidentData[[#This Row],[PRN Med Started]]&lt;=AS$4,OR(Tbl_ResidentData[[#This Row],[PRN Med Discontinued]]&gt;AS$4,ISBLANK(Tbl_ResidentData[[#This Row],[PRN Med Discontinued]])))</f>
        <v>0</v>
      </c>
      <c r="BR116" s="121" t="b">
        <f ca="1">AND(Tbl_ResidentData[[#This Row],[PRN Med Started]]&lt;&gt;"",Tbl_ResidentData[[#This Row],[PRN Med Started]]&lt;=NOW(),Tbl_ResidentData[[#This Row],[PRN Med Started]]&lt;=AT$4,OR(Tbl_ResidentData[[#This Row],[PRN Med Discontinued]]&gt;AT$4,ISBLANK(Tbl_ResidentData[[#This Row],[PRN Med Discontinued]])))</f>
        <v>0</v>
      </c>
      <c r="BS116" s="121" t="b">
        <f ca="1">AND(Tbl_ResidentData[[#This Row],[PRN Med Started]]&lt;&gt;"",Tbl_ResidentData[[#This Row],[PRN Med Started]]&lt;=NOW(),Tbl_ResidentData[[#This Row],[PRN Med Started]]&lt;=AU$4,OR(Tbl_ResidentData[[#This Row],[PRN Med Discontinued]]&gt;AU$4,ISBLANK(Tbl_ResidentData[[#This Row],[PRN Med Discontinued]])))</f>
        <v>0</v>
      </c>
      <c r="BT116" s="121" t="b">
        <f ca="1">AND(Tbl_ResidentData[[#This Row],[PRN Med Started]]&lt;&gt;"",Tbl_ResidentData[[#This Row],[PRN Med Started]]&lt;=NOW(),Tbl_ResidentData[[#This Row],[PRN Med Started]]&lt;=AV$4,OR(Tbl_ResidentData[[#This Row],[PRN Med Discontinued]]&gt;AV$4,ISBLANK(Tbl_ResidentData[[#This Row],[PRN Med Discontinued]])))</f>
        <v>0</v>
      </c>
      <c r="BU116" s="121" t="b">
        <f ca="1">AND(Tbl_ResidentData[[#This Row],[PRN Med Started]]&lt;&gt;"",Tbl_ResidentData[[#This Row],[PRN Med Started]]&lt;=NOW(),Tbl_ResidentData[[#This Row],[PRN Med Started]]&lt;=AW$4,OR(Tbl_ResidentData[[#This Row],[PRN Med Discontinued]]&gt;AW$4,ISBLANK(Tbl_ResidentData[[#This Row],[PRN Med Discontinued]])))</f>
        <v>0</v>
      </c>
      <c r="BV116" s="121" t="b">
        <f ca="1">AND(Tbl_ResidentData[[#This Row],[PRN Med Started]]&lt;&gt;"",Tbl_ResidentData[[#This Row],[PRN Med Started]]&lt;=NOW(),Tbl_ResidentData[[#This Row],[PRN Med Started]]&lt;=AX$4,OR(Tbl_ResidentData[[#This Row],[PRN Med Discontinued]]&gt;AX$4,ISBLANK(Tbl_ResidentData[[#This Row],[PRN Med Discontinued]])))</f>
        <v>0</v>
      </c>
      <c r="BW116" s="121" t="b">
        <f ca="1">AND(Tbl_ResidentData[[#This Row],[PRN Med Started]]&lt;&gt;"",Tbl_ResidentData[[#This Row],[PRN Med Started]]&lt;=NOW(),Tbl_ResidentData[[#This Row],[PRN Med Started]]&lt;=AY$4,OR(Tbl_ResidentData[[#This Row],[PRN Med Discontinued]]&gt;AY$4,ISBLANK(Tbl_ResidentData[[#This Row],[PRN Med Discontinued]])))</f>
        <v>0</v>
      </c>
      <c r="BX116" s="121" t="b">
        <f ca="1">AND(Tbl_ResidentData[[#This Row],[PRN Med Started]]&lt;&gt;"",Tbl_ResidentData[[#This Row],[PRN Med Started]]&lt;=NOW(),Tbl_ResidentData[[#This Row],[PRN Med Started]]&lt;=AZ$4,OR(Tbl_ResidentData[[#This Row],[PRN Med Discontinued]]&gt;AZ$4,ISBLANK(Tbl_ResidentData[[#This Row],[PRN Med Discontinued]])))</f>
        <v>0</v>
      </c>
      <c r="BY116" s="121" t="b">
        <f ca="1">AND(Tbl_ResidentData[[#This Row],[PRN Med Started]]&lt;&gt;"",Tbl_ResidentData[[#This Row],[PRN Med Started]]&lt;=NOW(),Tbl_ResidentData[[#This Row],[PRN Med Started]]&lt;=BA$4,OR(Tbl_ResidentData[[#This Row],[PRN Med Discontinued]]&gt;BA$4,ISBLANK(Tbl_ResidentData[[#This Row],[PRN Med Discontinued]])))</f>
        <v>0</v>
      </c>
      <c r="BZ116" s="121" t="b">
        <f ca="1">AND(Tbl_ResidentData[[#This Row],[PRN Med Started]]&lt;&gt;"",Tbl_ResidentData[[#This Row],[PRN Med Started]]&lt;=NOW(),Tbl_ResidentData[[#This Row],[PRN Med Started]]&lt;=BB$4,OR(Tbl_ResidentData[[#This Row],[PRN Med Discontinued]]&gt;BB$4,ISBLANK(Tbl_ResidentData[[#This Row],[PRN Med Discontinued]])))</f>
        <v>0</v>
      </c>
      <c r="CA116" s="121" t="b">
        <f ca="1">AND(Tbl_ResidentData[[#This Row],[PRN Med Started]]&lt;&gt;"",Tbl_ResidentData[[#This Row],[PRN Med Started]]&lt;=NOW(),Tbl_ResidentData[[#This Row],[PRN Med Started]]&lt;=BC$4,OR(Tbl_ResidentData[[#This Row],[PRN Med Discontinued]]&gt;BC$4,ISBLANK(Tbl_ResidentData[[#This Row],[PRN Med Discontinued]])))</f>
        <v>0</v>
      </c>
      <c r="CB116" s="121" t="b">
        <f ca="1">AND(Tbl_ResidentData[[#This Row],[PRN Med Started]]&lt;&gt;"",Tbl_ResidentData[[#This Row],[PRN Med Started]]&lt;=NOW(),Tbl_ResidentData[[#This Row],[PRN Med Started]]&lt;=BD$4,OR(Tbl_ResidentData[[#This Row],[PRN Med Discontinued]]&gt;BD$4,ISBLANK(Tbl_ResidentData[[#This Row],[PRN Med Discontinued]])))</f>
        <v>0</v>
      </c>
      <c r="CC116" s="121" t="b">
        <f ca="1">AND(Tbl_ResidentData[[#This Row],[PRN Med Started]]&lt;&gt;"",Tbl_ResidentData[[#This Row],[PRN Med Started]]&lt;=NOW(),Tbl_ResidentData[[#This Row],[PRN Med Started]]&lt;=BE$4,OR(Tbl_ResidentData[[#This Row],[PRN Med Discontinued]]&gt;BE$4,ISBLANK(Tbl_ResidentData[[#This Row],[PRN Med Discontinued]])))</f>
        <v>0</v>
      </c>
      <c r="CD116" s="121" t="b">
        <f ca="1">AND(Tbl_ResidentData[[#This Row],[PRN Med Started]]&lt;&gt;"",Tbl_ResidentData[[#This Row],[PRN Med Started]]&lt;=NOW(),Tbl_ResidentData[[#This Row],[PRN Med Started]]&lt;=BF$4,OR(Tbl_ResidentData[[#This Row],[PRN Med Discontinued]]&gt;BF$4,ISBLANK(Tbl_ResidentData[[#This Row],[PRN Med Discontinued]])))</f>
        <v>0</v>
      </c>
      <c r="CE116" s="121" t="b">
        <f ca="1">AND(Tbl_ResidentData[[#This Row],[PRN Med Started]]&lt;&gt;"",Tbl_ResidentData[[#This Row],[PRN Med Started]]&lt;=NOW(),Tbl_ResidentData[[#This Row],[PRN Med Started]]&lt;=BG$4,OR(Tbl_ResidentData[[#This Row],[PRN Med Discontinued]]&gt;BG$4,ISBLANK(Tbl_ResidentData[[#This Row],[PRN Med Discontinued]])))</f>
        <v>0</v>
      </c>
      <c r="CF116" s="121" t="b">
        <f ca="1">AND(Tbl_ResidentData[[#This Row],[PRN Med Started]]&lt;&gt;"",Tbl_ResidentData[[#This Row],[PRN Med Started]]&lt;=NOW(),Tbl_ResidentData[[#This Row],[PRN Med Started]]&lt;=BH$4,OR(Tbl_ResidentData[[#This Row],[PRN Med Discontinued]]&gt;BH$4,ISBLANK(Tbl_ResidentData[[#This Row],[PRN Med Discontinued]])))</f>
        <v>0</v>
      </c>
      <c r="CG116" s="121" t="b">
        <f ca="1">AND(Tbl_ResidentData[[#This Row],[PRN Med Started]]&lt;&gt;"",Tbl_ResidentData[[#This Row],[PRN Med Started]]&lt;=NOW(),Tbl_ResidentData[[#This Row],[PRN Med Started]]&lt;=BI$4,OR(Tbl_ResidentData[[#This Row],[PRN Med Discontinued]]&gt;BI$4,ISBLANK(Tbl_ResidentData[[#This Row],[PRN Med Discontinued]])))</f>
        <v>0</v>
      </c>
      <c r="CH116" s="121" t="b">
        <f ca="1">AND(Tbl_ResidentData[[#This Row],[PRN Med Started]]&lt;&gt;"",Tbl_ResidentData[[#This Row],[PRN Med Started]]&lt;=NOW(),Tbl_ResidentData[[#This Row],[PRN Med Started]]&lt;=BJ$4,OR(Tbl_ResidentData[[#This Row],[PRN Med Discontinued]]&gt;BJ$4,ISBLANK(Tbl_ResidentData[[#This Row],[PRN Med Discontinued]])))</f>
        <v>0</v>
      </c>
      <c r="CI116" s="121" t="b">
        <f ca="1">AND(Tbl_ResidentData[[#This Row],[PRN Med Started]]&lt;&gt;"",Tbl_ResidentData[[#This Row],[PRN Med Started]]&lt;=NOW(),Tbl_ResidentData[[#This Row],[PRN Med Started]]&lt;=BK$4,OR(Tbl_ResidentData[[#This Row],[PRN Med Discontinued]]&gt;BK$4,ISBLANK(Tbl_ResidentData[[#This Row],[PRN Med Discontinued]])))</f>
        <v>0</v>
      </c>
      <c r="CJ116" s="121" t="b">
        <f ca="1">AND(Tbl_ResidentData[[#This Row],[PRN Med Started]]&lt;&gt;"",Tbl_ResidentData[[#This Row],[PRN Med Started]]&lt;=NOW(),Tbl_ResidentData[[#This Row],[PRN Med Started]]&lt;=BL$4,OR(Tbl_ResidentData[[#This Row],[PRN Med Discontinued]]&gt;BL$4,ISBLANK(Tbl_ResidentData[[#This Row],[PRN Med Discontinued]])))</f>
        <v>0</v>
      </c>
      <c r="CK116" s="121" t="b">
        <f ca="1">AND(Tbl_ResidentData[[#This Row],[PRN Med Started]]&lt;&gt;"",Tbl_ResidentData[[#This Row],[PRN Med Started]]&lt;=NOW(),Tbl_ResidentData[[#This Row],[PRN Med Started]]&lt;=BM$4,OR(Tbl_ResidentData[[#This Row],[PRN Med Discontinued]]&gt;BM$4,ISBLANK(Tbl_ResidentData[[#This Row],[PRN Med Discontinued]])))</f>
        <v>0</v>
      </c>
      <c r="CL116" s="121" t="b">
        <f ca="1">AND(Tbl_ResidentData[[#This Row],[PRN Med Started]]&lt;&gt;"",Tbl_ResidentData[[#This Row],[PRN Med Started]]&lt;=NOW(),Tbl_ResidentData[[#This Row],[PRN Med Started]]&lt;=BN$4,OR(Tbl_ResidentData[[#This Row],[PRN Med Discontinued]]&gt;BN$4,ISBLANK(Tbl_ResidentData[[#This Row],[PRN Med Discontinued]])))</f>
        <v>0</v>
      </c>
      <c r="CM116" s="121" t="b">
        <f ca="1">AND(Tbl_ResidentData[[#This Row],[PRN Med Started]]&lt;&gt;"",Tbl_ResidentData[[#This Row],[PRN Med Started]]&lt;=NOW(),Tbl_ResidentData[[#This Row],[PRN Med Started]]&lt;=BO$4,OR(Tbl_ResidentData[[#This Row],[PRN Med Discontinued]]&gt;BO$4,ISBLANK(Tbl_ResidentData[[#This Row],[PRN Med Discontinued]])))</f>
        <v>0</v>
      </c>
      <c r="CN116" s="122" t="b">
        <f ca="1">AND(Tbl_ResidentData[[#This Row],[PRN Med Started]]&lt;&gt;"",Tbl_ResidentData[[#This Row],[PRN Med Started]]&lt;=NOW(),Tbl_ResidentData[[#This Row],[PRN Med Started]]&lt;=BP$4,OR(Tbl_ResidentData[[#This Row],[PRN Med Discontinued]]&gt;BP$4,ISBLANK(Tbl_ResidentData[[#This Row],[PRN Med Discontinued]])))</f>
        <v>0</v>
      </c>
      <c r="CO116" s="120">
        <f ca="1">IF(OR(Tbl_ResidentData[[#This Row],[S1]]=TRUE,Tbl_ResidentData[[#This Row],[P1]]=TRUE),1,0)</f>
        <v>0</v>
      </c>
      <c r="CP116" s="121">
        <f ca="1">IF(OR(Tbl_ResidentData[[#This Row],[S2]]=TRUE,Tbl_ResidentData[[#This Row],[P2]]=TRUE),1,0)</f>
        <v>0</v>
      </c>
      <c r="CQ116" s="121">
        <f ca="1">IF(OR(Tbl_ResidentData[[#This Row],[S3]]=TRUE,Tbl_ResidentData[[#This Row],[P3]]=TRUE),1,0)</f>
        <v>0</v>
      </c>
      <c r="CR116" s="120">
        <f ca="1">IF(OR(Tbl_ResidentData[[#This Row],[S4]]=TRUE,Tbl_ResidentData[[#This Row],[P4]]=TRUE),1,0)</f>
        <v>0</v>
      </c>
      <c r="CS116" s="120">
        <f ca="1">IF(OR(Tbl_ResidentData[[#This Row],[S5]]=TRUE,Tbl_ResidentData[[#This Row],[P5]]=TRUE),1,0)</f>
        <v>0</v>
      </c>
      <c r="CT116" s="120">
        <f ca="1">IF(OR(Tbl_ResidentData[[#This Row],[S6]]=TRUE,Tbl_ResidentData[[#This Row],[P6]]=TRUE),1,0)</f>
        <v>0</v>
      </c>
      <c r="CU116" s="120">
        <f ca="1">IF(OR(Tbl_ResidentData[[#This Row],[S7]]=TRUE,Tbl_ResidentData[[#This Row],[P7]]=TRUE),1,0)</f>
        <v>0</v>
      </c>
      <c r="CV116" s="120">
        <f ca="1">IF(OR(Tbl_ResidentData[[#This Row],[S8]]=TRUE,Tbl_ResidentData[[#This Row],[P8]]=TRUE),1,0)</f>
        <v>0</v>
      </c>
      <c r="CW116" s="120">
        <f ca="1">IF(OR(Tbl_ResidentData[[#This Row],[S9]]=TRUE,Tbl_ResidentData[[#This Row],[P9]]=TRUE),1,0)</f>
        <v>0</v>
      </c>
      <c r="CX116" s="120">
        <f ca="1">IF(OR(Tbl_ResidentData[[#This Row],[S10]]=TRUE,Tbl_ResidentData[[#This Row],[P10]]=TRUE),1,0)</f>
        <v>0</v>
      </c>
      <c r="CY116" s="120">
        <f ca="1">IF(OR(Tbl_ResidentData[[#This Row],[S11]]=TRUE,Tbl_ResidentData[[#This Row],[P11]]=TRUE),1,0)</f>
        <v>0</v>
      </c>
      <c r="CZ116" s="120">
        <f ca="1">IF(OR(Tbl_ResidentData[[#This Row],[S12]]=TRUE,Tbl_ResidentData[[#This Row],[P12]]=TRUE),1,0)</f>
        <v>0</v>
      </c>
      <c r="DA116" s="120">
        <f ca="1">IF(OR(Tbl_ResidentData[[#This Row],[S13]]=TRUE,Tbl_ResidentData[[#This Row],[P13]]=TRUE),1,0)</f>
        <v>0</v>
      </c>
      <c r="DB116" s="120">
        <f ca="1">IF(OR(Tbl_ResidentData[[#This Row],[S14]]=TRUE,Tbl_ResidentData[[#This Row],[P14]]=TRUE),1,0)</f>
        <v>0</v>
      </c>
      <c r="DC116" s="120">
        <f ca="1">IF(OR(Tbl_ResidentData[[#This Row],[S15]]=TRUE,Tbl_ResidentData[[#This Row],[P15]]=TRUE),1,0)</f>
        <v>0</v>
      </c>
      <c r="DD116" s="120">
        <f ca="1">IF(OR(Tbl_ResidentData[[#This Row],[S16]]=TRUE,Tbl_ResidentData[[#This Row],[P16]]=TRUE),1,0)</f>
        <v>0</v>
      </c>
      <c r="DE116" s="120">
        <f ca="1">IF(OR(Tbl_ResidentData[[#This Row],[S17]]=TRUE,Tbl_ResidentData[[#This Row],[P17]]=TRUE),1,0)</f>
        <v>0</v>
      </c>
      <c r="DF116" s="120">
        <f ca="1">IF(OR(Tbl_ResidentData[[#This Row],[S18]]=TRUE,Tbl_ResidentData[[#This Row],[P18]]=TRUE),1,0)</f>
        <v>0</v>
      </c>
      <c r="DG116" s="120">
        <f ca="1">IF(OR(Tbl_ResidentData[[#This Row],[S19]]=TRUE,Tbl_ResidentData[[#This Row],[P19]]=TRUE),1,0)</f>
        <v>0</v>
      </c>
      <c r="DH116" s="120">
        <f ca="1">IF(OR(Tbl_ResidentData[[#This Row],[S20]]=TRUE,Tbl_ResidentData[[#This Row],[P20]]=TRUE),1,0)</f>
        <v>0</v>
      </c>
      <c r="DI116" s="120">
        <f ca="1">IF(OR(Tbl_ResidentData[[#This Row],[S21]]=TRUE,Tbl_ResidentData[[#This Row],[P21]]=TRUE),1,0)</f>
        <v>0</v>
      </c>
      <c r="DJ116" s="120">
        <f ca="1">IF(OR(Tbl_ResidentData[[#This Row],[S22]]=TRUE,Tbl_ResidentData[[#This Row],[P22]]=TRUE),1,0)</f>
        <v>0</v>
      </c>
      <c r="DK116" s="120">
        <f ca="1">IF(OR(Tbl_ResidentData[[#This Row],[S23]]=TRUE,Tbl_ResidentData[[#This Row],[P23]]=TRUE),1,0)</f>
        <v>0</v>
      </c>
      <c r="DL116" s="120">
        <f ca="1">IF(OR(Tbl_ResidentData[[#This Row],[S24]]=TRUE,Tbl_ResidentData[[#This Row],[P24]]=TRUE),1,0)</f>
        <v>0</v>
      </c>
      <c r="DM116" s="123" t="str">
        <f ca="1">IFERROR(INDEX($CO$4:$DL$4,MATCH(TRUE,INDEX((Tbl_ResidentData[[#This Row],[Over1]:[Over24]]&lt;&gt;0),0),0)),"")</f>
        <v/>
      </c>
      <c r="DN116" s="133" t="str">
        <f>IFERROR(INDEX(Tbl_PDSAData[Last DRT],MATCH(Tbl_ResidentData[Resident Name '[last, first']],Tbl_PDSAData[Resident Name (last, first)],0)),"")</f>
        <v/>
      </c>
      <c r="DO116" s="222" t="str">
        <f>IFERROR(INDEX(Tbl_PDSAData[Last MR],MATCH(Tbl_ResidentData[Resident Name '[last, first']],Tbl_PDSAData[Resident Name (last, first)],0)),"")</f>
        <v/>
      </c>
    </row>
    <row r="117" spans="1:119" x14ac:dyDescent="0.25">
      <c r="A117" s="179"/>
      <c r="B117" s="180"/>
      <c r="C117" s="180"/>
      <c r="D117" s="218"/>
      <c r="E117" s="179"/>
      <c r="F117" s="181"/>
      <c r="G117" s="181"/>
      <c r="H117" s="182"/>
      <c r="I117" s="185"/>
      <c r="J117" s="387"/>
      <c r="K117" s="178"/>
      <c r="L117" s="388"/>
      <c r="M117" s="185"/>
      <c r="N117" s="386"/>
      <c r="O117" s="178"/>
      <c r="P117" s="388"/>
      <c r="Q117" s="395"/>
      <c r="R117" s="396"/>
      <c r="S117" s="131" t="str">
        <f>IF(ISBLANK(Tbl_ResidentData[[#This Row],[Discharge '[mmm-yyyy']]]),IF(ISBLANK(Tbl_ResidentData[[#This Row],[Enrollment '[mmm-yyyy']]]),"","In Care Home"),"Discharged")</f>
        <v/>
      </c>
      <c r="T117" s="119" t="str">
        <f>IF(ISBLANK(Tbl_ResidentData[[#This Row],[Diagnosis (RAI)]]),IF(ISBLANK(Tbl_ResidentData[[#This Row],[Resident Name '[last, first']]]),"",0),IF(Tbl_ResidentData[[#This Row],[Diagnosis (RAI)]]="Other (see clinical notes)",0,1))</f>
        <v/>
      </c>
      <c r="U117" s="120" t="str">
        <f ca="1">IF(U$4&gt;NOW(),"-",IF(ISBLANK(Tbl_ResidentData[[#This Row],[Enrollment '[mmm-yyyy']]]),"-",AND((Tbl_ResidentData[[#This Row],[Enrollment '[mmm-yyyy']]]&lt;=U$4),IF(ISBLANK(Tbl_ResidentData[[#This Row],[Discharge '[mmm-yyyy']]]),TRUE,(Tbl_ResidentData[[#This Row],[Discharge '[mmm-yyyy']]]&gt;=U$4)))))</f>
        <v>-</v>
      </c>
      <c r="V117" s="121" t="str">
        <f ca="1">IF(V$4&gt;NOW(),"-",IF(ISBLANK(Tbl_ResidentData[[#This Row],[Enrollment '[mmm-yyyy']]]),"-",AND((Tbl_ResidentData[[#This Row],[Enrollment '[mmm-yyyy']]]&lt;=V$4),IF(ISBLANK(Tbl_ResidentData[[#This Row],[Discharge '[mmm-yyyy']]]),TRUE,(Tbl_ResidentData[[#This Row],[Discharge '[mmm-yyyy']]]&gt;=V$4)))))</f>
        <v>-</v>
      </c>
      <c r="W117" s="121" t="str">
        <f ca="1">IF(W$4&gt;NOW(),"-",IF(ISBLANK(Tbl_ResidentData[[#This Row],[Enrollment '[mmm-yyyy']]]),"-",AND((Tbl_ResidentData[[#This Row],[Enrollment '[mmm-yyyy']]]&lt;=W$4),IF(ISBLANK(Tbl_ResidentData[[#This Row],[Discharge '[mmm-yyyy']]]),TRUE,(Tbl_ResidentData[[#This Row],[Discharge '[mmm-yyyy']]]&gt;=W$4)))))</f>
        <v>-</v>
      </c>
      <c r="X117" s="121" t="str">
        <f ca="1">IF(X$4&gt;NOW(),"-",IF(ISBLANK(Tbl_ResidentData[[#This Row],[Enrollment '[mmm-yyyy']]]),"-",AND((Tbl_ResidentData[[#This Row],[Enrollment '[mmm-yyyy']]]&lt;=X$4),IF(ISBLANK(Tbl_ResidentData[[#This Row],[Discharge '[mmm-yyyy']]]),TRUE,(Tbl_ResidentData[[#This Row],[Discharge '[mmm-yyyy']]]&gt;=X$4)))))</f>
        <v>-</v>
      </c>
      <c r="Y117" s="121" t="str">
        <f ca="1">IF(Y$4&gt;NOW(),"-",IF(ISBLANK(Tbl_ResidentData[[#This Row],[Enrollment '[mmm-yyyy']]]),"-",AND((Tbl_ResidentData[[#This Row],[Enrollment '[mmm-yyyy']]]&lt;=Y$4),IF(ISBLANK(Tbl_ResidentData[[#This Row],[Discharge '[mmm-yyyy']]]),TRUE,(Tbl_ResidentData[[#This Row],[Discharge '[mmm-yyyy']]]&gt;=Y$4)))))</f>
        <v>-</v>
      </c>
      <c r="Z117" s="121" t="str">
        <f ca="1">IF(Z$4&gt;NOW(),"-",IF(ISBLANK(Tbl_ResidentData[[#This Row],[Enrollment '[mmm-yyyy']]]),"-",AND((Tbl_ResidentData[[#This Row],[Enrollment '[mmm-yyyy']]]&lt;=Z$4),IF(ISBLANK(Tbl_ResidentData[[#This Row],[Discharge '[mmm-yyyy']]]),TRUE,(Tbl_ResidentData[[#This Row],[Discharge '[mmm-yyyy']]]&gt;=Z$4)))))</f>
        <v>-</v>
      </c>
      <c r="AA117" s="121" t="str">
        <f ca="1">IF(AA$4&gt;NOW(),"-",IF(ISBLANK(Tbl_ResidentData[[#This Row],[Enrollment '[mmm-yyyy']]]),"-",AND((Tbl_ResidentData[[#This Row],[Enrollment '[mmm-yyyy']]]&lt;=AA$4),IF(ISBLANK(Tbl_ResidentData[[#This Row],[Discharge '[mmm-yyyy']]]),TRUE,(Tbl_ResidentData[[#This Row],[Discharge '[mmm-yyyy']]]&gt;=AA$4)))))</f>
        <v>-</v>
      </c>
      <c r="AB117" s="121" t="str">
        <f ca="1">IF(AB$4&gt;NOW(),"-",IF(ISBLANK(Tbl_ResidentData[[#This Row],[Enrollment '[mmm-yyyy']]]),"-",AND((Tbl_ResidentData[[#This Row],[Enrollment '[mmm-yyyy']]]&lt;=AB$4),IF(ISBLANK(Tbl_ResidentData[[#This Row],[Discharge '[mmm-yyyy']]]),TRUE,(Tbl_ResidentData[[#This Row],[Discharge '[mmm-yyyy']]]&gt;=AB$4)))))</f>
        <v>-</v>
      </c>
      <c r="AC117" s="121" t="str">
        <f ca="1">IF(AC$4&gt;NOW(),"-",IF(ISBLANK(Tbl_ResidentData[[#This Row],[Enrollment '[mmm-yyyy']]]),"-",AND((Tbl_ResidentData[[#This Row],[Enrollment '[mmm-yyyy']]]&lt;=AC$4),IF(ISBLANK(Tbl_ResidentData[[#This Row],[Discharge '[mmm-yyyy']]]),TRUE,(Tbl_ResidentData[[#This Row],[Discharge '[mmm-yyyy']]]&gt;=AC$4)))))</f>
        <v>-</v>
      </c>
      <c r="AD117" s="121" t="str">
        <f ca="1">IF(AD$4&gt;NOW(),"-",IF(ISBLANK(Tbl_ResidentData[[#This Row],[Enrollment '[mmm-yyyy']]]),"-",AND((Tbl_ResidentData[[#This Row],[Enrollment '[mmm-yyyy']]]&lt;=AD$4),IF(ISBLANK(Tbl_ResidentData[[#This Row],[Discharge '[mmm-yyyy']]]),TRUE,(Tbl_ResidentData[[#This Row],[Discharge '[mmm-yyyy']]]&gt;=AD$4)))))</f>
        <v>-</v>
      </c>
      <c r="AE117" s="121" t="str">
        <f ca="1">IF(AE$4&gt;NOW(),"-",IF(ISBLANK(Tbl_ResidentData[[#This Row],[Enrollment '[mmm-yyyy']]]),"-",AND((Tbl_ResidentData[[#This Row],[Enrollment '[mmm-yyyy']]]&lt;=AE$4),IF(ISBLANK(Tbl_ResidentData[[#This Row],[Discharge '[mmm-yyyy']]]),TRUE,(Tbl_ResidentData[[#This Row],[Discharge '[mmm-yyyy']]]&gt;=AE$4)))))</f>
        <v>-</v>
      </c>
      <c r="AF117" s="121" t="str">
        <f ca="1">IF(AF$4&gt;NOW(),"-",IF(ISBLANK(Tbl_ResidentData[[#This Row],[Enrollment '[mmm-yyyy']]]),"-",AND((Tbl_ResidentData[[#This Row],[Enrollment '[mmm-yyyy']]]&lt;=AF$4),IF(ISBLANK(Tbl_ResidentData[[#This Row],[Discharge '[mmm-yyyy']]]),TRUE,(Tbl_ResidentData[[#This Row],[Discharge '[mmm-yyyy']]]&gt;=AF$4)))))</f>
        <v>-</v>
      </c>
      <c r="AG117" s="121" t="str">
        <f ca="1">IF(AG$4&gt;NOW(),"-",IF(ISBLANK(Tbl_ResidentData[[#This Row],[Enrollment '[mmm-yyyy']]]),"-",AND((Tbl_ResidentData[[#This Row],[Enrollment '[mmm-yyyy']]]&lt;=AG$4),IF(ISBLANK(Tbl_ResidentData[[#This Row],[Discharge '[mmm-yyyy']]]),TRUE,(Tbl_ResidentData[[#This Row],[Discharge '[mmm-yyyy']]]&gt;=AG$4)))))</f>
        <v>-</v>
      </c>
      <c r="AH117" s="121" t="str">
        <f ca="1">IF(AH$4&gt;NOW(),"-",IF(ISBLANK(Tbl_ResidentData[[#This Row],[Enrollment '[mmm-yyyy']]]),"-",AND((Tbl_ResidentData[[#This Row],[Enrollment '[mmm-yyyy']]]&lt;=AH$4),IF(ISBLANK(Tbl_ResidentData[[#This Row],[Discharge '[mmm-yyyy']]]),TRUE,(Tbl_ResidentData[[#This Row],[Discharge '[mmm-yyyy']]]&gt;=AH$4)))))</f>
        <v>-</v>
      </c>
      <c r="AI117" s="121" t="str">
        <f ca="1">IF(AI$4&gt;NOW(),"-",IF(ISBLANK(Tbl_ResidentData[[#This Row],[Enrollment '[mmm-yyyy']]]),"-",AND((Tbl_ResidentData[[#This Row],[Enrollment '[mmm-yyyy']]]&lt;=AI$4),IF(ISBLANK(Tbl_ResidentData[[#This Row],[Discharge '[mmm-yyyy']]]),TRUE,(Tbl_ResidentData[[#This Row],[Discharge '[mmm-yyyy']]]&gt;=AI$4)))))</f>
        <v>-</v>
      </c>
      <c r="AJ117" s="121" t="str">
        <f ca="1">IF(AJ$4&gt;NOW(),"-",IF(ISBLANK(Tbl_ResidentData[[#This Row],[Enrollment '[mmm-yyyy']]]),"-",AND((Tbl_ResidentData[[#This Row],[Enrollment '[mmm-yyyy']]]&lt;=AJ$4),IF(ISBLANK(Tbl_ResidentData[[#This Row],[Discharge '[mmm-yyyy']]]),TRUE,(Tbl_ResidentData[[#This Row],[Discharge '[mmm-yyyy']]]&gt;=AJ$4)))))</f>
        <v>-</v>
      </c>
      <c r="AK117" s="121" t="str">
        <f ca="1">IF(AK$4&gt;NOW(),"-",IF(ISBLANK(Tbl_ResidentData[[#This Row],[Enrollment '[mmm-yyyy']]]),"-",AND((Tbl_ResidentData[[#This Row],[Enrollment '[mmm-yyyy']]]&lt;=AK$4),IF(ISBLANK(Tbl_ResidentData[[#This Row],[Discharge '[mmm-yyyy']]]),TRUE,(Tbl_ResidentData[[#This Row],[Discharge '[mmm-yyyy']]]&gt;=AK$4)))))</f>
        <v>-</v>
      </c>
      <c r="AL117" s="121" t="str">
        <f ca="1">IF(AL$4&gt;NOW(),"-",IF(ISBLANK(Tbl_ResidentData[[#This Row],[Enrollment '[mmm-yyyy']]]),"-",AND((Tbl_ResidentData[[#This Row],[Enrollment '[mmm-yyyy']]]&lt;=AL$4),IF(ISBLANK(Tbl_ResidentData[[#This Row],[Discharge '[mmm-yyyy']]]),TRUE,(Tbl_ResidentData[[#This Row],[Discharge '[mmm-yyyy']]]&gt;=AL$4)))))</f>
        <v>-</v>
      </c>
      <c r="AM117" s="121" t="str">
        <f ca="1">IF(AM$4&gt;NOW(),"-",IF(ISBLANK(Tbl_ResidentData[[#This Row],[Enrollment '[mmm-yyyy']]]),"-",AND((Tbl_ResidentData[[#This Row],[Enrollment '[mmm-yyyy']]]&lt;=AM$4),IF(ISBLANK(Tbl_ResidentData[[#This Row],[Discharge '[mmm-yyyy']]]),TRUE,(Tbl_ResidentData[[#This Row],[Discharge '[mmm-yyyy']]]&gt;=AM$4)))))</f>
        <v>-</v>
      </c>
      <c r="AN117" s="121" t="str">
        <f ca="1">IF(AN$4&gt;NOW(),"-",IF(ISBLANK(Tbl_ResidentData[[#This Row],[Enrollment '[mmm-yyyy']]]),"-",AND((Tbl_ResidentData[[#This Row],[Enrollment '[mmm-yyyy']]]&lt;=AN$4),IF(ISBLANK(Tbl_ResidentData[[#This Row],[Discharge '[mmm-yyyy']]]),TRUE,(Tbl_ResidentData[[#This Row],[Discharge '[mmm-yyyy']]]&gt;=AN$4)))))</f>
        <v>-</v>
      </c>
      <c r="AO117" s="121" t="str">
        <f ca="1">IF(AO$4&gt;NOW(),"-",IF(ISBLANK(Tbl_ResidentData[[#This Row],[Enrollment '[mmm-yyyy']]]),"-",AND((Tbl_ResidentData[[#This Row],[Enrollment '[mmm-yyyy']]]&lt;=AO$4),IF(ISBLANK(Tbl_ResidentData[[#This Row],[Discharge '[mmm-yyyy']]]),TRUE,(Tbl_ResidentData[[#This Row],[Discharge '[mmm-yyyy']]]&gt;=AO$4)))))</f>
        <v>-</v>
      </c>
      <c r="AP117" s="121" t="str">
        <f ca="1">IF(AP$4&gt;NOW(),"-",IF(ISBLANK(Tbl_ResidentData[[#This Row],[Enrollment '[mmm-yyyy']]]),"-",AND((Tbl_ResidentData[[#This Row],[Enrollment '[mmm-yyyy']]]&lt;=AP$4),IF(ISBLANK(Tbl_ResidentData[[#This Row],[Discharge '[mmm-yyyy']]]),TRUE,(Tbl_ResidentData[[#This Row],[Discharge '[mmm-yyyy']]]&gt;=AP$4)))))</f>
        <v>-</v>
      </c>
      <c r="AQ117" s="121" t="str">
        <f ca="1">IF(AQ$4&gt;NOW(),"-",IF(ISBLANK(Tbl_ResidentData[[#This Row],[Enrollment '[mmm-yyyy']]]),"-",AND((Tbl_ResidentData[[#This Row],[Enrollment '[mmm-yyyy']]]&lt;=AQ$4),IF(ISBLANK(Tbl_ResidentData[[#This Row],[Discharge '[mmm-yyyy']]]),TRUE,(Tbl_ResidentData[[#This Row],[Discharge '[mmm-yyyy']]]&gt;=AQ$4)))))</f>
        <v>-</v>
      </c>
      <c r="AR117" s="122" t="str">
        <f ca="1">IF(AR$4&gt;NOW(),"-",IF(ISBLANK(Tbl_ResidentData[[#This Row],[Enrollment '[mmm-yyyy']]]),"-",AND((Tbl_ResidentData[[#This Row],[Enrollment '[mmm-yyyy']]]&lt;=AR$4),IF(ISBLANK(Tbl_ResidentData[[#This Row],[Discharge '[mmm-yyyy']]]),TRUE,(Tbl_ResidentData[[#This Row],[Discharge '[mmm-yyyy']]]&gt;=AR$4)))))</f>
        <v>-</v>
      </c>
      <c r="AS11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7" s="120" t="b">
        <f ca="1">AND(Tbl_ResidentData[[#This Row],[PRN Med Started]]&lt;&gt;"",Tbl_ResidentData[[#This Row],[PRN Med Started]]&lt;=NOW(),Tbl_ResidentData[[#This Row],[PRN Med Started]]&lt;=AS$4,OR(Tbl_ResidentData[[#This Row],[PRN Med Discontinued]]&gt;AS$4,ISBLANK(Tbl_ResidentData[[#This Row],[PRN Med Discontinued]])))</f>
        <v>0</v>
      </c>
      <c r="BR117" s="121" t="b">
        <f ca="1">AND(Tbl_ResidentData[[#This Row],[PRN Med Started]]&lt;&gt;"",Tbl_ResidentData[[#This Row],[PRN Med Started]]&lt;=NOW(),Tbl_ResidentData[[#This Row],[PRN Med Started]]&lt;=AT$4,OR(Tbl_ResidentData[[#This Row],[PRN Med Discontinued]]&gt;AT$4,ISBLANK(Tbl_ResidentData[[#This Row],[PRN Med Discontinued]])))</f>
        <v>0</v>
      </c>
      <c r="BS117" s="121" t="b">
        <f ca="1">AND(Tbl_ResidentData[[#This Row],[PRN Med Started]]&lt;&gt;"",Tbl_ResidentData[[#This Row],[PRN Med Started]]&lt;=NOW(),Tbl_ResidentData[[#This Row],[PRN Med Started]]&lt;=AU$4,OR(Tbl_ResidentData[[#This Row],[PRN Med Discontinued]]&gt;AU$4,ISBLANK(Tbl_ResidentData[[#This Row],[PRN Med Discontinued]])))</f>
        <v>0</v>
      </c>
      <c r="BT117" s="121" t="b">
        <f ca="1">AND(Tbl_ResidentData[[#This Row],[PRN Med Started]]&lt;&gt;"",Tbl_ResidentData[[#This Row],[PRN Med Started]]&lt;=NOW(),Tbl_ResidentData[[#This Row],[PRN Med Started]]&lt;=AV$4,OR(Tbl_ResidentData[[#This Row],[PRN Med Discontinued]]&gt;AV$4,ISBLANK(Tbl_ResidentData[[#This Row],[PRN Med Discontinued]])))</f>
        <v>0</v>
      </c>
      <c r="BU117" s="121" t="b">
        <f ca="1">AND(Tbl_ResidentData[[#This Row],[PRN Med Started]]&lt;&gt;"",Tbl_ResidentData[[#This Row],[PRN Med Started]]&lt;=NOW(),Tbl_ResidentData[[#This Row],[PRN Med Started]]&lt;=AW$4,OR(Tbl_ResidentData[[#This Row],[PRN Med Discontinued]]&gt;AW$4,ISBLANK(Tbl_ResidentData[[#This Row],[PRN Med Discontinued]])))</f>
        <v>0</v>
      </c>
      <c r="BV117" s="121" t="b">
        <f ca="1">AND(Tbl_ResidentData[[#This Row],[PRN Med Started]]&lt;&gt;"",Tbl_ResidentData[[#This Row],[PRN Med Started]]&lt;=NOW(),Tbl_ResidentData[[#This Row],[PRN Med Started]]&lt;=AX$4,OR(Tbl_ResidentData[[#This Row],[PRN Med Discontinued]]&gt;AX$4,ISBLANK(Tbl_ResidentData[[#This Row],[PRN Med Discontinued]])))</f>
        <v>0</v>
      </c>
      <c r="BW117" s="121" t="b">
        <f ca="1">AND(Tbl_ResidentData[[#This Row],[PRN Med Started]]&lt;&gt;"",Tbl_ResidentData[[#This Row],[PRN Med Started]]&lt;=NOW(),Tbl_ResidentData[[#This Row],[PRN Med Started]]&lt;=AY$4,OR(Tbl_ResidentData[[#This Row],[PRN Med Discontinued]]&gt;AY$4,ISBLANK(Tbl_ResidentData[[#This Row],[PRN Med Discontinued]])))</f>
        <v>0</v>
      </c>
      <c r="BX117" s="121" t="b">
        <f ca="1">AND(Tbl_ResidentData[[#This Row],[PRN Med Started]]&lt;&gt;"",Tbl_ResidentData[[#This Row],[PRN Med Started]]&lt;=NOW(),Tbl_ResidentData[[#This Row],[PRN Med Started]]&lt;=AZ$4,OR(Tbl_ResidentData[[#This Row],[PRN Med Discontinued]]&gt;AZ$4,ISBLANK(Tbl_ResidentData[[#This Row],[PRN Med Discontinued]])))</f>
        <v>0</v>
      </c>
      <c r="BY117" s="121" t="b">
        <f ca="1">AND(Tbl_ResidentData[[#This Row],[PRN Med Started]]&lt;&gt;"",Tbl_ResidentData[[#This Row],[PRN Med Started]]&lt;=NOW(),Tbl_ResidentData[[#This Row],[PRN Med Started]]&lt;=BA$4,OR(Tbl_ResidentData[[#This Row],[PRN Med Discontinued]]&gt;BA$4,ISBLANK(Tbl_ResidentData[[#This Row],[PRN Med Discontinued]])))</f>
        <v>0</v>
      </c>
      <c r="BZ117" s="121" t="b">
        <f ca="1">AND(Tbl_ResidentData[[#This Row],[PRN Med Started]]&lt;&gt;"",Tbl_ResidentData[[#This Row],[PRN Med Started]]&lt;=NOW(),Tbl_ResidentData[[#This Row],[PRN Med Started]]&lt;=BB$4,OR(Tbl_ResidentData[[#This Row],[PRN Med Discontinued]]&gt;BB$4,ISBLANK(Tbl_ResidentData[[#This Row],[PRN Med Discontinued]])))</f>
        <v>0</v>
      </c>
      <c r="CA117" s="121" t="b">
        <f ca="1">AND(Tbl_ResidentData[[#This Row],[PRN Med Started]]&lt;&gt;"",Tbl_ResidentData[[#This Row],[PRN Med Started]]&lt;=NOW(),Tbl_ResidentData[[#This Row],[PRN Med Started]]&lt;=BC$4,OR(Tbl_ResidentData[[#This Row],[PRN Med Discontinued]]&gt;BC$4,ISBLANK(Tbl_ResidentData[[#This Row],[PRN Med Discontinued]])))</f>
        <v>0</v>
      </c>
      <c r="CB117" s="121" t="b">
        <f ca="1">AND(Tbl_ResidentData[[#This Row],[PRN Med Started]]&lt;&gt;"",Tbl_ResidentData[[#This Row],[PRN Med Started]]&lt;=NOW(),Tbl_ResidentData[[#This Row],[PRN Med Started]]&lt;=BD$4,OR(Tbl_ResidentData[[#This Row],[PRN Med Discontinued]]&gt;BD$4,ISBLANK(Tbl_ResidentData[[#This Row],[PRN Med Discontinued]])))</f>
        <v>0</v>
      </c>
      <c r="CC117" s="121" t="b">
        <f ca="1">AND(Tbl_ResidentData[[#This Row],[PRN Med Started]]&lt;&gt;"",Tbl_ResidentData[[#This Row],[PRN Med Started]]&lt;=NOW(),Tbl_ResidentData[[#This Row],[PRN Med Started]]&lt;=BE$4,OR(Tbl_ResidentData[[#This Row],[PRN Med Discontinued]]&gt;BE$4,ISBLANK(Tbl_ResidentData[[#This Row],[PRN Med Discontinued]])))</f>
        <v>0</v>
      </c>
      <c r="CD117" s="121" t="b">
        <f ca="1">AND(Tbl_ResidentData[[#This Row],[PRN Med Started]]&lt;&gt;"",Tbl_ResidentData[[#This Row],[PRN Med Started]]&lt;=NOW(),Tbl_ResidentData[[#This Row],[PRN Med Started]]&lt;=BF$4,OR(Tbl_ResidentData[[#This Row],[PRN Med Discontinued]]&gt;BF$4,ISBLANK(Tbl_ResidentData[[#This Row],[PRN Med Discontinued]])))</f>
        <v>0</v>
      </c>
      <c r="CE117" s="121" t="b">
        <f ca="1">AND(Tbl_ResidentData[[#This Row],[PRN Med Started]]&lt;&gt;"",Tbl_ResidentData[[#This Row],[PRN Med Started]]&lt;=NOW(),Tbl_ResidentData[[#This Row],[PRN Med Started]]&lt;=BG$4,OR(Tbl_ResidentData[[#This Row],[PRN Med Discontinued]]&gt;BG$4,ISBLANK(Tbl_ResidentData[[#This Row],[PRN Med Discontinued]])))</f>
        <v>0</v>
      </c>
      <c r="CF117" s="121" t="b">
        <f ca="1">AND(Tbl_ResidentData[[#This Row],[PRN Med Started]]&lt;&gt;"",Tbl_ResidentData[[#This Row],[PRN Med Started]]&lt;=NOW(),Tbl_ResidentData[[#This Row],[PRN Med Started]]&lt;=BH$4,OR(Tbl_ResidentData[[#This Row],[PRN Med Discontinued]]&gt;BH$4,ISBLANK(Tbl_ResidentData[[#This Row],[PRN Med Discontinued]])))</f>
        <v>0</v>
      </c>
      <c r="CG117" s="121" t="b">
        <f ca="1">AND(Tbl_ResidentData[[#This Row],[PRN Med Started]]&lt;&gt;"",Tbl_ResidentData[[#This Row],[PRN Med Started]]&lt;=NOW(),Tbl_ResidentData[[#This Row],[PRN Med Started]]&lt;=BI$4,OR(Tbl_ResidentData[[#This Row],[PRN Med Discontinued]]&gt;BI$4,ISBLANK(Tbl_ResidentData[[#This Row],[PRN Med Discontinued]])))</f>
        <v>0</v>
      </c>
      <c r="CH117" s="121" t="b">
        <f ca="1">AND(Tbl_ResidentData[[#This Row],[PRN Med Started]]&lt;&gt;"",Tbl_ResidentData[[#This Row],[PRN Med Started]]&lt;=NOW(),Tbl_ResidentData[[#This Row],[PRN Med Started]]&lt;=BJ$4,OR(Tbl_ResidentData[[#This Row],[PRN Med Discontinued]]&gt;BJ$4,ISBLANK(Tbl_ResidentData[[#This Row],[PRN Med Discontinued]])))</f>
        <v>0</v>
      </c>
      <c r="CI117" s="121" t="b">
        <f ca="1">AND(Tbl_ResidentData[[#This Row],[PRN Med Started]]&lt;&gt;"",Tbl_ResidentData[[#This Row],[PRN Med Started]]&lt;=NOW(),Tbl_ResidentData[[#This Row],[PRN Med Started]]&lt;=BK$4,OR(Tbl_ResidentData[[#This Row],[PRN Med Discontinued]]&gt;BK$4,ISBLANK(Tbl_ResidentData[[#This Row],[PRN Med Discontinued]])))</f>
        <v>0</v>
      </c>
      <c r="CJ117" s="121" t="b">
        <f ca="1">AND(Tbl_ResidentData[[#This Row],[PRN Med Started]]&lt;&gt;"",Tbl_ResidentData[[#This Row],[PRN Med Started]]&lt;=NOW(),Tbl_ResidentData[[#This Row],[PRN Med Started]]&lt;=BL$4,OR(Tbl_ResidentData[[#This Row],[PRN Med Discontinued]]&gt;BL$4,ISBLANK(Tbl_ResidentData[[#This Row],[PRN Med Discontinued]])))</f>
        <v>0</v>
      </c>
      <c r="CK117" s="121" t="b">
        <f ca="1">AND(Tbl_ResidentData[[#This Row],[PRN Med Started]]&lt;&gt;"",Tbl_ResidentData[[#This Row],[PRN Med Started]]&lt;=NOW(),Tbl_ResidentData[[#This Row],[PRN Med Started]]&lt;=BM$4,OR(Tbl_ResidentData[[#This Row],[PRN Med Discontinued]]&gt;BM$4,ISBLANK(Tbl_ResidentData[[#This Row],[PRN Med Discontinued]])))</f>
        <v>0</v>
      </c>
      <c r="CL117" s="121" t="b">
        <f ca="1">AND(Tbl_ResidentData[[#This Row],[PRN Med Started]]&lt;&gt;"",Tbl_ResidentData[[#This Row],[PRN Med Started]]&lt;=NOW(),Tbl_ResidentData[[#This Row],[PRN Med Started]]&lt;=BN$4,OR(Tbl_ResidentData[[#This Row],[PRN Med Discontinued]]&gt;BN$4,ISBLANK(Tbl_ResidentData[[#This Row],[PRN Med Discontinued]])))</f>
        <v>0</v>
      </c>
      <c r="CM117" s="121" t="b">
        <f ca="1">AND(Tbl_ResidentData[[#This Row],[PRN Med Started]]&lt;&gt;"",Tbl_ResidentData[[#This Row],[PRN Med Started]]&lt;=NOW(),Tbl_ResidentData[[#This Row],[PRN Med Started]]&lt;=BO$4,OR(Tbl_ResidentData[[#This Row],[PRN Med Discontinued]]&gt;BO$4,ISBLANK(Tbl_ResidentData[[#This Row],[PRN Med Discontinued]])))</f>
        <v>0</v>
      </c>
      <c r="CN117" s="122" t="b">
        <f ca="1">AND(Tbl_ResidentData[[#This Row],[PRN Med Started]]&lt;&gt;"",Tbl_ResidentData[[#This Row],[PRN Med Started]]&lt;=NOW(),Tbl_ResidentData[[#This Row],[PRN Med Started]]&lt;=BP$4,OR(Tbl_ResidentData[[#This Row],[PRN Med Discontinued]]&gt;BP$4,ISBLANK(Tbl_ResidentData[[#This Row],[PRN Med Discontinued]])))</f>
        <v>0</v>
      </c>
      <c r="CO117" s="120">
        <f ca="1">IF(OR(Tbl_ResidentData[[#This Row],[S1]]=TRUE,Tbl_ResidentData[[#This Row],[P1]]=TRUE),1,0)</f>
        <v>0</v>
      </c>
      <c r="CP117" s="121">
        <f ca="1">IF(OR(Tbl_ResidentData[[#This Row],[S2]]=TRUE,Tbl_ResidentData[[#This Row],[P2]]=TRUE),1,0)</f>
        <v>0</v>
      </c>
      <c r="CQ117" s="121">
        <f ca="1">IF(OR(Tbl_ResidentData[[#This Row],[S3]]=TRUE,Tbl_ResidentData[[#This Row],[P3]]=TRUE),1,0)</f>
        <v>0</v>
      </c>
      <c r="CR117" s="120">
        <f ca="1">IF(OR(Tbl_ResidentData[[#This Row],[S4]]=TRUE,Tbl_ResidentData[[#This Row],[P4]]=TRUE),1,0)</f>
        <v>0</v>
      </c>
      <c r="CS117" s="120">
        <f ca="1">IF(OR(Tbl_ResidentData[[#This Row],[S5]]=TRUE,Tbl_ResidentData[[#This Row],[P5]]=TRUE),1,0)</f>
        <v>0</v>
      </c>
      <c r="CT117" s="120">
        <f ca="1">IF(OR(Tbl_ResidentData[[#This Row],[S6]]=TRUE,Tbl_ResidentData[[#This Row],[P6]]=TRUE),1,0)</f>
        <v>0</v>
      </c>
      <c r="CU117" s="120">
        <f ca="1">IF(OR(Tbl_ResidentData[[#This Row],[S7]]=TRUE,Tbl_ResidentData[[#This Row],[P7]]=TRUE),1,0)</f>
        <v>0</v>
      </c>
      <c r="CV117" s="120">
        <f ca="1">IF(OR(Tbl_ResidentData[[#This Row],[S8]]=TRUE,Tbl_ResidentData[[#This Row],[P8]]=TRUE),1,0)</f>
        <v>0</v>
      </c>
      <c r="CW117" s="120">
        <f ca="1">IF(OR(Tbl_ResidentData[[#This Row],[S9]]=TRUE,Tbl_ResidentData[[#This Row],[P9]]=TRUE),1,0)</f>
        <v>0</v>
      </c>
      <c r="CX117" s="120">
        <f ca="1">IF(OR(Tbl_ResidentData[[#This Row],[S10]]=TRUE,Tbl_ResidentData[[#This Row],[P10]]=TRUE),1,0)</f>
        <v>0</v>
      </c>
      <c r="CY117" s="120">
        <f ca="1">IF(OR(Tbl_ResidentData[[#This Row],[S11]]=TRUE,Tbl_ResidentData[[#This Row],[P11]]=TRUE),1,0)</f>
        <v>0</v>
      </c>
      <c r="CZ117" s="120">
        <f ca="1">IF(OR(Tbl_ResidentData[[#This Row],[S12]]=TRUE,Tbl_ResidentData[[#This Row],[P12]]=TRUE),1,0)</f>
        <v>0</v>
      </c>
      <c r="DA117" s="120">
        <f ca="1">IF(OR(Tbl_ResidentData[[#This Row],[S13]]=TRUE,Tbl_ResidentData[[#This Row],[P13]]=TRUE),1,0)</f>
        <v>0</v>
      </c>
      <c r="DB117" s="120">
        <f ca="1">IF(OR(Tbl_ResidentData[[#This Row],[S14]]=TRUE,Tbl_ResidentData[[#This Row],[P14]]=TRUE),1,0)</f>
        <v>0</v>
      </c>
      <c r="DC117" s="120">
        <f ca="1">IF(OR(Tbl_ResidentData[[#This Row],[S15]]=TRUE,Tbl_ResidentData[[#This Row],[P15]]=TRUE),1,0)</f>
        <v>0</v>
      </c>
      <c r="DD117" s="120">
        <f ca="1">IF(OR(Tbl_ResidentData[[#This Row],[S16]]=TRUE,Tbl_ResidentData[[#This Row],[P16]]=TRUE),1,0)</f>
        <v>0</v>
      </c>
      <c r="DE117" s="120">
        <f ca="1">IF(OR(Tbl_ResidentData[[#This Row],[S17]]=TRUE,Tbl_ResidentData[[#This Row],[P17]]=TRUE),1,0)</f>
        <v>0</v>
      </c>
      <c r="DF117" s="120">
        <f ca="1">IF(OR(Tbl_ResidentData[[#This Row],[S18]]=TRUE,Tbl_ResidentData[[#This Row],[P18]]=TRUE),1,0)</f>
        <v>0</v>
      </c>
      <c r="DG117" s="120">
        <f ca="1">IF(OR(Tbl_ResidentData[[#This Row],[S19]]=TRUE,Tbl_ResidentData[[#This Row],[P19]]=TRUE),1,0)</f>
        <v>0</v>
      </c>
      <c r="DH117" s="120">
        <f ca="1">IF(OR(Tbl_ResidentData[[#This Row],[S20]]=TRUE,Tbl_ResidentData[[#This Row],[P20]]=TRUE),1,0)</f>
        <v>0</v>
      </c>
      <c r="DI117" s="120">
        <f ca="1">IF(OR(Tbl_ResidentData[[#This Row],[S21]]=TRUE,Tbl_ResidentData[[#This Row],[P21]]=TRUE),1,0)</f>
        <v>0</v>
      </c>
      <c r="DJ117" s="120">
        <f ca="1">IF(OR(Tbl_ResidentData[[#This Row],[S22]]=TRUE,Tbl_ResidentData[[#This Row],[P22]]=TRUE),1,0)</f>
        <v>0</v>
      </c>
      <c r="DK117" s="120">
        <f ca="1">IF(OR(Tbl_ResidentData[[#This Row],[S23]]=TRUE,Tbl_ResidentData[[#This Row],[P23]]=TRUE),1,0)</f>
        <v>0</v>
      </c>
      <c r="DL117" s="120">
        <f ca="1">IF(OR(Tbl_ResidentData[[#This Row],[S24]]=TRUE,Tbl_ResidentData[[#This Row],[P24]]=TRUE),1,0)</f>
        <v>0</v>
      </c>
      <c r="DM117" s="123" t="str">
        <f ca="1">IFERROR(INDEX($CO$4:$DL$4,MATCH(TRUE,INDEX((Tbl_ResidentData[[#This Row],[Over1]:[Over24]]&lt;&gt;0),0),0)),"")</f>
        <v/>
      </c>
      <c r="DN117" s="133" t="str">
        <f>IFERROR(INDEX(Tbl_PDSAData[Last DRT],MATCH(Tbl_ResidentData[Resident Name '[last, first']],Tbl_PDSAData[Resident Name (last, first)],0)),"")</f>
        <v/>
      </c>
      <c r="DO117" s="222" t="str">
        <f>IFERROR(INDEX(Tbl_PDSAData[Last MR],MATCH(Tbl_ResidentData[Resident Name '[last, first']],Tbl_PDSAData[Resident Name (last, first)],0)),"")</f>
        <v/>
      </c>
    </row>
    <row r="118" spans="1:119" x14ac:dyDescent="0.25">
      <c r="A118" s="179"/>
      <c r="B118" s="180"/>
      <c r="C118" s="180"/>
      <c r="D118" s="218"/>
      <c r="E118" s="179"/>
      <c r="F118" s="181"/>
      <c r="G118" s="181"/>
      <c r="H118" s="375"/>
      <c r="I118" s="185"/>
      <c r="J118" s="387"/>
      <c r="K118" s="178"/>
      <c r="L118" s="388"/>
      <c r="M118" s="185"/>
      <c r="N118" s="386"/>
      <c r="O118" s="178"/>
      <c r="P118" s="388"/>
      <c r="Q118" s="394"/>
      <c r="R118" s="388"/>
      <c r="S118" s="131" t="str">
        <f>IF(ISBLANK(Tbl_ResidentData[[#This Row],[Discharge '[mmm-yyyy']]]),IF(ISBLANK(Tbl_ResidentData[[#This Row],[Enrollment '[mmm-yyyy']]]),"","In Care Home"),"Discharged")</f>
        <v/>
      </c>
      <c r="T118" s="119" t="str">
        <f>IF(ISBLANK(Tbl_ResidentData[[#This Row],[Diagnosis (RAI)]]),IF(ISBLANK(Tbl_ResidentData[[#This Row],[Resident Name '[last, first']]]),"",0),IF(Tbl_ResidentData[[#This Row],[Diagnosis (RAI)]]="Other (see clinical notes)",0,1))</f>
        <v/>
      </c>
      <c r="U118" s="120" t="str">
        <f ca="1">IF(U$4&gt;NOW(),"-",IF(ISBLANK(Tbl_ResidentData[[#This Row],[Enrollment '[mmm-yyyy']]]),"-",AND((Tbl_ResidentData[[#This Row],[Enrollment '[mmm-yyyy']]]&lt;=U$4),IF(ISBLANK(Tbl_ResidentData[[#This Row],[Discharge '[mmm-yyyy']]]),TRUE,(Tbl_ResidentData[[#This Row],[Discharge '[mmm-yyyy']]]&gt;=U$4)))))</f>
        <v>-</v>
      </c>
      <c r="V118" s="121" t="str">
        <f ca="1">IF(V$4&gt;NOW(),"-",IF(ISBLANK(Tbl_ResidentData[[#This Row],[Enrollment '[mmm-yyyy']]]),"-",AND((Tbl_ResidentData[[#This Row],[Enrollment '[mmm-yyyy']]]&lt;=V$4),IF(ISBLANK(Tbl_ResidentData[[#This Row],[Discharge '[mmm-yyyy']]]),TRUE,(Tbl_ResidentData[[#This Row],[Discharge '[mmm-yyyy']]]&gt;=V$4)))))</f>
        <v>-</v>
      </c>
      <c r="W118" s="121" t="str">
        <f ca="1">IF(W$4&gt;NOW(),"-",IF(ISBLANK(Tbl_ResidentData[[#This Row],[Enrollment '[mmm-yyyy']]]),"-",AND((Tbl_ResidentData[[#This Row],[Enrollment '[mmm-yyyy']]]&lt;=W$4),IF(ISBLANK(Tbl_ResidentData[[#This Row],[Discharge '[mmm-yyyy']]]),TRUE,(Tbl_ResidentData[[#This Row],[Discharge '[mmm-yyyy']]]&gt;=W$4)))))</f>
        <v>-</v>
      </c>
      <c r="X118" s="121" t="str">
        <f ca="1">IF(X$4&gt;NOW(),"-",IF(ISBLANK(Tbl_ResidentData[[#This Row],[Enrollment '[mmm-yyyy']]]),"-",AND((Tbl_ResidentData[[#This Row],[Enrollment '[mmm-yyyy']]]&lt;=X$4),IF(ISBLANK(Tbl_ResidentData[[#This Row],[Discharge '[mmm-yyyy']]]),TRUE,(Tbl_ResidentData[[#This Row],[Discharge '[mmm-yyyy']]]&gt;=X$4)))))</f>
        <v>-</v>
      </c>
      <c r="Y118" s="121" t="str">
        <f ca="1">IF(Y$4&gt;NOW(),"-",IF(ISBLANK(Tbl_ResidentData[[#This Row],[Enrollment '[mmm-yyyy']]]),"-",AND((Tbl_ResidentData[[#This Row],[Enrollment '[mmm-yyyy']]]&lt;=Y$4),IF(ISBLANK(Tbl_ResidentData[[#This Row],[Discharge '[mmm-yyyy']]]),TRUE,(Tbl_ResidentData[[#This Row],[Discharge '[mmm-yyyy']]]&gt;=Y$4)))))</f>
        <v>-</v>
      </c>
      <c r="Z118" s="121" t="str">
        <f ca="1">IF(Z$4&gt;NOW(),"-",IF(ISBLANK(Tbl_ResidentData[[#This Row],[Enrollment '[mmm-yyyy']]]),"-",AND((Tbl_ResidentData[[#This Row],[Enrollment '[mmm-yyyy']]]&lt;=Z$4),IF(ISBLANK(Tbl_ResidentData[[#This Row],[Discharge '[mmm-yyyy']]]),TRUE,(Tbl_ResidentData[[#This Row],[Discharge '[mmm-yyyy']]]&gt;=Z$4)))))</f>
        <v>-</v>
      </c>
      <c r="AA118" s="121" t="str">
        <f ca="1">IF(AA$4&gt;NOW(),"-",IF(ISBLANK(Tbl_ResidentData[[#This Row],[Enrollment '[mmm-yyyy']]]),"-",AND((Tbl_ResidentData[[#This Row],[Enrollment '[mmm-yyyy']]]&lt;=AA$4),IF(ISBLANK(Tbl_ResidentData[[#This Row],[Discharge '[mmm-yyyy']]]),TRUE,(Tbl_ResidentData[[#This Row],[Discharge '[mmm-yyyy']]]&gt;=AA$4)))))</f>
        <v>-</v>
      </c>
      <c r="AB118" s="121" t="str">
        <f ca="1">IF(AB$4&gt;NOW(),"-",IF(ISBLANK(Tbl_ResidentData[[#This Row],[Enrollment '[mmm-yyyy']]]),"-",AND((Tbl_ResidentData[[#This Row],[Enrollment '[mmm-yyyy']]]&lt;=AB$4),IF(ISBLANK(Tbl_ResidentData[[#This Row],[Discharge '[mmm-yyyy']]]),TRUE,(Tbl_ResidentData[[#This Row],[Discharge '[mmm-yyyy']]]&gt;=AB$4)))))</f>
        <v>-</v>
      </c>
      <c r="AC118" s="121" t="str">
        <f ca="1">IF(AC$4&gt;NOW(),"-",IF(ISBLANK(Tbl_ResidentData[[#This Row],[Enrollment '[mmm-yyyy']]]),"-",AND((Tbl_ResidentData[[#This Row],[Enrollment '[mmm-yyyy']]]&lt;=AC$4),IF(ISBLANK(Tbl_ResidentData[[#This Row],[Discharge '[mmm-yyyy']]]),TRUE,(Tbl_ResidentData[[#This Row],[Discharge '[mmm-yyyy']]]&gt;=AC$4)))))</f>
        <v>-</v>
      </c>
      <c r="AD118" s="121" t="str">
        <f ca="1">IF(AD$4&gt;NOW(),"-",IF(ISBLANK(Tbl_ResidentData[[#This Row],[Enrollment '[mmm-yyyy']]]),"-",AND((Tbl_ResidentData[[#This Row],[Enrollment '[mmm-yyyy']]]&lt;=AD$4),IF(ISBLANK(Tbl_ResidentData[[#This Row],[Discharge '[mmm-yyyy']]]),TRUE,(Tbl_ResidentData[[#This Row],[Discharge '[mmm-yyyy']]]&gt;=AD$4)))))</f>
        <v>-</v>
      </c>
      <c r="AE118" s="121" t="str">
        <f ca="1">IF(AE$4&gt;NOW(),"-",IF(ISBLANK(Tbl_ResidentData[[#This Row],[Enrollment '[mmm-yyyy']]]),"-",AND((Tbl_ResidentData[[#This Row],[Enrollment '[mmm-yyyy']]]&lt;=AE$4),IF(ISBLANK(Tbl_ResidentData[[#This Row],[Discharge '[mmm-yyyy']]]),TRUE,(Tbl_ResidentData[[#This Row],[Discharge '[mmm-yyyy']]]&gt;=AE$4)))))</f>
        <v>-</v>
      </c>
      <c r="AF118" s="121" t="str">
        <f ca="1">IF(AF$4&gt;NOW(),"-",IF(ISBLANK(Tbl_ResidentData[[#This Row],[Enrollment '[mmm-yyyy']]]),"-",AND((Tbl_ResidentData[[#This Row],[Enrollment '[mmm-yyyy']]]&lt;=AF$4),IF(ISBLANK(Tbl_ResidentData[[#This Row],[Discharge '[mmm-yyyy']]]),TRUE,(Tbl_ResidentData[[#This Row],[Discharge '[mmm-yyyy']]]&gt;=AF$4)))))</f>
        <v>-</v>
      </c>
      <c r="AG118" s="121" t="str">
        <f ca="1">IF(AG$4&gt;NOW(),"-",IF(ISBLANK(Tbl_ResidentData[[#This Row],[Enrollment '[mmm-yyyy']]]),"-",AND((Tbl_ResidentData[[#This Row],[Enrollment '[mmm-yyyy']]]&lt;=AG$4),IF(ISBLANK(Tbl_ResidentData[[#This Row],[Discharge '[mmm-yyyy']]]),TRUE,(Tbl_ResidentData[[#This Row],[Discharge '[mmm-yyyy']]]&gt;=AG$4)))))</f>
        <v>-</v>
      </c>
      <c r="AH118" s="121" t="str">
        <f ca="1">IF(AH$4&gt;NOW(),"-",IF(ISBLANK(Tbl_ResidentData[[#This Row],[Enrollment '[mmm-yyyy']]]),"-",AND((Tbl_ResidentData[[#This Row],[Enrollment '[mmm-yyyy']]]&lt;=AH$4),IF(ISBLANK(Tbl_ResidentData[[#This Row],[Discharge '[mmm-yyyy']]]),TRUE,(Tbl_ResidentData[[#This Row],[Discharge '[mmm-yyyy']]]&gt;=AH$4)))))</f>
        <v>-</v>
      </c>
      <c r="AI118" s="121" t="str">
        <f ca="1">IF(AI$4&gt;NOW(),"-",IF(ISBLANK(Tbl_ResidentData[[#This Row],[Enrollment '[mmm-yyyy']]]),"-",AND((Tbl_ResidentData[[#This Row],[Enrollment '[mmm-yyyy']]]&lt;=AI$4),IF(ISBLANK(Tbl_ResidentData[[#This Row],[Discharge '[mmm-yyyy']]]),TRUE,(Tbl_ResidentData[[#This Row],[Discharge '[mmm-yyyy']]]&gt;=AI$4)))))</f>
        <v>-</v>
      </c>
      <c r="AJ118" s="121" t="str">
        <f ca="1">IF(AJ$4&gt;NOW(),"-",IF(ISBLANK(Tbl_ResidentData[[#This Row],[Enrollment '[mmm-yyyy']]]),"-",AND((Tbl_ResidentData[[#This Row],[Enrollment '[mmm-yyyy']]]&lt;=AJ$4),IF(ISBLANK(Tbl_ResidentData[[#This Row],[Discharge '[mmm-yyyy']]]),TRUE,(Tbl_ResidentData[[#This Row],[Discharge '[mmm-yyyy']]]&gt;=AJ$4)))))</f>
        <v>-</v>
      </c>
      <c r="AK118" s="121" t="str">
        <f ca="1">IF(AK$4&gt;NOW(),"-",IF(ISBLANK(Tbl_ResidentData[[#This Row],[Enrollment '[mmm-yyyy']]]),"-",AND((Tbl_ResidentData[[#This Row],[Enrollment '[mmm-yyyy']]]&lt;=AK$4),IF(ISBLANK(Tbl_ResidentData[[#This Row],[Discharge '[mmm-yyyy']]]),TRUE,(Tbl_ResidentData[[#This Row],[Discharge '[mmm-yyyy']]]&gt;=AK$4)))))</f>
        <v>-</v>
      </c>
      <c r="AL118" s="121" t="str">
        <f ca="1">IF(AL$4&gt;NOW(),"-",IF(ISBLANK(Tbl_ResidentData[[#This Row],[Enrollment '[mmm-yyyy']]]),"-",AND((Tbl_ResidentData[[#This Row],[Enrollment '[mmm-yyyy']]]&lt;=AL$4),IF(ISBLANK(Tbl_ResidentData[[#This Row],[Discharge '[mmm-yyyy']]]),TRUE,(Tbl_ResidentData[[#This Row],[Discharge '[mmm-yyyy']]]&gt;=AL$4)))))</f>
        <v>-</v>
      </c>
      <c r="AM118" s="121" t="str">
        <f ca="1">IF(AM$4&gt;NOW(),"-",IF(ISBLANK(Tbl_ResidentData[[#This Row],[Enrollment '[mmm-yyyy']]]),"-",AND((Tbl_ResidentData[[#This Row],[Enrollment '[mmm-yyyy']]]&lt;=AM$4),IF(ISBLANK(Tbl_ResidentData[[#This Row],[Discharge '[mmm-yyyy']]]),TRUE,(Tbl_ResidentData[[#This Row],[Discharge '[mmm-yyyy']]]&gt;=AM$4)))))</f>
        <v>-</v>
      </c>
      <c r="AN118" s="121" t="str">
        <f ca="1">IF(AN$4&gt;NOW(),"-",IF(ISBLANK(Tbl_ResidentData[[#This Row],[Enrollment '[mmm-yyyy']]]),"-",AND((Tbl_ResidentData[[#This Row],[Enrollment '[mmm-yyyy']]]&lt;=AN$4),IF(ISBLANK(Tbl_ResidentData[[#This Row],[Discharge '[mmm-yyyy']]]),TRUE,(Tbl_ResidentData[[#This Row],[Discharge '[mmm-yyyy']]]&gt;=AN$4)))))</f>
        <v>-</v>
      </c>
      <c r="AO118" s="121" t="str">
        <f ca="1">IF(AO$4&gt;NOW(),"-",IF(ISBLANK(Tbl_ResidentData[[#This Row],[Enrollment '[mmm-yyyy']]]),"-",AND((Tbl_ResidentData[[#This Row],[Enrollment '[mmm-yyyy']]]&lt;=AO$4),IF(ISBLANK(Tbl_ResidentData[[#This Row],[Discharge '[mmm-yyyy']]]),TRUE,(Tbl_ResidentData[[#This Row],[Discharge '[mmm-yyyy']]]&gt;=AO$4)))))</f>
        <v>-</v>
      </c>
      <c r="AP118" s="121" t="str">
        <f ca="1">IF(AP$4&gt;NOW(),"-",IF(ISBLANK(Tbl_ResidentData[[#This Row],[Enrollment '[mmm-yyyy']]]),"-",AND((Tbl_ResidentData[[#This Row],[Enrollment '[mmm-yyyy']]]&lt;=AP$4),IF(ISBLANK(Tbl_ResidentData[[#This Row],[Discharge '[mmm-yyyy']]]),TRUE,(Tbl_ResidentData[[#This Row],[Discharge '[mmm-yyyy']]]&gt;=AP$4)))))</f>
        <v>-</v>
      </c>
      <c r="AQ118" s="121" t="str">
        <f ca="1">IF(AQ$4&gt;NOW(),"-",IF(ISBLANK(Tbl_ResidentData[[#This Row],[Enrollment '[mmm-yyyy']]]),"-",AND((Tbl_ResidentData[[#This Row],[Enrollment '[mmm-yyyy']]]&lt;=AQ$4),IF(ISBLANK(Tbl_ResidentData[[#This Row],[Discharge '[mmm-yyyy']]]),TRUE,(Tbl_ResidentData[[#This Row],[Discharge '[mmm-yyyy']]]&gt;=AQ$4)))))</f>
        <v>-</v>
      </c>
      <c r="AR118" s="122" t="str">
        <f ca="1">IF(AR$4&gt;NOW(),"-",IF(ISBLANK(Tbl_ResidentData[[#This Row],[Enrollment '[mmm-yyyy']]]),"-",AND((Tbl_ResidentData[[#This Row],[Enrollment '[mmm-yyyy']]]&lt;=AR$4),IF(ISBLANK(Tbl_ResidentData[[#This Row],[Discharge '[mmm-yyyy']]]),TRUE,(Tbl_ResidentData[[#This Row],[Discharge '[mmm-yyyy']]]&gt;=AR$4)))))</f>
        <v>-</v>
      </c>
      <c r="AS11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8" s="120" t="b">
        <f ca="1">AND(Tbl_ResidentData[[#This Row],[PRN Med Started]]&lt;&gt;"",Tbl_ResidentData[[#This Row],[PRN Med Started]]&lt;=NOW(),Tbl_ResidentData[[#This Row],[PRN Med Started]]&lt;=AS$4,OR(Tbl_ResidentData[[#This Row],[PRN Med Discontinued]]&gt;AS$4,ISBLANK(Tbl_ResidentData[[#This Row],[PRN Med Discontinued]])))</f>
        <v>0</v>
      </c>
      <c r="BR118" s="121" t="b">
        <f ca="1">AND(Tbl_ResidentData[[#This Row],[PRN Med Started]]&lt;&gt;"",Tbl_ResidentData[[#This Row],[PRN Med Started]]&lt;=NOW(),Tbl_ResidentData[[#This Row],[PRN Med Started]]&lt;=AT$4,OR(Tbl_ResidentData[[#This Row],[PRN Med Discontinued]]&gt;AT$4,ISBLANK(Tbl_ResidentData[[#This Row],[PRN Med Discontinued]])))</f>
        <v>0</v>
      </c>
      <c r="BS118" s="121" t="b">
        <f ca="1">AND(Tbl_ResidentData[[#This Row],[PRN Med Started]]&lt;&gt;"",Tbl_ResidentData[[#This Row],[PRN Med Started]]&lt;=NOW(),Tbl_ResidentData[[#This Row],[PRN Med Started]]&lt;=AU$4,OR(Tbl_ResidentData[[#This Row],[PRN Med Discontinued]]&gt;AU$4,ISBLANK(Tbl_ResidentData[[#This Row],[PRN Med Discontinued]])))</f>
        <v>0</v>
      </c>
      <c r="BT118" s="121" t="b">
        <f ca="1">AND(Tbl_ResidentData[[#This Row],[PRN Med Started]]&lt;&gt;"",Tbl_ResidentData[[#This Row],[PRN Med Started]]&lt;=NOW(),Tbl_ResidentData[[#This Row],[PRN Med Started]]&lt;=AV$4,OR(Tbl_ResidentData[[#This Row],[PRN Med Discontinued]]&gt;AV$4,ISBLANK(Tbl_ResidentData[[#This Row],[PRN Med Discontinued]])))</f>
        <v>0</v>
      </c>
      <c r="BU118" s="121" t="b">
        <f ca="1">AND(Tbl_ResidentData[[#This Row],[PRN Med Started]]&lt;&gt;"",Tbl_ResidentData[[#This Row],[PRN Med Started]]&lt;=NOW(),Tbl_ResidentData[[#This Row],[PRN Med Started]]&lt;=AW$4,OR(Tbl_ResidentData[[#This Row],[PRN Med Discontinued]]&gt;AW$4,ISBLANK(Tbl_ResidentData[[#This Row],[PRN Med Discontinued]])))</f>
        <v>0</v>
      </c>
      <c r="BV118" s="121" t="b">
        <f ca="1">AND(Tbl_ResidentData[[#This Row],[PRN Med Started]]&lt;&gt;"",Tbl_ResidentData[[#This Row],[PRN Med Started]]&lt;=NOW(),Tbl_ResidentData[[#This Row],[PRN Med Started]]&lt;=AX$4,OR(Tbl_ResidentData[[#This Row],[PRN Med Discontinued]]&gt;AX$4,ISBLANK(Tbl_ResidentData[[#This Row],[PRN Med Discontinued]])))</f>
        <v>0</v>
      </c>
      <c r="BW118" s="121" t="b">
        <f ca="1">AND(Tbl_ResidentData[[#This Row],[PRN Med Started]]&lt;&gt;"",Tbl_ResidentData[[#This Row],[PRN Med Started]]&lt;=NOW(),Tbl_ResidentData[[#This Row],[PRN Med Started]]&lt;=AY$4,OR(Tbl_ResidentData[[#This Row],[PRN Med Discontinued]]&gt;AY$4,ISBLANK(Tbl_ResidentData[[#This Row],[PRN Med Discontinued]])))</f>
        <v>0</v>
      </c>
      <c r="BX118" s="121" t="b">
        <f ca="1">AND(Tbl_ResidentData[[#This Row],[PRN Med Started]]&lt;&gt;"",Tbl_ResidentData[[#This Row],[PRN Med Started]]&lt;=NOW(),Tbl_ResidentData[[#This Row],[PRN Med Started]]&lt;=AZ$4,OR(Tbl_ResidentData[[#This Row],[PRN Med Discontinued]]&gt;AZ$4,ISBLANK(Tbl_ResidentData[[#This Row],[PRN Med Discontinued]])))</f>
        <v>0</v>
      </c>
      <c r="BY118" s="121" t="b">
        <f ca="1">AND(Tbl_ResidentData[[#This Row],[PRN Med Started]]&lt;&gt;"",Tbl_ResidentData[[#This Row],[PRN Med Started]]&lt;=NOW(),Tbl_ResidentData[[#This Row],[PRN Med Started]]&lt;=BA$4,OR(Tbl_ResidentData[[#This Row],[PRN Med Discontinued]]&gt;BA$4,ISBLANK(Tbl_ResidentData[[#This Row],[PRN Med Discontinued]])))</f>
        <v>0</v>
      </c>
      <c r="BZ118" s="121" t="b">
        <f ca="1">AND(Tbl_ResidentData[[#This Row],[PRN Med Started]]&lt;&gt;"",Tbl_ResidentData[[#This Row],[PRN Med Started]]&lt;=NOW(),Tbl_ResidentData[[#This Row],[PRN Med Started]]&lt;=BB$4,OR(Tbl_ResidentData[[#This Row],[PRN Med Discontinued]]&gt;BB$4,ISBLANK(Tbl_ResidentData[[#This Row],[PRN Med Discontinued]])))</f>
        <v>0</v>
      </c>
      <c r="CA118" s="121" t="b">
        <f ca="1">AND(Tbl_ResidentData[[#This Row],[PRN Med Started]]&lt;&gt;"",Tbl_ResidentData[[#This Row],[PRN Med Started]]&lt;=NOW(),Tbl_ResidentData[[#This Row],[PRN Med Started]]&lt;=BC$4,OR(Tbl_ResidentData[[#This Row],[PRN Med Discontinued]]&gt;BC$4,ISBLANK(Tbl_ResidentData[[#This Row],[PRN Med Discontinued]])))</f>
        <v>0</v>
      </c>
      <c r="CB118" s="121" t="b">
        <f ca="1">AND(Tbl_ResidentData[[#This Row],[PRN Med Started]]&lt;&gt;"",Tbl_ResidentData[[#This Row],[PRN Med Started]]&lt;=NOW(),Tbl_ResidentData[[#This Row],[PRN Med Started]]&lt;=BD$4,OR(Tbl_ResidentData[[#This Row],[PRN Med Discontinued]]&gt;BD$4,ISBLANK(Tbl_ResidentData[[#This Row],[PRN Med Discontinued]])))</f>
        <v>0</v>
      </c>
      <c r="CC118" s="121" t="b">
        <f ca="1">AND(Tbl_ResidentData[[#This Row],[PRN Med Started]]&lt;&gt;"",Tbl_ResidentData[[#This Row],[PRN Med Started]]&lt;=NOW(),Tbl_ResidentData[[#This Row],[PRN Med Started]]&lt;=BE$4,OR(Tbl_ResidentData[[#This Row],[PRN Med Discontinued]]&gt;BE$4,ISBLANK(Tbl_ResidentData[[#This Row],[PRN Med Discontinued]])))</f>
        <v>0</v>
      </c>
      <c r="CD118" s="121" t="b">
        <f ca="1">AND(Tbl_ResidentData[[#This Row],[PRN Med Started]]&lt;&gt;"",Tbl_ResidentData[[#This Row],[PRN Med Started]]&lt;=NOW(),Tbl_ResidentData[[#This Row],[PRN Med Started]]&lt;=BF$4,OR(Tbl_ResidentData[[#This Row],[PRN Med Discontinued]]&gt;BF$4,ISBLANK(Tbl_ResidentData[[#This Row],[PRN Med Discontinued]])))</f>
        <v>0</v>
      </c>
      <c r="CE118" s="121" t="b">
        <f ca="1">AND(Tbl_ResidentData[[#This Row],[PRN Med Started]]&lt;&gt;"",Tbl_ResidentData[[#This Row],[PRN Med Started]]&lt;=NOW(),Tbl_ResidentData[[#This Row],[PRN Med Started]]&lt;=BG$4,OR(Tbl_ResidentData[[#This Row],[PRN Med Discontinued]]&gt;BG$4,ISBLANK(Tbl_ResidentData[[#This Row],[PRN Med Discontinued]])))</f>
        <v>0</v>
      </c>
      <c r="CF118" s="121" t="b">
        <f ca="1">AND(Tbl_ResidentData[[#This Row],[PRN Med Started]]&lt;&gt;"",Tbl_ResidentData[[#This Row],[PRN Med Started]]&lt;=NOW(),Tbl_ResidentData[[#This Row],[PRN Med Started]]&lt;=BH$4,OR(Tbl_ResidentData[[#This Row],[PRN Med Discontinued]]&gt;BH$4,ISBLANK(Tbl_ResidentData[[#This Row],[PRN Med Discontinued]])))</f>
        <v>0</v>
      </c>
      <c r="CG118" s="121" t="b">
        <f ca="1">AND(Tbl_ResidentData[[#This Row],[PRN Med Started]]&lt;&gt;"",Tbl_ResidentData[[#This Row],[PRN Med Started]]&lt;=NOW(),Tbl_ResidentData[[#This Row],[PRN Med Started]]&lt;=BI$4,OR(Tbl_ResidentData[[#This Row],[PRN Med Discontinued]]&gt;BI$4,ISBLANK(Tbl_ResidentData[[#This Row],[PRN Med Discontinued]])))</f>
        <v>0</v>
      </c>
      <c r="CH118" s="121" t="b">
        <f ca="1">AND(Tbl_ResidentData[[#This Row],[PRN Med Started]]&lt;&gt;"",Tbl_ResidentData[[#This Row],[PRN Med Started]]&lt;=NOW(),Tbl_ResidentData[[#This Row],[PRN Med Started]]&lt;=BJ$4,OR(Tbl_ResidentData[[#This Row],[PRN Med Discontinued]]&gt;BJ$4,ISBLANK(Tbl_ResidentData[[#This Row],[PRN Med Discontinued]])))</f>
        <v>0</v>
      </c>
      <c r="CI118" s="121" t="b">
        <f ca="1">AND(Tbl_ResidentData[[#This Row],[PRN Med Started]]&lt;&gt;"",Tbl_ResidentData[[#This Row],[PRN Med Started]]&lt;=NOW(),Tbl_ResidentData[[#This Row],[PRN Med Started]]&lt;=BK$4,OR(Tbl_ResidentData[[#This Row],[PRN Med Discontinued]]&gt;BK$4,ISBLANK(Tbl_ResidentData[[#This Row],[PRN Med Discontinued]])))</f>
        <v>0</v>
      </c>
      <c r="CJ118" s="121" t="b">
        <f ca="1">AND(Tbl_ResidentData[[#This Row],[PRN Med Started]]&lt;&gt;"",Tbl_ResidentData[[#This Row],[PRN Med Started]]&lt;=NOW(),Tbl_ResidentData[[#This Row],[PRN Med Started]]&lt;=BL$4,OR(Tbl_ResidentData[[#This Row],[PRN Med Discontinued]]&gt;BL$4,ISBLANK(Tbl_ResidentData[[#This Row],[PRN Med Discontinued]])))</f>
        <v>0</v>
      </c>
      <c r="CK118" s="121" t="b">
        <f ca="1">AND(Tbl_ResidentData[[#This Row],[PRN Med Started]]&lt;&gt;"",Tbl_ResidentData[[#This Row],[PRN Med Started]]&lt;=NOW(),Tbl_ResidentData[[#This Row],[PRN Med Started]]&lt;=BM$4,OR(Tbl_ResidentData[[#This Row],[PRN Med Discontinued]]&gt;BM$4,ISBLANK(Tbl_ResidentData[[#This Row],[PRN Med Discontinued]])))</f>
        <v>0</v>
      </c>
      <c r="CL118" s="121" t="b">
        <f ca="1">AND(Tbl_ResidentData[[#This Row],[PRN Med Started]]&lt;&gt;"",Tbl_ResidentData[[#This Row],[PRN Med Started]]&lt;=NOW(),Tbl_ResidentData[[#This Row],[PRN Med Started]]&lt;=BN$4,OR(Tbl_ResidentData[[#This Row],[PRN Med Discontinued]]&gt;BN$4,ISBLANK(Tbl_ResidentData[[#This Row],[PRN Med Discontinued]])))</f>
        <v>0</v>
      </c>
      <c r="CM118" s="121" t="b">
        <f ca="1">AND(Tbl_ResidentData[[#This Row],[PRN Med Started]]&lt;&gt;"",Tbl_ResidentData[[#This Row],[PRN Med Started]]&lt;=NOW(),Tbl_ResidentData[[#This Row],[PRN Med Started]]&lt;=BO$4,OR(Tbl_ResidentData[[#This Row],[PRN Med Discontinued]]&gt;BO$4,ISBLANK(Tbl_ResidentData[[#This Row],[PRN Med Discontinued]])))</f>
        <v>0</v>
      </c>
      <c r="CN118" s="122" t="b">
        <f ca="1">AND(Tbl_ResidentData[[#This Row],[PRN Med Started]]&lt;&gt;"",Tbl_ResidentData[[#This Row],[PRN Med Started]]&lt;=NOW(),Tbl_ResidentData[[#This Row],[PRN Med Started]]&lt;=BP$4,OR(Tbl_ResidentData[[#This Row],[PRN Med Discontinued]]&gt;BP$4,ISBLANK(Tbl_ResidentData[[#This Row],[PRN Med Discontinued]])))</f>
        <v>0</v>
      </c>
      <c r="CO118" s="120">
        <f ca="1">IF(OR(Tbl_ResidentData[[#This Row],[S1]]=TRUE,Tbl_ResidentData[[#This Row],[P1]]=TRUE),1,0)</f>
        <v>0</v>
      </c>
      <c r="CP118" s="121">
        <f ca="1">IF(OR(Tbl_ResidentData[[#This Row],[S2]]=TRUE,Tbl_ResidentData[[#This Row],[P2]]=TRUE),1,0)</f>
        <v>0</v>
      </c>
      <c r="CQ118" s="121">
        <f ca="1">IF(OR(Tbl_ResidentData[[#This Row],[S3]]=TRUE,Tbl_ResidentData[[#This Row],[P3]]=TRUE),1,0)</f>
        <v>0</v>
      </c>
      <c r="CR118" s="120">
        <f ca="1">IF(OR(Tbl_ResidentData[[#This Row],[S4]]=TRUE,Tbl_ResidentData[[#This Row],[P4]]=TRUE),1,0)</f>
        <v>0</v>
      </c>
      <c r="CS118" s="120">
        <f ca="1">IF(OR(Tbl_ResidentData[[#This Row],[S5]]=TRUE,Tbl_ResidentData[[#This Row],[P5]]=TRUE),1,0)</f>
        <v>0</v>
      </c>
      <c r="CT118" s="120">
        <f ca="1">IF(OR(Tbl_ResidentData[[#This Row],[S6]]=TRUE,Tbl_ResidentData[[#This Row],[P6]]=TRUE),1,0)</f>
        <v>0</v>
      </c>
      <c r="CU118" s="120">
        <f ca="1">IF(OR(Tbl_ResidentData[[#This Row],[S7]]=TRUE,Tbl_ResidentData[[#This Row],[P7]]=TRUE),1,0)</f>
        <v>0</v>
      </c>
      <c r="CV118" s="120">
        <f ca="1">IF(OR(Tbl_ResidentData[[#This Row],[S8]]=TRUE,Tbl_ResidentData[[#This Row],[P8]]=TRUE),1,0)</f>
        <v>0</v>
      </c>
      <c r="CW118" s="120">
        <f ca="1">IF(OR(Tbl_ResidentData[[#This Row],[S9]]=TRUE,Tbl_ResidentData[[#This Row],[P9]]=TRUE),1,0)</f>
        <v>0</v>
      </c>
      <c r="CX118" s="120">
        <f ca="1">IF(OR(Tbl_ResidentData[[#This Row],[S10]]=TRUE,Tbl_ResidentData[[#This Row],[P10]]=TRUE),1,0)</f>
        <v>0</v>
      </c>
      <c r="CY118" s="120">
        <f ca="1">IF(OR(Tbl_ResidentData[[#This Row],[S11]]=TRUE,Tbl_ResidentData[[#This Row],[P11]]=TRUE),1,0)</f>
        <v>0</v>
      </c>
      <c r="CZ118" s="120">
        <f ca="1">IF(OR(Tbl_ResidentData[[#This Row],[S12]]=TRUE,Tbl_ResidentData[[#This Row],[P12]]=TRUE),1,0)</f>
        <v>0</v>
      </c>
      <c r="DA118" s="120">
        <f ca="1">IF(OR(Tbl_ResidentData[[#This Row],[S13]]=TRUE,Tbl_ResidentData[[#This Row],[P13]]=TRUE),1,0)</f>
        <v>0</v>
      </c>
      <c r="DB118" s="120">
        <f ca="1">IF(OR(Tbl_ResidentData[[#This Row],[S14]]=TRUE,Tbl_ResidentData[[#This Row],[P14]]=TRUE),1,0)</f>
        <v>0</v>
      </c>
      <c r="DC118" s="120">
        <f ca="1">IF(OR(Tbl_ResidentData[[#This Row],[S15]]=TRUE,Tbl_ResidentData[[#This Row],[P15]]=TRUE),1,0)</f>
        <v>0</v>
      </c>
      <c r="DD118" s="120">
        <f ca="1">IF(OR(Tbl_ResidentData[[#This Row],[S16]]=TRUE,Tbl_ResidentData[[#This Row],[P16]]=TRUE),1,0)</f>
        <v>0</v>
      </c>
      <c r="DE118" s="120">
        <f ca="1">IF(OR(Tbl_ResidentData[[#This Row],[S17]]=TRUE,Tbl_ResidentData[[#This Row],[P17]]=TRUE),1,0)</f>
        <v>0</v>
      </c>
      <c r="DF118" s="120">
        <f ca="1">IF(OR(Tbl_ResidentData[[#This Row],[S18]]=TRUE,Tbl_ResidentData[[#This Row],[P18]]=TRUE),1,0)</f>
        <v>0</v>
      </c>
      <c r="DG118" s="120">
        <f ca="1">IF(OR(Tbl_ResidentData[[#This Row],[S19]]=TRUE,Tbl_ResidentData[[#This Row],[P19]]=TRUE),1,0)</f>
        <v>0</v>
      </c>
      <c r="DH118" s="120">
        <f ca="1">IF(OR(Tbl_ResidentData[[#This Row],[S20]]=TRUE,Tbl_ResidentData[[#This Row],[P20]]=TRUE),1,0)</f>
        <v>0</v>
      </c>
      <c r="DI118" s="120">
        <f ca="1">IF(OR(Tbl_ResidentData[[#This Row],[S21]]=TRUE,Tbl_ResidentData[[#This Row],[P21]]=TRUE),1,0)</f>
        <v>0</v>
      </c>
      <c r="DJ118" s="120">
        <f ca="1">IF(OR(Tbl_ResidentData[[#This Row],[S22]]=TRUE,Tbl_ResidentData[[#This Row],[P22]]=TRUE),1,0)</f>
        <v>0</v>
      </c>
      <c r="DK118" s="120">
        <f ca="1">IF(OR(Tbl_ResidentData[[#This Row],[S23]]=TRUE,Tbl_ResidentData[[#This Row],[P23]]=TRUE),1,0)</f>
        <v>0</v>
      </c>
      <c r="DL118" s="120">
        <f ca="1">IF(OR(Tbl_ResidentData[[#This Row],[S24]]=TRUE,Tbl_ResidentData[[#This Row],[P24]]=TRUE),1,0)</f>
        <v>0</v>
      </c>
      <c r="DM118" s="123" t="str">
        <f ca="1">IFERROR(INDEX($CO$4:$DL$4,MATCH(TRUE,INDEX((Tbl_ResidentData[[#This Row],[Over1]:[Over24]]&lt;&gt;0),0),0)),"")</f>
        <v/>
      </c>
      <c r="DN118" s="133" t="str">
        <f>IFERROR(INDEX(Tbl_PDSAData[Last DRT],MATCH(Tbl_ResidentData[Resident Name '[last, first']],Tbl_PDSAData[Resident Name (last, first)],0)),"")</f>
        <v/>
      </c>
      <c r="DO118" s="222" t="str">
        <f>IFERROR(INDEX(Tbl_PDSAData[Last MR],MATCH(Tbl_ResidentData[Resident Name '[last, first']],Tbl_PDSAData[Resident Name (last, first)],0)),"")</f>
        <v/>
      </c>
    </row>
    <row r="119" spans="1:119" x14ac:dyDescent="0.25">
      <c r="A119" s="179"/>
      <c r="B119" s="180"/>
      <c r="C119" s="180"/>
      <c r="D119" s="218"/>
      <c r="E119" s="179"/>
      <c r="F119" s="181"/>
      <c r="G119" s="181"/>
      <c r="H119" s="375"/>
      <c r="I119" s="185"/>
      <c r="J119" s="387"/>
      <c r="K119" s="178"/>
      <c r="L119" s="388"/>
      <c r="M119" s="185"/>
      <c r="N119" s="386"/>
      <c r="O119" s="178"/>
      <c r="P119" s="388"/>
      <c r="Q119" s="395"/>
      <c r="R119" s="396"/>
      <c r="S119" s="131" t="str">
        <f>IF(ISBLANK(Tbl_ResidentData[[#This Row],[Discharge '[mmm-yyyy']]]),IF(ISBLANK(Tbl_ResidentData[[#This Row],[Enrollment '[mmm-yyyy']]]),"","In Care Home"),"Discharged")</f>
        <v/>
      </c>
      <c r="T119" s="119" t="str">
        <f>IF(ISBLANK(Tbl_ResidentData[[#This Row],[Diagnosis (RAI)]]),IF(ISBLANK(Tbl_ResidentData[[#This Row],[Resident Name '[last, first']]]),"",0),IF(Tbl_ResidentData[[#This Row],[Diagnosis (RAI)]]="Other (see clinical notes)",0,1))</f>
        <v/>
      </c>
      <c r="U119" s="120" t="str">
        <f ca="1">IF(U$4&gt;NOW(),"-",IF(ISBLANK(Tbl_ResidentData[[#This Row],[Enrollment '[mmm-yyyy']]]),"-",AND((Tbl_ResidentData[[#This Row],[Enrollment '[mmm-yyyy']]]&lt;=U$4),IF(ISBLANK(Tbl_ResidentData[[#This Row],[Discharge '[mmm-yyyy']]]),TRUE,(Tbl_ResidentData[[#This Row],[Discharge '[mmm-yyyy']]]&gt;=U$4)))))</f>
        <v>-</v>
      </c>
      <c r="V119" s="121" t="str">
        <f ca="1">IF(V$4&gt;NOW(),"-",IF(ISBLANK(Tbl_ResidentData[[#This Row],[Enrollment '[mmm-yyyy']]]),"-",AND((Tbl_ResidentData[[#This Row],[Enrollment '[mmm-yyyy']]]&lt;=V$4),IF(ISBLANK(Tbl_ResidentData[[#This Row],[Discharge '[mmm-yyyy']]]),TRUE,(Tbl_ResidentData[[#This Row],[Discharge '[mmm-yyyy']]]&gt;=V$4)))))</f>
        <v>-</v>
      </c>
      <c r="W119" s="121" t="str">
        <f ca="1">IF(W$4&gt;NOW(),"-",IF(ISBLANK(Tbl_ResidentData[[#This Row],[Enrollment '[mmm-yyyy']]]),"-",AND((Tbl_ResidentData[[#This Row],[Enrollment '[mmm-yyyy']]]&lt;=W$4),IF(ISBLANK(Tbl_ResidentData[[#This Row],[Discharge '[mmm-yyyy']]]),TRUE,(Tbl_ResidentData[[#This Row],[Discharge '[mmm-yyyy']]]&gt;=W$4)))))</f>
        <v>-</v>
      </c>
      <c r="X119" s="121" t="str">
        <f ca="1">IF(X$4&gt;NOW(),"-",IF(ISBLANK(Tbl_ResidentData[[#This Row],[Enrollment '[mmm-yyyy']]]),"-",AND((Tbl_ResidentData[[#This Row],[Enrollment '[mmm-yyyy']]]&lt;=X$4),IF(ISBLANK(Tbl_ResidentData[[#This Row],[Discharge '[mmm-yyyy']]]),TRUE,(Tbl_ResidentData[[#This Row],[Discharge '[mmm-yyyy']]]&gt;=X$4)))))</f>
        <v>-</v>
      </c>
      <c r="Y119" s="121" t="str">
        <f ca="1">IF(Y$4&gt;NOW(),"-",IF(ISBLANK(Tbl_ResidentData[[#This Row],[Enrollment '[mmm-yyyy']]]),"-",AND((Tbl_ResidentData[[#This Row],[Enrollment '[mmm-yyyy']]]&lt;=Y$4),IF(ISBLANK(Tbl_ResidentData[[#This Row],[Discharge '[mmm-yyyy']]]),TRUE,(Tbl_ResidentData[[#This Row],[Discharge '[mmm-yyyy']]]&gt;=Y$4)))))</f>
        <v>-</v>
      </c>
      <c r="Z119" s="121" t="str">
        <f ca="1">IF(Z$4&gt;NOW(),"-",IF(ISBLANK(Tbl_ResidentData[[#This Row],[Enrollment '[mmm-yyyy']]]),"-",AND((Tbl_ResidentData[[#This Row],[Enrollment '[mmm-yyyy']]]&lt;=Z$4),IF(ISBLANK(Tbl_ResidentData[[#This Row],[Discharge '[mmm-yyyy']]]),TRUE,(Tbl_ResidentData[[#This Row],[Discharge '[mmm-yyyy']]]&gt;=Z$4)))))</f>
        <v>-</v>
      </c>
      <c r="AA119" s="121" t="str">
        <f ca="1">IF(AA$4&gt;NOW(),"-",IF(ISBLANK(Tbl_ResidentData[[#This Row],[Enrollment '[mmm-yyyy']]]),"-",AND((Tbl_ResidentData[[#This Row],[Enrollment '[mmm-yyyy']]]&lt;=AA$4),IF(ISBLANK(Tbl_ResidentData[[#This Row],[Discharge '[mmm-yyyy']]]),TRUE,(Tbl_ResidentData[[#This Row],[Discharge '[mmm-yyyy']]]&gt;=AA$4)))))</f>
        <v>-</v>
      </c>
      <c r="AB119" s="121" t="str">
        <f ca="1">IF(AB$4&gt;NOW(),"-",IF(ISBLANK(Tbl_ResidentData[[#This Row],[Enrollment '[mmm-yyyy']]]),"-",AND((Tbl_ResidentData[[#This Row],[Enrollment '[mmm-yyyy']]]&lt;=AB$4),IF(ISBLANK(Tbl_ResidentData[[#This Row],[Discharge '[mmm-yyyy']]]),TRUE,(Tbl_ResidentData[[#This Row],[Discharge '[mmm-yyyy']]]&gt;=AB$4)))))</f>
        <v>-</v>
      </c>
      <c r="AC119" s="121" t="str">
        <f ca="1">IF(AC$4&gt;NOW(),"-",IF(ISBLANK(Tbl_ResidentData[[#This Row],[Enrollment '[mmm-yyyy']]]),"-",AND((Tbl_ResidentData[[#This Row],[Enrollment '[mmm-yyyy']]]&lt;=AC$4),IF(ISBLANK(Tbl_ResidentData[[#This Row],[Discharge '[mmm-yyyy']]]),TRUE,(Tbl_ResidentData[[#This Row],[Discharge '[mmm-yyyy']]]&gt;=AC$4)))))</f>
        <v>-</v>
      </c>
      <c r="AD119" s="121" t="str">
        <f ca="1">IF(AD$4&gt;NOW(),"-",IF(ISBLANK(Tbl_ResidentData[[#This Row],[Enrollment '[mmm-yyyy']]]),"-",AND((Tbl_ResidentData[[#This Row],[Enrollment '[mmm-yyyy']]]&lt;=AD$4),IF(ISBLANK(Tbl_ResidentData[[#This Row],[Discharge '[mmm-yyyy']]]),TRUE,(Tbl_ResidentData[[#This Row],[Discharge '[mmm-yyyy']]]&gt;=AD$4)))))</f>
        <v>-</v>
      </c>
      <c r="AE119" s="121" t="str">
        <f ca="1">IF(AE$4&gt;NOW(),"-",IF(ISBLANK(Tbl_ResidentData[[#This Row],[Enrollment '[mmm-yyyy']]]),"-",AND((Tbl_ResidentData[[#This Row],[Enrollment '[mmm-yyyy']]]&lt;=AE$4),IF(ISBLANK(Tbl_ResidentData[[#This Row],[Discharge '[mmm-yyyy']]]),TRUE,(Tbl_ResidentData[[#This Row],[Discharge '[mmm-yyyy']]]&gt;=AE$4)))))</f>
        <v>-</v>
      </c>
      <c r="AF119" s="121" t="str">
        <f ca="1">IF(AF$4&gt;NOW(),"-",IF(ISBLANK(Tbl_ResidentData[[#This Row],[Enrollment '[mmm-yyyy']]]),"-",AND((Tbl_ResidentData[[#This Row],[Enrollment '[mmm-yyyy']]]&lt;=AF$4),IF(ISBLANK(Tbl_ResidentData[[#This Row],[Discharge '[mmm-yyyy']]]),TRUE,(Tbl_ResidentData[[#This Row],[Discharge '[mmm-yyyy']]]&gt;=AF$4)))))</f>
        <v>-</v>
      </c>
      <c r="AG119" s="121" t="str">
        <f ca="1">IF(AG$4&gt;NOW(),"-",IF(ISBLANK(Tbl_ResidentData[[#This Row],[Enrollment '[mmm-yyyy']]]),"-",AND((Tbl_ResidentData[[#This Row],[Enrollment '[mmm-yyyy']]]&lt;=AG$4),IF(ISBLANK(Tbl_ResidentData[[#This Row],[Discharge '[mmm-yyyy']]]),TRUE,(Tbl_ResidentData[[#This Row],[Discharge '[mmm-yyyy']]]&gt;=AG$4)))))</f>
        <v>-</v>
      </c>
      <c r="AH119" s="121" t="str">
        <f ca="1">IF(AH$4&gt;NOW(),"-",IF(ISBLANK(Tbl_ResidentData[[#This Row],[Enrollment '[mmm-yyyy']]]),"-",AND((Tbl_ResidentData[[#This Row],[Enrollment '[mmm-yyyy']]]&lt;=AH$4),IF(ISBLANK(Tbl_ResidentData[[#This Row],[Discharge '[mmm-yyyy']]]),TRUE,(Tbl_ResidentData[[#This Row],[Discharge '[mmm-yyyy']]]&gt;=AH$4)))))</f>
        <v>-</v>
      </c>
      <c r="AI119" s="121" t="str">
        <f ca="1">IF(AI$4&gt;NOW(),"-",IF(ISBLANK(Tbl_ResidentData[[#This Row],[Enrollment '[mmm-yyyy']]]),"-",AND((Tbl_ResidentData[[#This Row],[Enrollment '[mmm-yyyy']]]&lt;=AI$4),IF(ISBLANK(Tbl_ResidentData[[#This Row],[Discharge '[mmm-yyyy']]]),TRUE,(Tbl_ResidentData[[#This Row],[Discharge '[mmm-yyyy']]]&gt;=AI$4)))))</f>
        <v>-</v>
      </c>
      <c r="AJ119" s="121" t="str">
        <f ca="1">IF(AJ$4&gt;NOW(),"-",IF(ISBLANK(Tbl_ResidentData[[#This Row],[Enrollment '[mmm-yyyy']]]),"-",AND((Tbl_ResidentData[[#This Row],[Enrollment '[mmm-yyyy']]]&lt;=AJ$4),IF(ISBLANK(Tbl_ResidentData[[#This Row],[Discharge '[mmm-yyyy']]]),TRUE,(Tbl_ResidentData[[#This Row],[Discharge '[mmm-yyyy']]]&gt;=AJ$4)))))</f>
        <v>-</v>
      </c>
      <c r="AK119" s="121" t="str">
        <f ca="1">IF(AK$4&gt;NOW(),"-",IF(ISBLANK(Tbl_ResidentData[[#This Row],[Enrollment '[mmm-yyyy']]]),"-",AND((Tbl_ResidentData[[#This Row],[Enrollment '[mmm-yyyy']]]&lt;=AK$4),IF(ISBLANK(Tbl_ResidentData[[#This Row],[Discharge '[mmm-yyyy']]]),TRUE,(Tbl_ResidentData[[#This Row],[Discharge '[mmm-yyyy']]]&gt;=AK$4)))))</f>
        <v>-</v>
      </c>
      <c r="AL119" s="121" t="str">
        <f ca="1">IF(AL$4&gt;NOW(),"-",IF(ISBLANK(Tbl_ResidentData[[#This Row],[Enrollment '[mmm-yyyy']]]),"-",AND((Tbl_ResidentData[[#This Row],[Enrollment '[mmm-yyyy']]]&lt;=AL$4),IF(ISBLANK(Tbl_ResidentData[[#This Row],[Discharge '[mmm-yyyy']]]),TRUE,(Tbl_ResidentData[[#This Row],[Discharge '[mmm-yyyy']]]&gt;=AL$4)))))</f>
        <v>-</v>
      </c>
      <c r="AM119" s="121" t="str">
        <f ca="1">IF(AM$4&gt;NOW(),"-",IF(ISBLANK(Tbl_ResidentData[[#This Row],[Enrollment '[mmm-yyyy']]]),"-",AND((Tbl_ResidentData[[#This Row],[Enrollment '[mmm-yyyy']]]&lt;=AM$4),IF(ISBLANK(Tbl_ResidentData[[#This Row],[Discharge '[mmm-yyyy']]]),TRUE,(Tbl_ResidentData[[#This Row],[Discharge '[mmm-yyyy']]]&gt;=AM$4)))))</f>
        <v>-</v>
      </c>
      <c r="AN119" s="121" t="str">
        <f ca="1">IF(AN$4&gt;NOW(),"-",IF(ISBLANK(Tbl_ResidentData[[#This Row],[Enrollment '[mmm-yyyy']]]),"-",AND((Tbl_ResidentData[[#This Row],[Enrollment '[mmm-yyyy']]]&lt;=AN$4),IF(ISBLANK(Tbl_ResidentData[[#This Row],[Discharge '[mmm-yyyy']]]),TRUE,(Tbl_ResidentData[[#This Row],[Discharge '[mmm-yyyy']]]&gt;=AN$4)))))</f>
        <v>-</v>
      </c>
      <c r="AO119" s="121" t="str">
        <f ca="1">IF(AO$4&gt;NOW(),"-",IF(ISBLANK(Tbl_ResidentData[[#This Row],[Enrollment '[mmm-yyyy']]]),"-",AND((Tbl_ResidentData[[#This Row],[Enrollment '[mmm-yyyy']]]&lt;=AO$4),IF(ISBLANK(Tbl_ResidentData[[#This Row],[Discharge '[mmm-yyyy']]]),TRUE,(Tbl_ResidentData[[#This Row],[Discharge '[mmm-yyyy']]]&gt;=AO$4)))))</f>
        <v>-</v>
      </c>
      <c r="AP119" s="121" t="str">
        <f ca="1">IF(AP$4&gt;NOW(),"-",IF(ISBLANK(Tbl_ResidentData[[#This Row],[Enrollment '[mmm-yyyy']]]),"-",AND((Tbl_ResidentData[[#This Row],[Enrollment '[mmm-yyyy']]]&lt;=AP$4),IF(ISBLANK(Tbl_ResidentData[[#This Row],[Discharge '[mmm-yyyy']]]),TRUE,(Tbl_ResidentData[[#This Row],[Discharge '[mmm-yyyy']]]&gt;=AP$4)))))</f>
        <v>-</v>
      </c>
      <c r="AQ119" s="121" t="str">
        <f ca="1">IF(AQ$4&gt;NOW(),"-",IF(ISBLANK(Tbl_ResidentData[[#This Row],[Enrollment '[mmm-yyyy']]]),"-",AND((Tbl_ResidentData[[#This Row],[Enrollment '[mmm-yyyy']]]&lt;=AQ$4),IF(ISBLANK(Tbl_ResidentData[[#This Row],[Discharge '[mmm-yyyy']]]),TRUE,(Tbl_ResidentData[[#This Row],[Discharge '[mmm-yyyy']]]&gt;=AQ$4)))))</f>
        <v>-</v>
      </c>
      <c r="AR119" s="122" t="str">
        <f ca="1">IF(AR$4&gt;NOW(),"-",IF(ISBLANK(Tbl_ResidentData[[#This Row],[Enrollment '[mmm-yyyy']]]),"-",AND((Tbl_ResidentData[[#This Row],[Enrollment '[mmm-yyyy']]]&lt;=AR$4),IF(ISBLANK(Tbl_ResidentData[[#This Row],[Discharge '[mmm-yyyy']]]),TRUE,(Tbl_ResidentData[[#This Row],[Discharge '[mmm-yyyy']]]&gt;=AR$4)))))</f>
        <v>-</v>
      </c>
      <c r="AS11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9" s="120" t="b">
        <f ca="1">AND(Tbl_ResidentData[[#This Row],[PRN Med Started]]&lt;&gt;"",Tbl_ResidentData[[#This Row],[PRN Med Started]]&lt;=NOW(),Tbl_ResidentData[[#This Row],[PRN Med Started]]&lt;=AS$4,OR(Tbl_ResidentData[[#This Row],[PRN Med Discontinued]]&gt;AS$4,ISBLANK(Tbl_ResidentData[[#This Row],[PRN Med Discontinued]])))</f>
        <v>0</v>
      </c>
      <c r="BR119" s="121" t="b">
        <f ca="1">AND(Tbl_ResidentData[[#This Row],[PRN Med Started]]&lt;&gt;"",Tbl_ResidentData[[#This Row],[PRN Med Started]]&lt;=NOW(),Tbl_ResidentData[[#This Row],[PRN Med Started]]&lt;=AT$4,OR(Tbl_ResidentData[[#This Row],[PRN Med Discontinued]]&gt;AT$4,ISBLANK(Tbl_ResidentData[[#This Row],[PRN Med Discontinued]])))</f>
        <v>0</v>
      </c>
      <c r="BS119" s="121" t="b">
        <f ca="1">AND(Tbl_ResidentData[[#This Row],[PRN Med Started]]&lt;&gt;"",Tbl_ResidentData[[#This Row],[PRN Med Started]]&lt;=NOW(),Tbl_ResidentData[[#This Row],[PRN Med Started]]&lt;=AU$4,OR(Tbl_ResidentData[[#This Row],[PRN Med Discontinued]]&gt;AU$4,ISBLANK(Tbl_ResidentData[[#This Row],[PRN Med Discontinued]])))</f>
        <v>0</v>
      </c>
      <c r="BT119" s="121" t="b">
        <f ca="1">AND(Tbl_ResidentData[[#This Row],[PRN Med Started]]&lt;&gt;"",Tbl_ResidentData[[#This Row],[PRN Med Started]]&lt;=NOW(),Tbl_ResidentData[[#This Row],[PRN Med Started]]&lt;=AV$4,OR(Tbl_ResidentData[[#This Row],[PRN Med Discontinued]]&gt;AV$4,ISBLANK(Tbl_ResidentData[[#This Row],[PRN Med Discontinued]])))</f>
        <v>0</v>
      </c>
      <c r="BU119" s="121" t="b">
        <f ca="1">AND(Tbl_ResidentData[[#This Row],[PRN Med Started]]&lt;&gt;"",Tbl_ResidentData[[#This Row],[PRN Med Started]]&lt;=NOW(),Tbl_ResidentData[[#This Row],[PRN Med Started]]&lt;=AW$4,OR(Tbl_ResidentData[[#This Row],[PRN Med Discontinued]]&gt;AW$4,ISBLANK(Tbl_ResidentData[[#This Row],[PRN Med Discontinued]])))</f>
        <v>0</v>
      </c>
      <c r="BV119" s="121" t="b">
        <f ca="1">AND(Tbl_ResidentData[[#This Row],[PRN Med Started]]&lt;&gt;"",Tbl_ResidentData[[#This Row],[PRN Med Started]]&lt;=NOW(),Tbl_ResidentData[[#This Row],[PRN Med Started]]&lt;=AX$4,OR(Tbl_ResidentData[[#This Row],[PRN Med Discontinued]]&gt;AX$4,ISBLANK(Tbl_ResidentData[[#This Row],[PRN Med Discontinued]])))</f>
        <v>0</v>
      </c>
      <c r="BW119" s="121" t="b">
        <f ca="1">AND(Tbl_ResidentData[[#This Row],[PRN Med Started]]&lt;&gt;"",Tbl_ResidentData[[#This Row],[PRN Med Started]]&lt;=NOW(),Tbl_ResidentData[[#This Row],[PRN Med Started]]&lt;=AY$4,OR(Tbl_ResidentData[[#This Row],[PRN Med Discontinued]]&gt;AY$4,ISBLANK(Tbl_ResidentData[[#This Row],[PRN Med Discontinued]])))</f>
        <v>0</v>
      </c>
      <c r="BX119" s="121" t="b">
        <f ca="1">AND(Tbl_ResidentData[[#This Row],[PRN Med Started]]&lt;&gt;"",Tbl_ResidentData[[#This Row],[PRN Med Started]]&lt;=NOW(),Tbl_ResidentData[[#This Row],[PRN Med Started]]&lt;=AZ$4,OR(Tbl_ResidentData[[#This Row],[PRN Med Discontinued]]&gt;AZ$4,ISBLANK(Tbl_ResidentData[[#This Row],[PRN Med Discontinued]])))</f>
        <v>0</v>
      </c>
      <c r="BY119" s="121" t="b">
        <f ca="1">AND(Tbl_ResidentData[[#This Row],[PRN Med Started]]&lt;&gt;"",Tbl_ResidentData[[#This Row],[PRN Med Started]]&lt;=NOW(),Tbl_ResidentData[[#This Row],[PRN Med Started]]&lt;=BA$4,OR(Tbl_ResidentData[[#This Row],[PRN Med Discontinued]]&gt;BA$4,ISBLANK(Tbl_ResidentData[[#This Row],[PRN Med Discontinued]])))</f>
        <v>0</v>
      </c>
      <c r="BZ119" s="121" t="b">
        <f ca="1">AND(Tbl_ResidentData[[#This Row],[PRN Med Started]]&lt;&gt;"",Tbl_ResidentData[[#This Row],[PRN Med Started]]&lt;=NOW(),Tbl_ResidentData[[#This Row],[PRN Med Started]]&lt;=BB$4,OR(Tbl_ResidentData[[#This Row],[PRN Med Discontinued]]&gt;BB$4,ISBLANK(Tbl_ResidentData[[#This Row],[PRN Med Discontinued]])))</f>
        <v>0</v>
      </c>
      <c r="CA119" s="121" t="b">
        <f ca="1">AND(Tbl_ResidentData[[#This Row],[PRN Med Started]]&lt;&gt;"",Tbl_ResidentData[[#This Row],[PRN Med Started]]&lt;=NOW(),Tbl_ResidentData[[#This Row],[PRN Med Started]]&lt;=BC$4,OR(Tbl_ResidentData[[#This Row],[PRN Med Discontinued]]&gt;BC$4,ISBLANK(Tbl_ResidentData[[#This Row],[PRN Med Discontinued]])))</f>
        <v>0</v>
      </c>
      <c r="CB119" s="121" t="b">
        <f ca="1">AND(Tbl_ResidentData[[#This Row],[PRN Med Started]]&lt;&gt;"",Tbl_ResidentData[[#This Row],[PRN Med Started]]&lt;=NOW(),Tbl_ResidentData[[#This Row],[PRN Med Started]]&lt;=BD$4,OR(Tbl_ResidentData[[#This Row],[PRN Med Discontinued]]&gt;BD$4,ISBLANK(Tbl_ResidentData[[#This Row],[PRN Med Discontinued]])))</f>
        <v>0</v>
      </c>
      <c r="CC119" s="121" t="b">
        <f ca="1">AND(Tbl_ResidentData[[#This Row],[PRN Med Started]]&lt;&gt;"",Tbl_ResidentData[[#This Row],[PRN Med Started]]&lt;=NOW(),Tbl_ResidentData[[#This Row],[PRN Med Started]]&lt;=BE$4,OR(Tbl_ResidentData[[#This Row],[PRN Med Discontinued]]&gt;BE$4,ISBLANK(Tbl_ResidentData[[#This Row],[PRN Med Discontinued]])))</f>
        <v>0</v>
      </c>
      <c r="CD119" s="121" t="b">
        <f ca="1">AND(Tbl_ResidentData[[#This Row],[PRN Med Started]]&lt;&gt;"",Tbl_ResidentData[[#This Row],[PRN Med Started]]&lt;=NOW(),Tbl_ResidentData[[#This Row],[PRN Med Started]]&lt;=BF$4,OR(Tbl_ResidentData[[#This Row],[PRN Med Discontinued]]&gt;BF$4,ISBLANK(Tbl_ResidentData[[#This Row],[PRN Med Discontinued]])))</f>
        <v>0</v>
      </c>
      <c r="CE119" s="121" t="b">
        <f ca="1">AND(Tbl_ResidentData[[#This Row],[PRN Med Started]]&lt;&gt;"",Tbl_ResidentData[[#This Row],[PRN Med Started]]&lt;=NOW(),Tbl_ResidentData[[#This Row],[PRN Med Started]]&lt;=BG$4,OR(Tbl_ResidentData[[#This Row],[PRN Med Discontinued]]&gt;BG$4,ISBLANK(Tbl_ResidentData[[#This Row],[PRN Med Discontinued]])))</f>
        <v>0</v>
      </c>
      <c r="CF119" s="121" t="b">
        <f ca="1">AND(Tbl_ResidentData[[#This Row],[PRN Med Started]]&lt;&gt;"",Tbl_ResidentData[[#This Row],[PRN Med Started]]&lt;=NOW(),Tbl_ResidentData[[#This Row],[PRN Med Started]]&lt;=BH$4,OR(Tbl_ResidentData[[#This Row],[PRN Med Discontinued]]&gt;BH$4,ISBLANK(Tbl_ResidentData[[#This Row],[PRN Med Discontinued]])))</f>
        <v>0</v>
      </c>
      <c r="CG119" s="121" t="b">
        <f ca="1">AND(Tbl_ResidentData[[#This Row],[PRN Med Started]]&lt;&gt;"",Tbl_ResidentData[[#This Row],[PRN Med Started]]&lt;=NOW(),Tbl_ResidentData[[#This Row],[PRN Med Started]]&lt;=BI$4,OR(Tbl_ResidentData[[#This Row],[PRN Med Discontinued]]&gt;BI$4,ISBLANK(Tbl_ResidentData[[#This Row],[PRN Med Discontinued]])))</f>
        <v>0</v>
      </c>
      <c r="CH119" s="121" t="b">
        <f ca="1">AND(Tbl_ResidentData[[#This Row],[PRN Med Started]]&lt;&gt;"",Tbl_ResidentData[[#This Row],[PRN Med Started]]&lt;=NOW(),Tbl_ResidentData[[#This Row],[PRN Med Started]]&lt;=BJ$4,OR(Tbl_ResidentData[[#This Row],[PRN Med Discontinued]]&gt;BJ$4,ISBLANK(Tbl_ResidentData[[#This Row],[PRN Med Discontinued]])))</f>
        <v>0</v>
      </c>
      <c r="CI119" s="121" t="b">
        <f ca="1">AND(Tbl_ResidentData[[#This Row],[PRN Med Started]]&lt;&gt;"",Tbl_ResidentData[[#This Row],[PRN Med Started]]&lt;=NOW(),Tbl_ResidentData[[#This Row],[PRN Med Started]]&lt;=BK$4,OR(Tbl_ResidentData[[#This Row],[PRN Med Discontinued]]&gt;BK$4,ISBLANK(Tbl_ResidentData[[#This Row],[PRN Med Discontinued]])))</f>
        <v>0</v>
      </c>
      <c r="CJ119" s="121" t="b">
        <f ca="1">AND(Tbl_ResidentData[[#This Row],[PRN Med Started]]&lt;&gt;"",Tbl_ResidentData[[#This Row],[PRN Med Started]]&lt;=NOW(),Tbl_ResidentData[[#This Row],[PRN Med Started]]&lt;=BL$4,OR(Tbl_ResidentData[[#This Row],[PRN Med Discontinued]]&gt;BL$4,ISBLANK(Tbl_ResidentData[[#This Row],[PRN Med Discontinued]])))</f>
        <v>0</v>
      </c>
      <c r="CK119" s="121" t="b">
        <f ca="1">AND(Tbl_ResidentData[[#This Row],[PRN Med Started]]&lt;&gt;"",Tbl_ResidentData[[#This Row],[PRN Med Started]]&lt;=NOW(),Tbl_ResidentData[[#This Row],[PRN Med Started]]&lt;=BM$4,OR(Tbl_ResidentData[[#This Row],[PRN Med Discontinued]]&gt;BM$4,ISBLANK(Tbl_ResidentData[[#This Row],[PRN Med Discontinued]])))</f>
        <v>0</v>
      </c>
      <c r="CL119" s="121" t="b">
        <f ca="1">AND(Tbl_ResidentData[[#This Row],[PRN Med Started]]&lt;&gt;"",Tbl_ResidentData[[#This Row],[PRN Med Started]]&lt;=NOW(),Tbl_ResidentData[[#This Row],[PRN Med Started]]&lt;=BN$4,OR(Tbl_ResidentData[[#This Row],[PRN Med Discontinued]]&gt;BN$4,ISBLANK(Tbl_ResidentData[[#This Row],[PRN Med Discontinued]])))</f>
        <v>0</v>
      </c>
      <c r="CM119" s="121" t="b">
        <f ca="1">AND(Tbl_ResidentData[[#This Row],[PRN Med Started]]&lt;&gt;"",Tbl_ResidentData[[#This Row],[PRN Med Started]]&lt;=NOW(),Tbl_ResidentData[[#This Row],[PRN Med Started]]&lt;=BO$4,OR(Tbl_ResidentData[[#This Row],[PRN Med Discontinued]]&gt;BO$4,ISBLANK(Tbl_ResidentData[[#This Row],[PRN Med Discontinued]])))</f>
        <v>0</v>
      </c>
      <c r="CN119" s="122" t="b">
        <f ca="1">AND(Tbl_ResidentData[[#This Row],[PRN Med Started]]&lt;&gt;"",Tbl_ResidentData[[#This Row],[PRN Med Started]]&lt;=NOW(),Tbl_ResidentData[[#This Row],[PRN Med Started]]&lt;=BP$4,OR(Tbl_ResidentData[[#This Row],[PRN Med Discontinued]]&gt;BP$4,ISBLANK(Tbl_ResidentData[[#This Row],[PRN Med Discontinued]])))</f>
        <v>0</v>
      </c>
      <c r="CO119" s="120">
        <f ca="1">IF(OR(Tbl_ResidentData[[#This Row],[S1]]=TRUE,Tbl_ResidentData[[#This Row],[P1]]=TRUE),1,0)</f>
        <v>0</v>
      </c>
      <c r="CP119" s="121">
        <f ca="1">IF(OR(Tbl_ResidentData[[#This Row],[S2]]=TRUE,Tbl_ResidentData[[#This Row],[P2]]=TRUE),1,0)</f>
        <v>0</v>
      </c>
      <c r="CQ119" s="121">
        <f ca="1">IF(OR(Tbl_ResidentData[[#This Row],[S3]]=TRUE,Tbl_ResidentData[[#This Row],[P3]]=TRUE),1,0)</f>
        <v>0</v>
      </c>
      <c r="CR119" s="120">
        <f ca="1">IF(OR(Tbl_ResidentData[[#This Row],[S4]]=TRUE,Tbl_ResidentData[[#This Row],[P4]]=TRUE),1,0)</f>
        <v>0</v>
      </c>
      <c r="CS119" s="120">
        <f ca="1">IF(OR(Tbl_ResidentData[[#This Row],[S5]]=TRUE,Tbl_ResidentData[[#This Row],[P5]]=TRUE),1,0)</f>
        <v>0</v>
      </c>
      <c r="CT119" s="120">
        <f ca="1">IF(OR(Tbl_ResidentData[[#This Row],[S6]]=TRUE,Tbl_ResidentData[[#This Row],[P6]]=TRUE),1,0)</f>
        <v>0</v>
      </c>
      <c r="CU119" s="120">
        <f ca="1">IF(OR(Tbl_ResidentData[[#This Row],[S7]]=TRUE,Tbl_ResidentData[[#This Row],[P7]]=TRUE),1,0)</f>
        <v>0</v>
      </c>
      <c r="CV119" s="120">
        <f ca="1">IF(OR(Tbl_ResidentData[[#This Row],[S8]]=TRUE,Tbl_ResidentData[[#This Row],[P8]]=TRUE),1,0)</f>
        <v>0</v>
      </c>
      <c r="CW119" s="120">
        <f ca="1">IF(OR(Tbl_ResidentData[[#This Row],[S9]]=TRUE,Tbl_ResidentData[[#This Row],[P9]]=TRUE),1,0)</f>
        <v>0</v>
      </c>
      <c r="CX119" s="120">
        <f ca="1">IF(OR(Tbl_ResidentData[[#This Row],[S10]]=TRUE,Tbl_ResidentData[[#This Row],[P10]]=TRUE),1,0)</f>
        <v>0</v>
      </c>
      <c r="CY119" s="120">
        <f ca="1">IF(OR(Tbl_ResidentData[[#This Row],[S11]]=TRUE,Tbl_ResidentData[[#This Row],[P11]]=TRUE),1,0)</f>
        <v>0</v>
      </c>
      <c r="CZ119" s="120">
        <f ca="1">IF(OR(Tbl_ResidentData[[#This Row],[S12]]=TRUE,Tbl_ResidentData[[#This Row],[P12]]=TRUE),1,0)</f>
        <v>0</v>
      </c>
      <c r="DA119" s="120">
        <f ca="1">IF(OR(Tbl_ResidentData[[#This Row],[S13]]=TRUE,Tbl_ResidentData[[#This Row],[P13]]=TRUE),1,0)</f>
        <v>0</v>
      </c>
      <c r="DB119" s="120">
        <f ca="1">IF(OR(Tbl_ResidentData[[#This Row],[S14]]=TRUE,Tbl_ResidentData[[#This Row],[P14]]=TRUE),1,0)</f>
        <v>0</v>
      </c>
      <c r="DC119" s="120">
        <f ca="1">IF(OR(Tbl_ResidentData[[#This Row],[S15]]=TRUE,Tbl_ResidentData[[#This Row],[P15]]=TRUE),1,0)</f>
        <v>0</v>
      </c>
      <c r="DD119" s="120">
        <f ca="1">IF(OR(Tbl_ResidentData[[#This Row],[S16]]=TRUE,Tbl_ResidentData[[#This Row],[P16]]=TRUE),1,0)</f>
        <v>0</v>
      </c>
      <c r="DE119" s="120">
        <f ca="1">IF(OR(Tbl_ResidentData[[#This Row],[S17]]=TRUE,Tbl_ResidentData[[#This Row],[P17]]=TRUE),1,0)</f>
        <v>0</v>
      </c>
      <c r="DF119" s="120">
        <f ca="1">IF(OR(Tbl_ResidentData[[#This Row],[S18]]=TRUE,Tbl_ResidentData[[#This Row],[P18]]=TRUE),1,0)</f>
        <v>0</v>
      </c>
      <c r="DG119" s="120">
        <f ca="1">IF(OR(Tbl_ResidentData[[#This Row],[S19]]=TRUE,Tbl_ResidentData[[#This Row],[P19]]=TRUE),1,0)</f>
        <v>0</v>
      </c>
      <c r="DH119" s="120">
        <f ca="1">IF(OR(Tbl_ResidentData[[#This Row],[S20]]=TRUE,Tbl_ResidentData[[#This Row],[P20]]=TRUE),1,0)</f>
        <v>0</v>
      </c>
      <c r="DI119" s="120">
        <f ca="1">IF(OR(Tbl_ResidentData[[#This Row],[S21]]=TRUE,Tbl_ResidentData[[#This Row],[P21]]=TRUE),1,0)</f>
        <v>0</v>
      </c>
      <c r="DJ119" s="120">
        <f ca="1">IF(OR(Tbl_ResidentData[[#This Row],[S22]]=TRUE,Tbl_ResidentData[[#This Row],[P22]]=TRUE),1,0)</f>
        <v>0</v>
      </c>
      <c r="DK119" s="120">
        <f ca="1">IF(OR(Tbl_ResidentData[[#This Row],[S23]]=TRUE,Tbl_ResidentData[[#This Row],[P23]]=TRUE),1,0)</f>
        <v>0</v>
      </c>
      <c r="DL119" s="120">
        <f ca="1">IF(OR(Tbl_ResidentData[[#This Row],[S24]]=TRUE,Tbl_ResidentData[[#This Row],[P24]]=TRUE),1,0)</f>
        <v>0</v>
      </c>
      <c r="DM119" s="123" t="str">
        <f ca="1">IFERROR(INDEX($CO$4:$DL$4,MATCH(TRUE,INDEX((Tbl_ResidentData[[#This Row],[Over1]:[Over24]]&lt;&gt;0),0),0)),"")</f>
        <v/>
      </c>
      <c r="DN119" s="133" t="str">
        <f>IFERROR(INDEX(Tbl_PDSAData[Last DRT],MATCH(Tbl_ResidentData[Resident Name '[last, first']],Tbl_PDSAData[Resident Name (last, first)],0)),"")</f>
        <v/>
      </c>
      <c r="DO119" s="222" t="str">
        <f>IFERROR(INDEX(Tbl_PDSAData[Last MR],MATCH(Tbl_ResidentData[Resident Name '[last, first']],Tbl_PDSAData[Resident Name (last, first)],0)),"")</f>
        <v/>
      </c>
    </row>
    <row r="120" spans="1:119" x14ac:dyDescent="0.25">
      <c r="A120" s="179"/>
      <c r="B120" s="180"/>
      <c r="C120" s="180"/>
      <c r="D120" s="218"/>
      <c r="E120" s="179"/>
      <c r="F120" s="181"/>
      <c r="G120" s="181"/>
      <c r="H120" s="182"/>
      <c r="I120" s="185"/>
      <c r="J120" s="387"/>
      <c r="K120" s="178"/>
      <c r="L120" s="388"/>
      <c r="M120" s="185"/>
      <c r="N120" s="386"/>
      <c r="O120" s="178"/>
      <c r="P120" s="388"/>
      <c r="Q120" s="394"/>
      <c r="R120" s="388"/>
      <c r="S120" s="131" t="str">
        <f>IF(ISBLANK(Tbl_ResidentData[[#This Row],[Discharge '[mmm-yyyy']]]),IF(ISBLANK(Tbl_ResidentData[[#This Row],[Enrollment '[mmm-yyyy']]]),"","In Care Home"),"Discharged")</f>
        <v/>
      </c>
      <c r="T120" s="119" t="str">
        <f>IF(ISBLANK(Tbl_ResidentData[[#This Row],[Diagnosis (RAI)]]),IF(ISBLANK(Tbl_ResidentData[[#This Row],[Resident Name '[last, first']]]),"",0),IF(Tbl_ResidentData[[#This Row],[Diagnosis (RAI)]]="Other (see clinical notes)",0,1))</f>
        <v/>
      </c>
      <c r="U120" s="120" t="str">
        <f ca="1">IF(U$4&gt;NOW(),"-",IF(ISBLANK(Tbl_ResidentData[[#This Row],[Enrollment '[mmm-yyyy']]]),"-",AND((Tbl_ResidentData[[#This Row],[Enrollment '[mmm-yyyy']]]&lt;=U$4),IF(ISBLANK(Tbl_ResidentData[[#This Row],[Discharge '[mmm-yyyy']]]),TRUE,(Tbl_ResidentData[[#This Row],[Discharge '[mmm-yyyy']]]&gt;=U$4)))))</f>
        <v>-</v>
      </c>
      <c r="V120" s="121" t="str">
        <f ca="1">IF(V$4&gt;NOW(),"-",IF(ISBLANK(Tbl_ResidentData[[#This Row],[Enrollment '[mmm-yyyy']]]),"-",AND((Tbl_ResidentData[[#This Row],[Enrollment '[mmm-yyyy']]]&lt;=V$4),IF(ISBLANK(Tbl_ResidentData[[#This Row],[Discharge '[mmm-yyyy']]]),TRUE,(Tbl_ResidentData[[#This Row],[Discharge '[mmm-yyyy']]]&gt;=V$4)))))</f>
        <v>-</v>
      </c>
      <c r="W120" s="121" t="str">
        <f ca="1">IF(W$4&gt;NOW(),"-",IF(ISBLANK(Tbl_ResidentData[[#This Row],[Enrollment '[mmm-yyyy']]]),"-",AND((Tbl_ResidentData[[#This Row],[Enrollment '[mmm-yyyy']]]&lt;=W$4),IF(ISBLANK(Tbl_ResidentData[[#This Row],[Discharge '[mmm-yyyy']]]),TRUE,(Tbl_ResidentData[[#This Row],[Discharge '[mmm-yyyy']]]&gt;=W$4)))))</f>
        <v>-</v>
      </c>
      <c r="X120" s="121" t="str">
        <f ca="1">IF(X$4&gt;NOW(),"-",IF(ISBLANK(Tbl_ResidentData[[#This Row],[Enrollment '[mmm-yyyy']]]),"-",AND((Tbl_ResidentData[[#This Row],[Enrollment '[mmm-yyyy']]]&lt;=X$4),IF(ISBLANK(Tbl_ResidentData[[#This Row],[Discharge '[mmm-yyyy']]]),TRUE,(Tbl_ResidentData[[#This Row],[Discharge '[mmm-yyyy']]]&gt;=X$4)))))</f>
        <v>-</v>
      </c>
      <c r="Y120" s="121" t="str">
        <f ca="1">IF(Y$4&gt;NOW(),"-",IF(ISBLANK(Tbl_ResidentData[[#This Row],[Enrollment '[mmm-yyyy']]]),"-",AND((Tbl_ResidentData[[#This Row],[Enrollment '[mmm-yyyy']]]&lt;=Y$4),IF(ISBLANK(Tbl_ResidentData[[#This Row],[Discharge '[mmm-yyyy']]]),TRUE,(Tbl_ResidentData[[#This Row],[Discharge '[mmm-yyyy']]]&gt;=Y$4)))))</f>
        <v>-</v>
      </c>
      <c r="Z120" s="121" t="str">
        <f ca="1">IF(Z$4&gt;NOW(),"-",IF(ISBLANK(Tbl_ResidentData[[#This Row],[Enrollment '[mmm-yyyy']]]),"-",AND((Tbl_ResidentData[[#This Row],[Enrollment '[mmm-yyyy']]]&lt;=Z$4),IF(ISBLANK(Tbl_ResidentData[[#This Row],[Discharge '[mmm-yyyy']]]),TRUE,(Tbl_ResidentData[[#This Row],[Discharge '[mmm-yyyy']]]&gt;=Z$4)))))</f>
        <v>-</v>
      </c>
      <c r="AA120" s="121" t="str">
        <f ca="1">IF(AA$4&gt;NOW(),"-",IF(ISBLANK(Tbl_ResidentData[[#This Row],[Enrollment '[mmm-yyyy']]]),"-",AND((Tbl_ResidentData[[#This Row],[Enrollment '[mmm-yyyy']]]&lt;=AA$4),IF(ISBLANK(Tbl_ResidentData[[#This Row],[Discharge '[mmm-yyyy']]]),TRUE,(Tbl_ResidentData[[#This Row],[Discharge '[mmm-yyyy']]]&gt;=AA$4)))))</f>
        <v>-</v>
      </c>
      <c r="AB120" s="121" t="str">
        <f ca="1">IF(AB$4&gt;NOW(),"-",IF(ISBLANK(Tbl_ResidentData[[#This Row],[Enrollment '[mmm-yyyy']]]),"-",AND((Tbl_ResidentData[[#This Row],[Enrollment '[mmm-yyyy']]]&lt;=AB$4),IF(ISBLANK(Tbl_ResidentData[[#This Row],[Discharge '[mmm-yyyy']]]),TRUE,(Tbl_ResidentData[[#This Row],[Discharge '[mmm-yyyy']]]&gt;=AB$4)))))</f>
        <v>-</v>
      </c>
      <c r="AC120" s="121" t="str">
        <f ca="1">IF(AC$4&gt;NOW(),"-",IF(ISBLANK(Tbl_ResidentData[[#This Row],[Enrollment '[mmm-yyyy']]]),"-",AND((Tbl_ResidentData[[#This Row],[Enrollment '[mmm-yyyy']]]&lt;=AC$4),IF(ISBLANK(Tbl_ResidentData[[#This Row],[Discharge '[mmm-yyyy']]]),TRUE,(Tbl_ResidentData[[#This Row],[Discharge '[mmm-yyyy']]]&gt;=AC$4)))))</f>
        <v>-</v>
      </c>
      <c r="AD120" s="121" t="str">
        <f ca="1">IF(AD$4&gt;NOW(),"-",IF(ISBLANK(Tbl_ResidentData[[#This Row],[Enrollment '[mmm-yyyy']]]),"-",AND((Tbl_ResidentData[[#This Row],[Enrollment '[mmm-yyyy']]]&lt;=AD$4),IF(ISBLANK(Tbl_ResidentData[[#This Row],[Discharge '[mmm-yyyy']]]),TRUE,(Tbl_ResidentData[[#This Row],[Discharge '[mmm-yyyy']]]&gt;=AD$4)))))</f>
        <v>-</v>
      </c>
      <c r="AE120" s="121" t="str">
        <f ca="1">IF(AE$4&gt;NOW(),"-",IF(ISBLANK(Tbl_ResidentData[[#This Row],[Enrollment '[mmm-yyyy']]]),"-",AND((Tbl_ResidentData[[#This Row],[Enrollment '[mmm-yyyy']]]&lt;=AE$4),IF(ISBLANK(Tbl_ResidentData[[#This Row],[Discharge '[mmm-yyyy']]]),TRUE,(Tbl_ResidentData[[#This Row],[Discharge '[mmm-yyyy']]]&gt;=AE$4)))))</f>
        <v>-</v>
      </c>
      <c r="AF120" s="121" t="str">
        <f ca="1">IF(AF$4&gt;NOW(),"-",IF(ISBLANK(Tbl_ResidentData[[#This Row],[Enrollment '[mmm-yyyy']]]),"-",AND((Tbl_ResidentData[[#This Row],[Enrollment '[mmm-yyyy']]]&lt;=AF$4),IF(ISBLANK(Tbl_ResidentData[[#This Row],[Discharge '[mmm-yyyy']]]),TRUE,(Tbl_ResidentData[[#This Row],[Discharge '[mmm-yyyy']]]&gt;=AF$4)))))</f>
        <v>-</v>
      </c>
      <c r="AG120" s="121" t="str">
        <f ca="1">IF(AG$4&gt;NOW(),"-",IF(ISBLANK(Tbl_ResidentData[[#This Row],[Enrollment '[mmm-yyyy']]]),"-",AND((Tbl_ResidentData[[#This Row],[Enrollment '[mmm-yyyy']]]&lt;=AG$4),IF(ISBLANK(Tbl_ResidentData[[#This Row],[Discharge '[mmm-yyyy']]]),TRUE,(Tbl_ResidentData[[#This Row],[Discharge '[mmm-yyyy']]]&gt;=AG$4)))))</f>
        <v>-</v>
      </c>
      <c r="AH120" s="121" t="str">
        <f ca="1">IF(AH$4&gt;NOW(),"-",IF(ISBLANK(Tbl_ResidentData[[#This Row],[Enrollment '[mmm-yyyy']]]),"-",AND((Tbl_ResidentData[[#This Row],[Enrollment '[mmm-yyyy']]]&lt;=AH$4),IF(ISBLANK(Tbl_ResidentData[[#This Row],[Discharge '[mmm-yyyy']]]),TRUE,(Tbl_ResidentData[[#This Row],[Discharge '[mmm-yyyy']]]&gt;=AH$4)))))</f>
        <v>-</v>
      </c>
      <c r="AI120" s="121" t="str">
        <f ca="1">IF(AI$4&gt;NOW(),"-",IF(ISBLANK(Tbl_ResidentData[[#This Row],[Enrollment '[mmm-yyyy']]]),"-",AND((Tbl_ResidentData[[#This Row],[Enrollment '[mmm-yyyy']]]&lt;=AI$4),IF(ISBLANK(Tbl_ResidentData[[#This Row],[Discharge '[mmm-yyyy']]]),TRUE,(Tbl_ResidentData[[#This Row],[Discharge '[mmm-yyyy']]]&gt;=AI$4)))))</f>
        <v>-</v>
      </c>
      <c r="AJ120" s="121" t="str">
        <f ca="1">IF(AJ$4&gt;NOW(),"-",IF(ISBLANK(Tbl_ResidentData[[#This Row],[Enrollment '[mmm-yyyy']]]),"-",AND((Tbl_ResidentData[[#This Row],[Enrollment '[mmm-yyyy']]]&lt;=AJ$4),IF(ISBLANK(Tbl_ResidentData[[#This Row],[Discharge '[mmm-yyyy']]]),TRUE,(Tbl_ResidentData[[#This Row],[Discharge '[mmm-yyyy']]]&gt;=AJ$4)))))</f>
        <v>-</v>
      </c>
      <c r="AK120" s="121" t="str">
        <f ca="1">IF(AK$4&gt;NOW(),"-",IF(ISBLANK(Tbl_ResidentData[[#This Row],[Enrollment '[mmm-yyyy']]]),"-",AND((Tbl_ResidentData[[#This Row],[Enrollment '[mmm-yyyy']]]&lt;=AK$4),IF(ISBLANK(Tbl_ResidentData[[#This Row],[Discharge '[mmm-yyyy']]]),TRUE,(Tbl_ResidentData[[#This Row],[Discharge '[mmm-yyyy']]]&gt;=AK$4)))))</f>
        <v>-</v>
      </c>
      <c r="AL120" s="121" t="str">
        <f ca="1">IF(AL$4&gt;NOW(),"-",IF(ISBLANK(Tbl_ResidentData[[#This Row],[Enrollment '[mmm-yyyy']]]),"-",AND((Tbl_ResidentData[[#This Row],[Enrollment '[mmm-yyyy']]]&lt;=AL$4),IF(ISBLANK(Tbl_ResidentData[[#This Row],[Discharge '[mmm-yyyy']]]),TRUE,(Tbl_ResidentData[[#This Row],[Discharge '[mmm-yyyy']]]&gt;=AL$4)))))</f>
        <v>-</v>
      </c>
      <c r="AM120" s="121" t="str">
        <f ca="1">IF(AM$4&gt;NOW(),"-",IF(ISBLANK(Tbl_ResidentData[[#This Row],[Enrollment '[mmm-yyyy']]]),"-",AND((Tbl_ResidentData[[#This Row],[Enrollment '[mmm-yyyy']]]&lt;=AM$4),IF(ISBLANK(Tbl_ResidentData[[#This Row],[Discharge '[mmm-yyyy']]]),TRUE,(Tbl_ResidentData[[#This Row],[Discharge '[mmm-yyyy']]]&gt;=AM$4)))))</f>
        <v>-</v>
      </c>
      <c r="AN120" s="121" t="str">
        <f ca="1">IF(AN$4&gt;NOW(),"-",IF(ISBLANK(Tbl_ResidentData[[#This Row],[Enrollment '[mmm-yyyy']]]),"-",AND((Tbl_ResidentData[[#This Row],[Enrollment '[mmm-yyyy']]]&lt;=AN$4),IF(ISBLANK(Tbl_ResidentData[[#This Row],[Discharge '[mmm-yyyy']]]),TRUE,(Tbl_ResidentData[[#This Row],[Discharge '[mmm-yyyy']]]&gt;=AN$4)))))</f>
        <v>-</v>
      </c>
      <c r="AO120" s="121" t="str">
        <f ca="1">IF(AO$4&gt;NOW(),"-",IF(ISBLANK(Tbl_ResidentData[[#This Row],[Enrollment '[mmm-yyyy']]]),"-",AND((Tbl_ResidentData[[#This Row],[Enrollment '[mmm-yyyy']]]&lt;=AO$4),IF(ISBLANK(Tbl_ResidentData[[#This Row],[Discharge '[mmm-yyyy']]]),TRUE,(Tbl_ResidentData[[#This Row],[Discharge '[mmm-yyyy']]]&gt;=AO$4)))))</f>
        <v>-</v>
      </c>
      <c r="AP120" s="121" t="str">
        <f ca="1">IF(AP$4&gt;NOW(),"-",IF(ISBLANK(Tbl_ResidentData[[#This Row],[Enrollment '[mmm-yyyy']]]),"-",AND((Tbl_ResidentData[[#This Row],[Enrollment '[mmm-yyyy']]]&lt;=AP$4),IF(ISBLANK(Tbl_ResidentData[[#This Row],[Discharge '[mmm-yyyy']]]),TRUE,(Tbl_ResidentData[[#This Row],[Discharge '[mmm-yyyy']]]&gt;=AP$4)))))</f>
        <v>-</v>
      </c>
      <c r="AQ120" s="121" t="str">
        <f ca="1">IF(AQ$4&gt;NOW(),"-",IF(ISBLANK(Tbl_ResidentData[[#This Row],[Enrollment '[mmm-yyyy']]]),"-",AND((Tbl_ResidentData[[#This Row],[Enrollment '[mmm-yyyy']]]&lt;=AQ$4),IF(ISBLANK(Tbl_ResidentData[[#This Row],[Discharge '[mmm-yyyy']]]),TRUE,(Tbl_ResidentData[[#This Row],[Discharge '[mmm-yyyy']]]&gt;=AQ$4)))))</f>
        <v>-</v>
      </c>
      <c r="AR120" s="122" t="str">
        <f ca="1">IF(AR$4&gt;NOW(),"-",IF(ISBLANK(Tbl_ResidentData[[#This Row],[Enrollment '[mmm-yyyy']]]),"-",AND((Tbl_ResidentData[[#This Row],[Enrollment '[mmm-yyyy']]]&lt;=AR$4),IF(ISBLANK(Tbl_ResidentData[[#This Row],[Discharge '[mmm-yyyy']]]),TRUE,(Tbl_ResidentData[[#This Row],[Discharge '[mmm-yyyy']]]&gt;=AR$4)))))</f>
        <v>-</v>
      </c>
      <c r="AS12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0" s="120" t="b">
        <f ca="1">AND(Tbl_ResidentData[[#This Row],[PRN Med Started]]&lt;&gt;"",Tbl_ResidentData[[#This Row],[PRN Med Started]]&lt;=NOW(),Tbl_ResidentData[[#This Row],[PRN Med Started]]&lt;=AS$4,OR(Tbl_ResidentData[[#This Row],[PRN Med Discontinued]]&gt;AS$4,ISBLANK(Tbl_ResidentData[[#This Row],[PRN Med Discontinued]])))</f>
        <v>0</v>
      </c>
      <c r="BR120" s="121" t="b">
        <f ca="1">AND(Tbl_ResidentData[[#This Row],[PRN Med Started]]&lt;&gt;"",Tbl_ResidentData[[#This Row],[PRN Med Started]]&lt;=NOW(),Tbl_ResidentData[[#This Row],[PRN Med Started]]&lt;=AT$4,OR(Tbl_ResidentData[[#This Row],[PRN Med Discontinued]]&gt;AT$4,ISBLANK(Tbl_ResidentData[[#This Row],[PRN Med Discontinued]])))</f>
        <v>0</v>
      </c>
      <c r="BS120" s="121" t="b">
        <f ca="1">AND(Tbl_ResidentData[[#This Row],[PRN Med Started]]&lt;&gt;"",Tbl_ResidentData[[#This Row],[PRN Med Started]]&lt;=NOW(),Tbl_ResidentData[[#This Row],[PRN Med Started]]&lt;=AU$4,OR(Tbl_ResidentData[[#This Row],[PRN Med Discontinued]]&gt;AU$4,ISBLANK(Tbl_ResidentData[[#This Row],[PRN Med Discontinued]])))</f>
        <v>0</v>
      </c>
      <c r="BT120" s="121" t="b">
        <f ca="1">AND(Tbl_ResidentData[[#This Row],[PRN Med Started]]&lt;&gt;"",Tbl_ResidentData[[#This Row],[PRN Med Started]]&lt;=NOW(),Tbl_ResidentData[[#This Row],[PRN Med Started]]&lt;=AV$4,OR(Tbl_ResidentData[[#This Row],[PRN Med Discontinued]]&gt;AV$4,ISBLANK(Tbl_ResidentData[[#This Row],[PRN Med Discontinued]])))</f>
        <v>0</v>
      </c>
      <c r="BU120" s="121" t="b">
        <f ca="1">AND(Tbl_ResidentData[[#This Row],[PRN Med Started]]&lt;&gt;"",Tbl_ResidentData[[#This Row],[PRN Med Started]]&lt;=NOW(),Tbl_ResidentData[[#This Row],[PRN Med Started]]&lt;=AW$4,OR(Tbl_ResidentData[[#This Row],[PRN Med Discontinued]]&gt;AW$4,ISBLANK(Tbl_ResidentData[[#This Row],[PRN Med Discontinued]])))</f>
        <v>0</v>
      </c>
      <c r="BV120" s="121" t="b">
        <f ca="1">AND(Tbl_ResidentData[[#This Row],[PRN Med Started]]&lt;&gt;"",Tbl_ResidentData[[#This Row],[PRN Med Started]]&lt;=NOW(),Tbl_ResidentData[[#This Row],[PRN Med Started]]&lt;=AX$4,OR(Tbl_ResidentData[[#This Row],[PRN Med Discontinued]]&gt;AX$4,ISBLANK(Tbl_ResidentData[[#This Row],[PRN Med Discontinued]])))</f>
        <v>0</v>
      </c>
      <c r="BW120" s="121" t="b">
        <f ca="1">AND(Tbl_ResidentData[[#This Row],[PRN Med Started]]&lt;&gt;"",Tbl_ResidentData[[#This Row],[PRN Med Started]]&lt;=NOW(),Tbl_ResidentData[[#This Row],[PRN Med Started]]&lt;=AY$4,OR(Tbl_ResidentData[[#This Row],[PRN Med Discontinued]]&gt;AY$4,ISBLANK(Tbl_ResidentData[[#This Row],[PRN Med Discontinued]])))</f>
        <v>0</v>
      </c>
      <c r="BX120" s="121" t="b">
        <f ca="1">AND(Tbl_ResidentData[[#This Row],[PRN Med Started]]&lt;&gt;"",Tbl_ResidentData[[#This Row],[PRN Med Started]]&lt;=NOW(),Tbl_ResidentData[[#This Row],[PRN Med Started]]&lt;=AZ$4,OR(Tbl_ResidentData[[#This Row],[PRN Med Discontinued]]&gt;AZ$4,ISBLANK(Tbl_ResidentData[[#This Row],[PRN Med Discontinued]])))</f>
        <v>0</v>
      </c>
      <c r="BY120" s="121" t="b">
        <f ca="1">AND(Tbl_ResidentData[[#This Row],[PRN Med Started]]&lt;&gt;"",Tbl_ResidentData[[#This Row],[PRN Med Started]]&lt;=NOW(),Tbl_ResidentData[[#This Row],[PRN Med Started]]&lt;=BA$4,OR(Tbl_ResidentData[[#This Row],[PRN Med Discontinued]]&gt;BA$4,ISBLANK(Tbl_ResidentData[[#This Row],[PRN Med Discontinued]])))</f>
        <v>0</v>
      </c>
      <c r="BZ120" s="121" t="b">
        <f ca="1">AND(Tbl_ResidentData[[#This Row],[PRN Med Started]]&lt;&gt;"",Tbl_ResidentData[[#This Row],[PRN Med Started]]&lt;=NOW(),Tbl_ResidentData[[#This Row],[PRN Med Started]]&lt;=BB$4,OR(Tbl_ResidentData[[#This Row],[PRN Med Discontinued]]&gt;BB$4,ISBLANK(Tbl_ResidentData[[#This Row],[PRN Med Discontinued]])))</f>
        <v>0</v>
      </c>
      <c r="CA120" s="121" t="b">
        <f ca="1">AND(Tbl_ResidentData[[#This Row],[PRN Med Started]]&lt;&gt;"",Tbl_ResidentData[[#This Row],[PRN Med Started]]&lt;=NOW(),Tbl_ResidentData[[#This Row],[PRN Med Started]]&lt;=BC$4,OR(Tbl_ResidentData[[#This Row],[PRN Med Discontinued]]&gt;BC$4,ISBLANK(Tbl_ResidentData[[#This Row],[PRN Med Discontinued]])))</f>
        <v>0</v>
      </c>
      <c r="CB120" s="121" t="b">
        <f ca="1">AND(Tbl_ResidentData[[#This Row],[PRN Med Started]]&lt;&gt;"",Tbl_ResidentData[[#This Row],[PRN Med Started]]&lt;=NOW(),Tbl_ResidentData[[#This Row],[PRN Med Started]]&lt;=BD$4,OR(Tbl_ResidentData[[#This Row],[PRN Med Discontinued]]&gt;BD$4,ISBLANK(Tbl_ResidentData[[#This Row],[PRN Med Discontinued]])))</f>
        <v>0</v>
      </c>
      <c r="CC120" s="121" t="b">
        <f ca="1">AND(Tbl_ResidentData[[#This Row],[PRN Med Started]]&lt;&gt;"",Tbl_ResidentData[[#This Row],[PRN Med Started]]&lt;=NOW(),Tbl_ResidentData[[#This Row],[PRN Med Started]]&lt;=BE$4,OR(Tbl_ResidentData[[#This Row],[PRN Med Discontinued]]&gt;BE$4,ISBLANK(Tbl_ResidentData[[#This Row],[PRN Med Discontinued]])))</f>
        <v>0</v>
      </c>
      <c r="CD120" s="121" t="b">
        <f ca="1">AND(Tbl_ResidentData[[#This Row],[PRN Med Started]]&lt;&gt;"",Tbl_ResidentData[[#This Row],[PRN Med Started]]&lt;=NOW(),Tbl_ResidentData[[#This Row],[PRN Med Started]]&lt;=BF$4,OR(Tbl_ResidentData[[#This Row],[PRN Med Discontinued]]&gt;BF$4,ISBLANK(Tbl_ResidentData[[#This Row],[PRN Med Discontinued]])))</f>
        <v>0</v>
      </c>
      <c r="CE120" s="121" t="b">
        <f ca="1">AND(Tbl_ResidentData[[#This Row],[PRN Med Started]]&lt;&gt;"",Tbl_ResidentData[[#This Row],[PRN Med Started]]&lt;=NOW(),Tbl_ResidentData[[#This Row],[PRN Med Started]]&lt;=BG$4,OR(Tbl_ResidentData[[#This Row],[PRN Med Discontinued]]&gt;BG$4,ISBLANK(Tbl_ResidentData[[#This Row],[PRN Med Discontinued]])))</f>
        <v>0</v>
      </c>
      <c r="CF120" s="121" t="b">
        <f ca="1">AND(Tbl_ResidentData[[#This Row],[PRN Med Started]]&lt;&gt;"",Tbl_ResidentData[[#This Row],[PRN Med Started]]&lt;=NOW(),Tbl_ResidentData[[#This Row],[PRN Med Started]]&lt;=BH$4,OR(Tbl_ResidentData[[#This Row],[PRN Med Discontinued]]&gt;BH$4,ISBLANK(Tbl_ResidentData[[#This Row],[PRN Med Discontinued]])))</f>
        <v>0</v>
      </c>
      <c r="CG120" s="121" t="b">
        <f ca="1">AND(Tbl_ResidentData[[#This Row],[PRN Med Started]]&lt;&gt;"",Tbl_ResidentData[[#This Row],[PRN Med Started]]&lt;=NOW(),Tbl_ResidentData[[#This Row],[PRN Med Started]]&lt;=BI$4,OR(Tbl_ResidentData[[#This Row],[PRN Med Discontinued]]&gt;BI$4,ISBLANK(Tbl_ResidentData[[#This Row],[PRN Med Discontinued]])))</f>
        <v>0</v>
      </c>
      <c r="CH120" s="121" t="b">
        <f ca="1">AND(Tbl_ResidentData[[#This Row],[PRN Med Started]]&lt;&gt;"",Tbl_ResidentData[[#This Row],[PRN Med Started]]&lt;=NOW(),Tbl_ResidentData[[#This Row],[PRN Med Started]]&lt;=BJ$4,OR(Tbl_ResidentData[[#This Row],[PRN Med Discontinued]]&gt;BJ$4,ISBLANK(Tbl_ResidentData[[#This Row],[PRN Med Discontinued]])))</f>
        <v>0</v>
      </c>
      <c r="CI120" s="121" t="b">
        <f ca="1">AND(Tbl_ResidentData[[#This Row],[PRN Med Started]]&lt;&gt;"",Tbl_ResidentData[[#This Row],[PRN Med Started]]&lt;=NOW(),Tbl_ResidentData[[#This Row],[PRN Med Started]]&lt;=BK$4,OR(Tbl_ResidentData[[#This Row],[PRN Med Discontinued]]&gt;BK$4,ISBLANK(Tbl_ResidentData[[#This Row],[PRN Med Discontinued]])))</f>
        <v>0</v>
      </c>
      <c r="CJ120" s="121" t="b">
        <f ca="1">AND(Tbl_ResidentData[[#This Row],[PRN Med Started]]&lt;&gt;"",Tbl_ResidentData[[#This Row],[PRN Med Started]]&lt;=NOW(),Tbl_ResidentData[[#This Row],[PRN Med Started]]&lt;=BL$4,OR(Tbl_ResidentData[[#This Row],[PRN Med Discontinued]]&gt;BL$4,ISBLANK(Tbl_ResidentData[[#This Row],[PRN Med Discontinued]])))</f>
        <v>0</v>
      </c>
      <c r="CK120" s="121" t="b">
        <f ca="1">AND(Tbl_ResidentData[[#This Row],[PRN Med Started]]&lt;&gt;"",Tbl_ResidentData[[#This Row],[PRN Med Started]]&lt;=NOW(),Tbl_ResidentData[[#This Row],[PRN Med Started]]&lt;=BM$4,OR(Tbl_ResidentData[[#This Row],[PRN Med Discontinued]]&gt;BM$4,ISBLANK(Tbl_ResidentData[[#This Row],[PRN Med Discontinued]])))</f>
        <v>0</v>
      </c>
      <c r="CL120" s="121" t="b">
        <f ca="1">AND(Tbl_ResidentData[[#This Row],[PRN Med Started]]&lt;&gt;"",Tbl_ResidentData[[#This Row],[PRN Med Started]]&lt;=NOW(),Tbl_ResidentData[[#This Row],[PRN Med Started]]&lt;=BN$4,OR(Tbl_ResidentData[[#This Row],[PRN Med Discontinued]]&gt;BN$4,ISBLANK(Tbl_ResidentData[[#This Row],[PRN Med Discontinued]])))</f>
        <v>0</v>
      </c>
      <c r="CM120" s="121" t="b">
        <f ca="1">AND(Tbl_ResidentData[[#This Row],[PRN Med Started]]&lt;&gt;"",Tbl_ResidentData[[#This Row],[PRN Med Started]]&lt;=NOW(),Tbl_ResidentData[[#This Row],[PRN Med Started]]&lt;=BO$4,OR(Tbl_ResidentData[[#This Row],[PRN Med Discontinued]]&gt;BO$4,ISBLANK(Tbl_ResidentData[[#This Row],[PRN Med Discontinued]])))</f>
        <v>0</v>
      </c>
      <c r="CN120" s="122" t="b">
        <f ca="1">AND(Tbl_ResidentData[[#This Row],[PRN Med Started]]&lt;&gt;"",Tbl_ResidentData[[#This Row],[PRN Med Started]]&lt;=NOW(),Tbl_ResidentData[[#This Row],[PRN Med Started]]&lt;=BP$4,OR(Tbl_ResidentData[[#This Row],[PRN Med Discontinued]]&gt;BP$4,ISBLANK(Tbl_ResidentData[[#This Row],[PRN Med Discontinued]])))</f>
        <v>0</v>
      </c>
      <c r="CO120" s="120">
        <f ca="1">IF(OR(Tbl_ResidentData[[#This Row],[S1]]=TRUE,Tbl_ResidentData[[#This Row],[P1]]=TRUE),1,0)</f>
        <v>0</v>
      </c>
      <c r="CP120" s="121">
        <f ca="1">IF(OR(Tbl_ResidentData[[#This Row],[S2]]=TRUE,Tbl_ResidentData[[#This Row],[P2]]=TRUE),1,0)</f>
        <v>0</v>
      </c>
      <c r="CQ120" s="121">
        <f ca="1">IF(OR(Tbl_ResidentData[[#This Row],[S3]]=TRUE,Tbl_ResidentData[[#This Row],[P3]]=TRUE),1,0)</f>
        <v>0</v>
      </c>
      <c r="CR120" s="120">
        <f ca="1">IF(OR(Tbl_ResidentData[[#This Row],[S4]]=TRUE,Tbl_ResidentData[[#This Row],[P4]]=TRUE),1,0)</f>
        <v>0</v>
      </c>
      <c r="CS120" s="120">
        <f ca="1">IF(OR(Tbl_ResidentData[[#This Row],[S5]]=TRUE,Tbl_ResidentData[[#This Row],[P5]]=TRUE),1,0)</f>
        <v>0</v>
      </c>
      <c r="CT120" s="120">
        <f ca="1">IF(OR(Tbl_ResidentData[[#This Row],[S6]]=TRUE,Tbl_ResidentData[[#This Row],[P6]]=TRUE),1,0)</f>
        <v>0</v>
      </c>
      <c r="CU120" s="120">
        <f ca="1">IF(OR(Tbl_ResidentData[[#This Row],[S7]]=TRUE,Tbl_ResidentData[[#This Row],[P7]]=TRUE),1,0)</f>
        <v>0</v>
      </c>
      <c r="CV120" s="120">
        <f ca="1">IF(OR(Tbl_ResidentData[[#This Row],[S8]]=TRUE,Tbl_ResidentData[[#This Row],[P8]]=TRUE),1,0)</f>
        <v>0</v>
      </c>
      <c r="CW120" s="120">
        <f ca="1">IF(OR(Tbl_ResidentData[[#This Row],[S9]]=TRUE,Tbl_ResidentData[[#This Row],[P9]]=TRUE),1,0)</f>
        <v>0</v>
      </c>
      <c r="CX120" s="120">
        <f ca="1">IF(OR(Tbl_ResidentData[[#This Row],[S10]]=TRUE,Tbl_ResidentData[[#This Row],[P10]]=TRUE),1,0)</f>
        <v>0</v>
      </c>
      <c r="CY120" s="120">
        <f ca="1">IF(OR(Tbl_ResidentData[[#This Row],[S11]]=TRUE,Tbl_ResidentData[[#This Row],[P11]]=TRUE),1,0)</f>
        <v>0</v>
      </c>
      <c r="CZ120" s="120">
        <f ca="1">IF(OR(Tbl_ResidentData[[#This Row],[S12]]=TRUE,Tbl_ResidentData[[#This Row],[P12]]=TRUE),1,0)</f>
        <v>0</v>
      </c>
      <c r="DA120" s="120">
        <f ca="1">IF(OR(Tbl_ResidentData[[#This Row],[S13]]=TRUE,Tbl_ResidentData[[#This Row],[P13]]=TRUE),1,0)</f>
        <v>0</v>
      </c>
      <c r="DB120" s="120">
        <f ca="1">IF(OR(Tbl_ResidentData[[#This Row],[S14]]=TRUE,Tbl_ResidentData[[#This Row],[P14]]=TRUE),1,0)</f>
        <v>0</v>
      </c>
      <c r="DC120" s="120">
        <f ca="1">IF(OR(Tbl_ResidentData[[#This Row],[S15]]=TRUE,Tbl_ResidentData[[#This Row],[P15]]=TRUE),1,0)</f>
        <v>0</v>
      </c>
      <c r="DD120" s="120">
        <f ca="1">IF(OR(Tbl_ResidentData[[#This Row],[S16]]=TRUE,Tbl_ResidentData[[#This Row],[P16]]=TRUE),1,0)</f>
        <v>0</v>
      </c>
      <c r="DE120" s="120">
        <f ca="1">IF(OR(Tbl_ResidentData[[#This Row],[S17]]=TRUE,Tbl_ResidentData[[#This Row],[P17]]=TRUE),1,0)</f>
        <v>0</v>
      </c>
      <c r="DF120" s="120">
        <f ca="1">IF(OR(Tbl_ResidentData[[#This Row],[S18]]=TRUE,Tbl_ResidentData[[#This Row],[P18]]=TRUE),1,0)</f>
        <v>0</v>
      </c>
      <c r="DG120" s="120">
        <f ca="1">IF(OR(Tbl_ResidentData[[#This Row],[S19]]=TRUE,Tbl_ResidentData[[#This Row],[P19]]=TRUE),1,0)</f>
        <v>0</v>
      </c>
      <c r="DH120" s="120">
        <f ca="1">IF(OR(Tbl_ResidentData[[#This Row],[S20]]=TRUE,Tbl_ResidentData[[#This Row],[P20]]=TRUE),1,0)</f>
        <v>0</v>
      </c>
      <c r="DI120" s="120">
        <f ca="1">IF(OR(Tbl_ResidentData[[#This Row],[S21]]=TRUE,Tbl_ResidentData[[#This Row],[P21]]=TRUE),1,0)</f>
        <v>0</v>
      </c>
      <c r="DJ120" s="120">
        <f ca="1">IF(OR(Tbl_ResidentData[[#This Row],[S22]]=TRUE,Tbl_ResidentData[[#This Row],[P22]]=TRUE),1,0)</f>
        <v>0</v>
      </c>
      <c r="DK120" s="120">
        <f ca="1">IF(OR(Tbl_ResidentData[[#This Row],[S23]]=TRUE,Tbl_ResidentData[[#This Row],[P23]]=TRUE),1,0)</f>
        <v>0</v>
      </c>
      <c r="DL120" s="120">
        <f ca="1">IF(OR(Tbl_ResidentData[[#This Row],[S24]]=TRUE,Tbl_ResidentData[[#This Row],[P24]]=TRUE),1,0)</f>
        <v>0</v>
      </c>
      <c r="DM120" s="123" t="str">
        <f ca="1">IFERROR(INDEX($CO$4:$DL$4,MATCH(TRUE,INDEX((Tbl_ResidentData[[#This Row],[Over1]:[Over24]]&lt;&gt;0),0),0)),"")</f>
        <v/>
      </c>
      <c r="DN120" s="133" t="str">
        <f>IFERROR(INDEX(Tbl_PDSAData[Last DRT],MATCH(Tbl_ResidentData[Resident Name '[last, first']],Tbl_PDSAData[Resident Name (last, first)],0)),"")</f>
        <v/>
      </c>
      <c r="DO120" s="222" t="str">
        <f>IFERROR(INDEX(Tbl_PDSAData[Last MR],MATCH(Tbl_ResidentData[Resident Name '[last, first']],Tbl_PDSAData[Resident Name (last, first)],0)),"")</f>
        <v/>
      </c>
    </row>
    <row r="121" spans="1:119" x14ac:dyDescent="0.25">
      <c r="A121" s="179"/>
      <c r="B121" s="180"/>
      <c r="C121" s="180"/>
      <c r="D121" s="218"/>
      <c r="E121" s="179"/>
      <c r="F121" s="181"/>
      <c r="G121" s="181"/>
      <c r="H121" s="375"/>
      <c r="I121" s="185"/>
      <c r="J121" s="387"/>
      <c r="K121" s="178"/>
      <c r="L121" s="388"/>
      <c r="M121" s="185"/>
      <c r="N121" s="386"/>
      <c r="O121" s="178"/>
      <c r="P121" s="388"/>
      <c r="Q121" s="395"/>
      <c r="R121" s="396"/>
      <c r="S121" s="131" t="str">
        <f>IF(ISBLANK(Tbl_ResidentData[[#This Row],[Discharge '[mmm-yyyy']]]),IF(ISBLANK(Tbl_ResidentData[[#This Row],[Enrollment '[mmm-yyyy']]]),"","In Care Home"),"Discharged")</f>
        <v/>
      </c>
      <c r="T121" s="119" t="str">
        <f>IF(ISBLANK(Tbl_ResidentData[[#This Row],[Diagnosis (RAI)]]),IF(ISBLANK(Tbl_ResidentData[[#This Row],[Resident Name '[last, first']]]),"",0),IF(Tbl_ResidentData[[#This Row],[Diagnosis (RAI)]]="Other (see clinical notes)",0,1))</f>
        <v/>
      </c>
      <c r="U121" s="120" t="str">
        <f ca="1">IF(U$4&gt;NOW(),"-",IF(ISBLANK(Tbl_ResidentData[[#This Row],[Enrollment '[mmm-yyyy']]]),"-",AND((Tbl_ResidentData[[#This Row],[Enrollment '[mmm-yyyy']]]&lt;=U$4),IF(ISBLANK(Tbl_ResidentData[[#This Row],[Discharge '[mmm-yyyy']]]),TRUE,(Tbl_ResidentData[[#This Row],[Discharge '[mmm-yyyy']]]&gt;=U$4)))))</f>
        <v>-</v>
      </c>
      <c r="V121" s="121" t="str">
        <f ca="1">IF(V$4&gt;NOW(),"-",IF(ISBLANK(Tbl_ResidentData[[#This Row],[Enrollment '[mmm-yyyy']]]),"-",AND((Tbl_ResidentData[[#This Row],[Enrollment '[mmm-yyyy']]]&lt;=V$4),IF(ISBLANK(Tbl_ResidentData[[#This Row],[Discharge '[mmm-yyyy']]]),TRUE,(Tbl_ResidentData[[#This Row],[Discharge '[mmm-yyyy']]]&gt;=V$4)))))</f>
        <v>-</v>
      </c>
      <c r="W121" s="121" t="str">
        <f ca="1">IF(W$4&gt;NOW(),"-",IF(ISBLANK(Tbl_ResidentData[[#This Row],[Enrollment '[mmm-yyyy']]]),"-",AND((Tbl_ResidentData[[#This Row],[Enrollment '[mmm-yyyy']]]&lt;=W$4),IF(ISBLANK(Tbl_ResidentData[[#This Row],[Discharge '[mmm-yyyy']]]),TRUE,(Tbl_ResidentData[[#This Row],[Discharge '[mmm-yyyy']]]&gt;=W$4)))))</f>
        <v>-</v>
      </c>
      <c r="X121" s="121" t="str">
        <f ca="1">IF(X$4&gt;NOW(),"-",IF(ISBLANK(Tbl_ResidentData[[#This Row],[Enrollment '[mmm-yyyy']]]),"-",AND((Tbl_ResidentData[[#This Row],[Enrollment '[mmm-yyyy']]]&lt;=X$4),IF(ISBLANK(Tbl_ResidentData[[#This Row],[Discharge '[mmm-yyyy']]]),TRUE,(Tbl_ResidentData[[#This Row],[Discharge '[mmm-yyyy']]]&gt;=X$4)))))</f>
        <v>-</v>
      </c>
      <c r="Y121" s="121" t="str">
        <f ca="1">IF(Y$4&gt;NOW(),"-",IF(ISBLANK(Tbl_ResidentData[[#This Row],[Enrollment '[mmm-yyyy']]]),"-",AND((Tbl_ResidentData[[#This Row],[Enrollment '[mmm-yyyy']]]&lt;=Y$4),IF(ISBLANK(Tbl_ResidentData[[#This Row],[Discharge '[mmm-yyyy']]]),TRUE,(Tbl_ResidentData[[#This Row],[Discharge '[mmm-yyyy']]]&gt;=Y$4)))))</f>
        <v>-</v>
      </c>
      <c r="Z121" s="121" t="str">
        <f ca="1">IF(Z$4&gt;NOW(),"-",IF(ISBLANK(Tbl_ResidentData[[#This Row],[Enrollment '[mmm-yyyy']]]),"-",AND((Tbl_ResidentData[[#This Row],[Enrollment '[mmm-yyyy']]]&lt;=Z$4),IF(ISBLANK(Tbl_ResidentData[[#This Row],[Discharge '[mmm-yyyy']]]),TRUE,(Tbl_ResidentData[[#This Row],[Discharge '[mmm-yyyy']]]&gt;=Z$4)))))</f>
        <v>-</v>
      </c>
      <c r="AA121" s="121" t="str">
        <f ca="1">IF(AA$4&gt;NOW(),"-",IF(ISBLANK(Tbl_ResidentData[[#This Row],[Enrollment '[mmm-yyyy']]]),"-",AND((Tbl_ResidentData[[#This Row],[Enrollment '[mmm-yyyy']]]&lt;=AA$4),IF(ISBLANK(Tbl_ResidentData[[#This Row],[Discharge '[mmm-yyyy']]]),TRUE,(Tbl_ResidentData[[#This Row],[Discharge '[mmm-yyyy']]]&gt;=AA$4)))))</f>
        <v>-</v>
      </c>
      <c r="AB121" s="121" t="str">
        <f ca="1">IF(AB$4&gt;NOW(),"-",IF(ISBLANK(Tbl_ResidentData[[#This Row],[Enrollment '[mmm-yyyy']]]),"-",AND((Tbl_ResidentData[[#This Row],[Enrollment '[mmm-yyyy']]]&lt;=AB$4),IF(ISBLANK(Tbl_ResidentData[[#This Row],[Discharge '[mmm-yyyy']]]),TRUE,(Tbl_ResidentData[[#This Row],[Discharge '[mmm-yyyy']]]&gt;=AB$4)))))</f>
        <v>-</v>
      </c>
      <c r="AC121" s="121" t="str">
        <f ca="1">IF(AC$4&gt;NOW(),"-",IF(ISBLANK(Tbl_ResidentData[[#This Row],[Enrollment '[mmm-yyyy']]]),"-",AND((Tbl_ResidentData[[#This Row],[Enrollment '[mmm-yyyy']]]&lt;=AC$4),IF(ISBLANK(Tbl_ResidentData[[#This Row],[Discharge '[mmm-yyyy']]]),TRUE,(Tbl_ResidentData[[#This Row],[Discharge '[mmm-yyyy']]]&gt;=AC$4)))))</f>
        <v>-</v>
      </c>
      <c r="AD121" s="121" t="str">
        <f ca="1">IF(AD$4&gt;NOW(),"-",IF(ISBLANK(Tbl_ResidentData[[#This Row],[Enrollment '[mmm-yyyy']]]),"-",AND((Tbl_ResidentData[[#This Row],[Enrollment '[mmm-yyyy']]]&lt;=AD$4),IF(ISBLANK(Tbl_ResidentData[[#This Row],[Discharge '[mmm-yyyy']]]),TRUE,(Tbl_ResidentData[[#This Row],[Discharge '[mmm-yyyy']]]&gt;=AD$4)))))</f>
        <v>-</v>
      </c>
      <c r="AE121" s="121" t="str">
        <f ca="1">IF(AE$4&gt;NOW(),"-",IF(ISBLANK(Tbl_ResidentData[[#This Row],[Enrollment '[mmm-yyyy']]]),"-",AND((Tbl_ResidentData[[#This Row],[Enrollment '[mmm-yyyy']]]&lt;=AE$4),IF(ISBLANK(Tbl_ResidentData[[#This Row],[Discharge '[mmm-yyyy']]]),TRUE,(Tbl_ResidentData[[#This Row],[Discharge '[mmm-yyyy']]]&gt;=AE$4)))))</f>
        <v>-</v>
      </c>
      <c r="AF121" s="121" t="str">
        <f ca="1">IF(AF$4&gt;NOW(),"-",IF(ISBLANK(Tbl_ResidentData[[#This Row],[Enrollment '[mmm-yyyy']]]),"-",AND((Tbl_ResidentData[[#This Row],[Enrollment '[mmm-yyyy']]]&lt;=AF$4),IF(ISBLANK(Tbl_ResidentData[[#This Row],[Discharge '[mmm-yyyy']]]),TRUE,(Tbl_ResidentData[[#This Row],[Discharge '[mmm-yyyy']]]&gt;=AF$4)))))</f>
        <v>-</v>
      </c>
      <c r="AG121" s="121" t="str">
        <f ca="1">IF(AG$4&gt;NOW(),"-",IF(ISBLANK(Tbl_ResidentData[[#This Row],[Enrollment '[mmm-yyyy']]]),"-",AND((Tbl_ResidentData[[#This Row],[Enrollment '[mmm-yyyy']]]&lt;=AG$4),IF(ISBLANK(Tbl_ResidentData[[#This Row],[Discharge '[mmm-yyyy']]]),TRUE,(Tbl_ResidentData[[#This Row],[Discharge '[mmm-yyyy']]]&gt;=AG$4)))))</f>
        <v>-</v>
      </c>
      <c r="AH121" s="121" t="str">
        <f ca="1">IF(AH$4&gt;NOW(),"-",IF(ISBLANK(Tbl_ResidentData[[#This Row],[Enrollment '[mmm-yyyy']]]),"-",AND((Tbl_ResidentData[[#This Row],[Enrollment '[mmm-yyyy']]]&lt;=AH$4),IF(ISBLANK(Tbl_ResidentData[[#This Row],[Discharge '[mmm-yyyy']]]),TRUE,(Tbl_ResidentData[[#This Row],[Discharge '[mmm-yyyy']]]&gt;=AH$4)))))</f>
        <v>-</v>
      </c>
      <c r="AI121" s="121" t="str">
        <f ca="1">IF(AI$4&gt;NOW(),"-",IF(ISBLANK(Tbl_ResidentData[[#This Row],[Enrollment '[mmm-yyyy']]]),"-",AND((Tbl_ResidentData[[#This Row],[Enrollment '[mmm-yyyy']]]&lt;=AI$4),IF(ISBLANK(Tbl_ResidentData[[#This Row],[Discharge '[mmm-yyyy']]]),TRUE,(Tbl_ResidentData[[#This Row],[Discharge '[mmm-yyyy']]]&gt;=AI$4)))))</f>
        <v>-</v>
      </c>
      <c r="AJ121" s="121" t="str">
        <f ca="1">IF(AJ$4&gt;NOW(),"-",IF(ISBLANK(Tbl_ResidentData[[#This Row],[Enrollment '[mmm-yyyy']]]),"-",AND((Tbl_ResidentData[[#This Row],[Enrollment '[mmm-yyyy']]]&lt;=AJ$4),IF(ISBLANK(Tbl_ResidentData[[#This Row],[Discharge '[mmm-yyyy']]]),TRUE,(Tbl_ResidentData[[#This Row],[Discharge '[mmm-yyyy']]]&gt;=AJ$4)))))</f>
        <v>-</v>
      </c>
      <c r="AK121" s="121" t="str">
        <f ca="1">IF(AK$4&gt;NOW(),"-",IF(ISBLANK(Tbl_ResidentData[[#This Row],[Enrollment '[mmm-yyyy']]]),"-",AND((Tbl_ResidentData[[#This Row],[Enrollment '[mmm-yyyy']]]&lt;=AK$4),IF(ISBLANK(Tbl_ResidentData[[#This Row],[Discharge '[mmm-yyyy']]]),TRUE,(Tbl_ResidentData[[#This Row],[Discharge '[mmm-yyyy']]]&gt;=AK$4)))))</f>
        <v>-</v>
      </c>
      <c r="AL121" s="121" t="str">
        <f ca="1">IF(AL$4&gt;NOW(),"-",IF(ISBLANK(Tbl_ResidentData[[#This Row],[Enrollment '[mmm-yyyy']]]),"-",AND((Tbl_ResidentData[[#This Row],[Enrollment '[mmm-yyyy']]]&lt;=AL$4),IF(ISBLANK(Tbl_ResidentData[[#This Row],[Discharge '[mmm-yyyy']]]),TRUE,(Tbl_ResidentData[[#This Row],[Discharge '[mmm-yyyy']]]&gt;=AL$4)))))</f>
        <v>-</v>
      </c>
      <c r="AM121" s="121" t="str">
        <f ca="1">IF(AM$4&gt;NOW(),"-",IF(ISBLANK(Tbl_ResidentData[[#This Row],[Enrollment '[mmm-yyyy']]]),"-",AND((Tbl_ResidentData[[#This Row],[Enrollment '[mmm-yyyy']]]&lt;=AM$4),IF(ISBLANK(Tbl_ResidentData[[#This Row],[Discharge '[mmm-yyyy']]]),TRUE,(Tbl_ResidentData[[#This Row],[Discharge '[mmm-yyyy']]]&gt;=AM$4)))))</f>
        <v>-</v>
      </c>
      <c r="AN121" s="121" t="str">
        <f ca="1">IF(AN$4&gt;NOW(),"-",IF(ISBLANK(Tbl_ResidentData[[#This Row],[Enrollment '[mmm-yyyy']]]),"-",AND((Tbl_ResidentData[[#This Row],[Enrollment '[mmm-yyyy']]]&lt;=AN$4),IF(ISBLANK(Tbl_ResidentData[[#This Row],[Discharge '[mmm-yyyy']]]),TRUE,(Tbl_ResidentData[[#This Row],[Discharge '[mmm-yyyy']]]&gt;=AN$4)))))</f>
        <v>-</v>
      </c>
      <c r="AO121" s="121" t="str">
        <f ca="1">IF(AO$4&gt;NOW(),"-",IF(ISBLANK(Tbl_ResidentData[[#This Row],[Enrollment '[mmm-yyyy']]]),"-",AND((Tbl_ResidentData[[#This Row],[Enrollment '[mmm-yyyy']]]&lt;=AO$4),IF(ISBLANK(Tbl_ResidentData[[#This Row],[Discharge '[mmm-yyyy']]]),TRUE,(Tbl_ResidentData[[#This Row],[Discharge '[mmm-yyyy']]]&gt;=AO$4)))))</f>
        <v>-</v>
      </c>
      <c r="AP121" s="121" t="str">
        <f ca="1">IF(AP$4&gt;NOW(),"-",IF(ISBLANK(Tbl_ResidentData[[#This Row],[Enrollment '[mmm-yyyy']]]),"-",AND((Tbl_ResidentData[[#This Row],[Enrollment '[mmm-yyyy']]]&lt;=AP$4),IF(ISBLANK(Tbl_ResidentData[[#This Row],[Discharge '[mmm-yyyy']]]),TRUE,(Tbl_ResidentData[[#This Row],[Discharge '[mmm-yyyy']]]&gt;=AP$4)))))</f>
        <v>-</v>
      </c>
      <c r="AQ121" s="121" t="str">
        <f ca="1">IF(AQ$4&gt;NOW(),"-",IF(ISBLANK(Tbl_ResidentData[[#This Row],[Enrollment '[mmm-yyyy']]]),"-",AND((Tbl_ResidentData[[#This Row],[Enrollment '[mmm-yyyy']]]&lt;=AQ$4),IF(ISBLANK(Tbl_ResidentData[[#This Row],[Discharge '[mmm-yyyy']]]),TRUE,(Tbl_ResidentData[[#This Row],[Discharge '[mmm-yyyy']]]&gt;=AQ$4)))))</f>
        <v>-</v>
      </c>
      <c r="AR121" s="122" t="str">
        <f ca="1">IF(AR$4&gt;NOW(),"-",IF(ISBLANK(Tbl_ResidentData[[#This Row],[Enrollment '[mmm-yyyy']]]),"-",AND((Tbl_ResidentData[[#This Row],[Enrollment '[mmm-yyyy']]]&lt;=AR$4),IF(ISBLANK(Tbl_ResidentData[[#This Row],[Discharge '[mmm-yyyy']]]),TRUE,(Tbl_ResidentData[[#This Row],[Discharge '[mmm-yyyy']]]&gt;=AR$4)))))</f>
        <v>-</v>
      </c>
      <c r="AS12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1" s="120" t="b">
        <f ca="1">AND(Tbl_ResidentData[[#This Row],[PRN Med Started]]&lt;&gt;"",Tbl_ResidentData[[#This Row],[PRN Med Started]]&lt;=NOW(),Tbl_ResidentData[[#This Row],[PRN Med Started]]&lt;=AS$4,OR(Tbl_ResidentData[[#This Row],[PRN Med Discontinued]]&gt;AS$4,ISBLANK(Tbl_ResidentData[[#This Row],[PRN Med Discontinued]])))</f>
        <v>0</v>
      </c>
      <c r="BR121" s="121" t="b">
        <f ca="1">AND(Tbl_ResidentData[[#This Row],[PRN Med Started]]&lt;&gt;"",Tbl_ResidentData[[#This Row],[PRN Med Started]]&lt;=NOW(),Tbl_ResidentData[[#This Row],[PRN Med Started]]&lt;=AT$4,OR(Tbl_ResidentData[[#This Row],[PRN Med Discontinued]]&gt;AT$4,ISBLANK(Tbl_ResidentData[[#This Row],[PRN Med Discontinued]])))</f>
        <v>0</v>
      </c>
      <c r="BS121" s="121" t="b">
        <f ca="1">AND(Tbl_ResidentData[[#This Row],[PRN Med Started]]&lt;&gt;"",Tbl_ResidentData[[#This Row],[PRN Med Started]]&lt;=NOW(),Tbl_ResidentData[[#This Row],[PRN Med Started]]&lt;=AU$4,OR(Tbl_ResidentData[[#This Row],[PRN Med Discontinued]]&gt;AU$4,ISBLANK(Tbl_ResidentData[[#This Row],[PRN Med Discontinued]])))</f>
        <v>0</v>
      </c>
      <c r="BT121" s="121" t="b">
        <f ca="1">AND(Tbl_ResidentData[[#This Row],[PRN Med Started]]&lt;&gt;"",Tbl_ResidentData[[#This Row],[PRN Med Started]]&lt;=NOW(),Tbl_ResidentData[[#This Row],[PRN Med Started]]&lt;=AV$4,OR(Tbl_ResidentData[[#This Row],[PRN Med Discontinued]]&gt;AV$4,ISBLANK(Tbl_ResidentData[[#This Row],[PRN Med Discontinued]])))</f>
        <v>0</v>
      </c>
      <c r="BU121" s="121" t="b">
        <f ca="1">AND(Tbl_ResidentData[[#This Row],[PRN Med Started]]&lt;&gt;"",Tbl_ResidentData[[#This Row],[PRN Med Started]]&lt;=NOW(),Tbl_ResidentData[[#This Row],[PRN Med Started]]&lt;=AW$4,OR(Tbl_ResidentData[[#This Row],[PRN Med Discontinued]]&gt;AW$4,ISBLANK(Tbl_ResidentData[[#This Row],[PRN Med Discontinued]])))</f>
        <v>0</v>
      </c>
      <c r="BV121" s="121" t="b">
        <f ca="1">AND(Tbl_ResidentData[[#This Row],[PRN Med Started]]&lt;&gt;"",Tbl_ResidentData[[#This Row],[PRN Med Started]]&lt;=NOW(),Tbl_ResidentData[[#This Row],[PRN Med Started]]&lt;=AX$4,OR(Tbl_ResidentData[[#This Row],[PRN Med Discontinued]]&gt;AX$4,ISBLANK(Tbl_ResidentData[[#This Row],[PRN Med Discontinued]])))</f>
        <v>0</v>
      </c>
      <c r="BW121" s="121" t="b">
        <f ca="1">AND(Tbl_ResidentData[[#This Row],[PRN Med Started]]&lt;&gt;"",Tbl_ResidentData[[#This Row],[PRN Med Started]]&lt;=NOW(),Tbl_ResidentData[[#This Row],[PRN Med Started]]&lt;=AY$4,OR(Tbl_ResidentData[[#This Row],[PRN Med Discontinued]]&gt;AY$4,ISBLANK(Tbl_ResidentData[[#This Row],[PRN Med Discontinued]])))</f>
        <v>0</v>
      </c>
      <c r="BX121" s="121" t="b">
        <f ca="1">AND(Tbl_ResidentData[[#This Row],[PRN Med Started]]&lt;&gt;"",Tbl_ResidentData[[#This Row],[PRN Med Started]]&lt;=NOW(),Tbl_ResidentData[[#This Row],[PRN Med Started]]&lt;=AZ$4,OR(Tbl_ResidentData[[#This Row],[PRN Med Discontinued]]&gt;AZ$4,ISBLANK(Tbl_ResidentData[[#This Row],[PRN Med Discontinued]])))</f>
        <v>0</v>
      </c>
      <c r="BY121" s="121" t="b">
        <f ca="1">AND(Tbl_ResidentData[[#This Row],[PRN Med Started]]&lt;&gt;"",Tbl_ResidentData[[#This Row],[PRN Med Started]]&lt;=NOW(),Tbl_ResidentData[[#This Row],[PRN Med Started]]&lt;=BA$4,OR(Tbl_ResidentData[[#This Row],[PRN Med Discontinued]]&gt;BA$4,ISBLANK(Tbl_ResidentData[[#This Row],[PRN Med Discontinued]])))</f>
        <v>0</v>
      </c>
      <c r="BZ121" s="121" t="b">
        <f ca="1">AND(Tbl_ResidentData[[#This Row],[PRN Med Started]]&lt;&gt;"",Tbl_ResidentData[[#This Row],[PRN Med Started]]&lt;=NOW(),Tbl_ResidentData[[#This Row],[PRN Med Started]]&lt;=BB$4,OR(Tbl_ResidentData[[#This Row],[PRN Med Discontinued]]&gt;BB$4,ISBLANK(Tbl_ResidentData[[#This Row],[PRN Med Discontinued]])))</f>
        <v>0</v>
      </c>
      <c r="CA121" s="121" t="b">
        <f ca="1">AND(Tbl_ResidentData[[#This Row],[PRN Med Started]]&lt;&gt;"",Tbl_ResidentData[[#This Row],[PRN Med Started]]&lt;=NOW(),Tbl_ResidentData[[#This Row],[PRN Med Started]]&lt;=BC$4,OR(Tbl_ResidentData[[#This Row],[PRN Med Discontinued]]&gt;BC$4,ISBLANK(Tbl_ResidentData[[#This Row],[PRN Med Discontinued]])))</f>
        <v>0</v>
      </c>
      <c r="CB121" s="121" t="b">
        <f ca="1">AND(Tbl_ResidentData[[#This Row],[PRN Med Started]]&lt;&gt;"",Tbl_ResidentData[[#This Row],[PRN Med Started]]&lt;=NOW(),Tbl_ResidentData[[#This Row],[PRN Med Started]]&lt;=BD$4,OR(Tbl_ResidentData[[#This Row],[PRN Med Discontinued]]&gt;BD$4,ISBLANK(Tbl_ResidentData[[#This Row],[PRN Med Discontinued]])))</f>
        <v>0</v>
      </c>
      <c r="CC121" s="121" t="b">
        <f ca="1">AND(Tbl_ResidentData[[#This Row],[PRN Med Started]]&lt;&gt;"",Tbl_ResidentData[[#This Row],[PRN Med Started]]&lt;=NOW(),Tbl_ResidentData[[#This Row],[PRN Med Started]]&lt;=BE$4,OR(Tbl_ResidentData[[#This Row],[PRN Med Discontinued]]&gt;BE$4,ISBLANK(Tbl_ResidentData[[#This Row],[PRN Med Discontinued]])))</f>
        <v>0</v>
      </c>
      <c r="CD121" s="121" t="b">
        <f ca="1">AND(Tbl_ResidentData[[#This Row],[PRN Med Started]]&lt;&gt;"",Tbl_ResidentData[[#This Row],[PRN Med Started]]&lt;=NOW(),Tbl_ResidentData[[#This Row],[PRN Med Started]]&lt;=BF$4,OR(Tbl_ResidentData[[#This Row],[PRN Med Discontinued]]&gt;BF$4,ISBLANK(Tbl_ResidentData[[#This Row],[PRN Med Discontinued]])))</f>
        <v>0</v>
      </c>
      <c r="CE121" s="121" t="b">
        <f ca="1">AND(Tbl_ResidentData[[#This Row],[PRN Med Started]]&lt;&gt;"",Tbl_ResidentData[[#This Row],[PRN Med Started]]&lt;=NOW(),Tbl_ResidentData[[#This Row],[PRN Med Started]]&lt;=BG$4,OR(Tbl_ResidentData[[#This Row],[PRN Med Discontinued]]&gt;BG$4,ISBLANK(Tbl_ResidentData[[#This Row],[PRN Med Discontinued]])))</f>
        <v>0</v>
      </c>
      <c r="CF121" s="121" t="b">
        <f ca="1">AND(Tbl_ResidentData[[#This Row],[PRN Med Started]]&lt;&gt;"",Tbl_ResidentData[[#This Row],[PRN Med Started]]&lt;=NOW(),Tbl_ResidentData[[#This Row],[PRN Med Started]]&lt;=BH$4,OR(Tbl_ResidentData[[#This Row],[PRN Med Discontinued]]&gt;BH$4,ISBLANK(Tbl_ResidentData[[#This Row],[PRN Med Discontinued]])))</f>
        <v>0</v>
      </c>
      <c r="CG121" s="121" t="b">
        <f ca="1">AND(Tbl_ResidentData[[#This Row],[PRN Med Started]]&lt;&gt;"",Tbl_ResidentData[[#This Row],[PRN Med Started]]&lt;=NOW(),Tbl_ResidentData[[#This Row],[PRN Med Started]]&lt;=BI$4,OR(Tbl_ResidentData[[#This Row],[PRN Med Discontinued]]&gt;BI$4,ISBLANK(Tbl_ResidentData[[#This Row],[PRN Med Discontinued]])))</f>
        <v>0</v>
      </c>
      <c r="CH121" s="121" t="b">
        <f ca="1">AND(Tbl_ResidentData[[#This Row],[PRN Med Started]]&lt;&gt;"",Tbl_ResidentData[[#This Row],[PRN Med Started]]&lt;=NOW(),Tbl_ResidentData[[#This Row],[PRN Med Started]]&lt;=BJ$4,OR(Tbl_ResidentData[[#This Row],[PRN Med Discontinued]]&gt;BJ$4,ISBLANK(Tbl_ResidentData[[#This Row],[PRN Med Discontinued]])))</f>
        <v>0</v>
      </c>
      <c r="CI121" s="121" t="b">
        <f ca="1">AND(Tbl_ResidentData[[#This Row],[PRN Med Started]]&lt;&gt;"",Tbl_ResidentData[[#This Row],[PRN Med Started]]&lt;=NOW(),Tbl_ResidentData[[#This Row],[PRN Med Started]]&lt;=BK$4,OR(Tbl_ResidentData[[#This Row],[PRN Med Discontinued]]&gt;BK$4,ISBLANK(Tbl_ResidentData[[#This Row],[PRN Med Discontinued]])))</f>
        <v>0</v>
      </c>
      <c r="CJ121" s="121" t="b">
        <f ca="1">AND(Tbl_ResidentData[[#This Row],[PRN Med Started]]&lt;&gt;"",Tbl_ResidentData[[#This Row],[PRN Med Started]]&lt;=NOW(),Tbl_ResidentData[[#This Row],[PRN Med Started]]&lt;=BL$4,OR(Tbl_ResidentData[[#This Row],[PRN Med Discontinued]]&gt;BL$4,ISBLANK(Tbl_ResidentData[[#This Row],[PRN Med Discontinued]])))</f>
        <v>0</v>
      </c>
      <c r="CK121" s="121" t="b">
        <f ca="1">AND(Tbl_ResidentData[[#This Row],[PRN Med Started]]&lt;&gt;"",Tbl_ResidentData[[#This Row],[PRN Med Started]]&lt;=NOW(),Tbl_ResidentData[[#This Row],[PRN Med Started]]&lt;=BM$4,OR(Tbl_ResidentData[[#This Row],[PRN Med Discontinued]]&gt;BM$4,ISBLANK(Tbl_ResidentData[[#This Row],[PRN Med Discontinued]])))</f>
        <v>0</v>
      </c>
      <c r="CL121" s="121" t="b">
        <f ca="1">AND(Tbl_ResidentData[[#This Row],[PRN Med Started]]&lt;&gt;"",Tbl_ResidentData[[#This Row],[PRN Med Started]]&lt;=NOW(),Tbl_ResidentData[[#This Row],[PRN Med Started]]&lt;=BN$4,OR(Tbl_ResidentData[[#This Row],[PRN Med Discontinued]]&gt;BN$4,ISBLANK(Tbl_ResidentData[[#This Row],[PRN Med Discontinued]])))</f>
        <v>0</v>
      </c>
      <c r="CM121" s="121" t="b">
        <f ca="1">AND(Tbl_ResidentData[[#This Row],[PRN Med Started]]&lt;&gt;"",Tbl_ResidentData[[#This Row],[PRN Med Started]]&lt;=NOW(),Tbl_ResidentData[[#This Row],[PRN Med Started]]&lt;=BO$4,OR(Tbl_ResidentData[[#This Row],[PRN Med Discontinued]]&gt;BO$4,ISBLANK(Tbl_ResidentData[[#This Row],[PRN Med Discontinued]])))</f>
        <v>0</v>
      </c>
      <c r="CN121" s="122" t="b">
        <f ca="1">AND(Tbl_ResidentData[[#This Row],[PRN Med Started]]&lt;&gt;"",Tbl_ResidentData[[#This Row],[PRN Med Started]]&lt;=NOW(),Tbl_ResidentData[[#This Row],[PRN Med Started]]&lt;=BP$4,OR(Tbl_ResidentData[[#This Row],[PRN Med Discontinued]]&gt;BP$4,ISBLANK(Tbl_ResidentData[[#This Row],[PRN Med Discontinued]])))</f>
        <v>0</v>
      </c>
      <c r="CO121" s="120">
        <f ca="1">IF(OR(Tbl_ResidentData[[#This Row],[S1]]=TRUE,Tbl_ResidentData[[#This Row],[P1]]=TRUE),1,0)</f>
        <v>0</v>
      </c>
      <c r="CP121" s="121">
        <f ca="1">IF(OR(Tbl_ResidentData[[#This Row],[S2]]=TRUE,Tbl_ResidentData[[#This Row],[P2]]=TRUE),1,0)</f>
        <v>0</v>
      </c>
      <c r="CQ121" s="121">
        <f ca="1">IF(OR(Tbl_ResidentData[[#This Row],[S3]]=TRUE,Tbl_ResidentData[[#This Row],[P3]]=TRUE),1,0)</f>
        <v>0</v>
      </c>
      <c r="CR121" s="120">
        <f ca="1">IF(OR(Tbl_ResidentData[[#This Row],[S4]]=TRUE,Tbl_ResidentData[[#This Row],[P4]]=TRUE),1,0)</f>
        <v>0</v>
      </c>
      <c r="CS121" s="120">
        <f ca="1">IF(OR(Tbl_ResidentData[[#This Row],[S5]]=TRUE,Tbl_ResidentData[[#This Row],[P5]]=TRUE),1,0)</f>
        <v>0</v>
      </c>
      <c r="CT121" s="120">
        <f ca="1">IF(OR(Tbl_ResidentData[[#This Row],[S6]]=TRUE,Tbl_ResidentData[[#This Row],[P6]]=TRUE),1,0)</f>
        <v>0</v>
      </c>
      <c r="CU121" s="120">
        <f ca="1">IF(OR(Tbl_ResidentData[[#This Row],[S7]]=TRUE,Tbl_ResidentData[[#This Row],[P7]]=TRUE),1,0)</f>
        <v>0</v>
      </c>
      <c r="CV121" s="120">
        <f ca="1">IF(OR(Tbl_ResidentData[[#This Row],[S8]]=TRUE,Tbl_ResidentData[[#This Row],[P8]]=TRUE),1,0)</f>
        <v>0</v>
      </c>
      <c r="CW121" s="120">
        <f ca="1">IF(OR(Tbl_ResidentData[[#This Row],[S9]]=TRUE,Tbl_ResidentData[[#This Row],[P9]]=TRUE),1,0)</f>
        <v>0</v>
      </c>
      <c r="CX121" s="120">
        <f ca="1">IF(OR(Tbl_ResidentData[[#This Row],[S10]]=TRUE,Tbl_ResidentData[[#This Row],[P10]]=TRUE),1,0)</f>
        <v>0</v>
      </c>
      <c r="CY121" s="120">
        <f ca="1">IF(OR(Tbl_ResidentData[[#This Row],[S11]]=TRUE,Tbl_ResidentData[[#This Row],[P11]]=TRUE),1,0)</f>
        <v>0</v>
      </c>
      <c r="CZ121" s="120">
        <f ca="1">IF(OR(Tbl_ResidentData[[#This Row],[S12]]=TRUE,Tbl_ResidentData[[#This Row],[P12]]=TRUE),1,0)</f>
        <v>0</v>
      </c>
      <c r="DA121" s="120">
        <f ca="1">IF(OR(Tbl_ResidentData[[#This Row],[S13]]=TRUE,Tbl_ResidentData[[#This Row],[P13]]=TRUE),1,0)</f>
        <v>0</v>
      </c>
      <c r="DB121" s="120">
        <f ca="1">IF(OR(Tbl_ResidentData[[#This Row],[S14]]=TRUE,Tbl_ResidentData[[#This Row],[P14]]=TRUE),1,0)</f>
        <v>0</v>
      </c>
      <c r="DC121" s="120">
        <f ca="1">IF(OR(Tbl_ResidentData[[#This Row],[S15]]=TRUE,Tbl_ResidentData[[#This Row],[P15]]=TRUE),1,0)</f>
        <v>0</v>
      </c>
      <c r="DD121" s="120">
        <f ca="1">IF(OR(Tbl_ResidentData[[#This Row],[S16]]=TRUE,Tbl_ResidentData[[#This Row],[P16]]=TRUE),1,0)</f>
        <v>0</v>
      </c>
      <c r="DE121" s="120">
        <f ca="1">IF(OR(Tbl_ResidentData[[#This Row],[S17]]=TRUE,Tbl_ResidentData[[#This Row],[P17]]=TRUE),1,0)</f>
        <v>0</v>
      </c>
      <c r="DF121" s="120">
        <f ca="1">IF(OR(Tbl_ResidentData[[#This Row],[S18]]=TRUE,Tbl_ResidentData[[#This Row],[P18]]=TRUE),1,0)</f>
        <v>0</v>
      </c>
      <c r="DG121" s="120">
        <f ca="1">IF(OR(Tbl_ResidentData[[#This Row],[S19]]=TRUE,Tbl_ResidentData[[#This Row],[P19]]=TRUE),1,0)</f>
        <v>0</v>
      </c>
      <c r="DH121" s="120">
        <f ca="1">IF(OR(Tbl_ResidentData[[#This Row],[S20]]=TRUE,Tbl_ResidentData[[#This Row],[P20]]=TRUE),1,0)</f>
        <v>0</v>
      </c>
      <c r="DI121" s="120">
        <f ca="1">IF(OR(Tbl_ResidentData[[#This Row],[S21]]=TRUE,Tbl_ResidentData[[#This Row],[P21]]=TRUE),1,0)</f>
        <v>0</v>
      </c>
      <c r="DJ121" s="120">
        <f ca="1">IF(OR(Tbl_ResidentData[[#This Row],[S22]]=TRUE,Tbl_ResidentData[[#This Row],[P22]]=TRUE),1,0)</f>
        <v>0</v>
      </c>
      <c r="DK121" s="120">
        <f ca="1">IF(OR(Tbl_ResidentData[[#This Row],[S23]]=TRUE,Tbl_ResidentData[[#This Row],[P23]]=TRUE),1,0)</f>
        <v>0</v>
      </c>
      <c r="DL121" s="120">
        <f ca="1">IF(OR(Tbl_ResidentData[[#This Row],[S24]]=TRUE,Tbl_ResidentData[[#This Row],[P24]]=TRUE),1,0)</f>
        <v>0</v>
      </c>
      <c r="DM121" s="123" t="str">
        <f ca="1">IFERROR(INDEX($CO$4:$DL$4,MATCH(TRUE,INDEX((Tbl_ResidentData[[#This Row],[Over1]:[Over24]]&lt;&gt;0),0),0)),"")</f>
        <v/>
      </c>
      <c r="DN121" s="133" t="str">
        <f>IFERROR(INDEX(Tbl_PDSAData[Last DRT],MATCH(Tbl_ResidentData[Resident Name '[last, first']],Tbl_PDSAData[Resident Name (last, first)],0)),"")</f>
        <v/>
      </c>
      <c r="DO121" s="222" t="str">
        <f>IFERROR(INDEX(Tbl_PDSAData[Last MR],MATCH(Tbl_ResidentData[Resident Name '[last, first']],Tbl_PDSAData[Resident Name (last, first)],0)),"")</f>
        <v/>
      </c>
    </row>
    <row r="122" spans="1:119" x14ac:dyDescent="0.25">
      <c r="A122" s="179"/>
      <c r="B122" s="180"/>
      <c r="C122" s="180"/>
      <c r="D122" s="218"/>
      <c r="E122" s="179"/>
      <c r="F122" s="181"/>
      <c r="G122" s="181"/>
      <c r="H122" s="375"/>
      <c r="I122" s="185"/>
      <c r="J122" s="387"/>
      <c r="K122" s="178"/>
      <c r="L122" s="388"/>
      <c r="M122" s="185"/>
      <c r="N122" s="386"/>
      <c r="O122" s="178"/>
      <c r="P122" s="388"/>
      <c r="Q122" s="394"/>
      <c r="R122" s="388"/>
      <c r="S122" s="131" t="str">
        <f>IF(ISBLANK(Tbl_ResidentData[[#This Row],[Discharge '[mmm-yyyy']]]),IF(ISBLANK(Tbl_ResidentData[[#This Row],[Enrollment '[mmm-yyyy']]]),"","In Care Home"),"Discharged")</f>
        <v/>
      </c>
      <c r="T122" s="119" t="str">
        <f>IF(ISBLANK(Tbl_ResidentData[[#This Row],[Diagnosis (RAI)]]),IF(ISBLANK(Tbl_ResidentData[[#This Row],[Resident Name '[last, first']]]),"",0),IF(Tbl_ResidentData[[#This Row],[Diagnosis (RAI)]]="Other (see clinical notes)",0,1))</f>
        <v/>
      </c>
      <c r="U122" s="120" t="str">
        <f ca="1">IF(U$4&gt;NOW(),"-",IF(ISBLANK(Tbl_ResidentData[[#This Row],[Enrollment '[mmm-yyyy']]]),"-",AND((Tbl_ResidentData[[#This Row],[Enrollment '[mmm-yyyy']]]&lt;=U$4),IF(ISBLANK(Tbl_ResidentData[[#This Row],[Discharge '[mmm-yyyy']]]),TRUE,(Tbl_ResidentData[[#This Row],[Discharge '[mmm-yyyy']]]&gt;=U$4)))))</f>
        <v>-</v>
      </c>
      <c r="V122" s="121" t="str">
        <f ca="1">IF(V$4&gt;NOW(),"-",IF(ISBLANK(Tbl_ResidentData[[#This Row],[Enrollment '[mmm-yyyy']]]),"-",AND((Tbl_ResidentData[[#This Row],[Enrollment '[mmm-yyyy']]]&lt;=V$4),IF(ISBLANK(Tbl_ResidentData[[#This Row],[Discharge '[mmm-yyyy']]]),TRUE,(Tbl_ResidentData[[#This Row],[Discharge '[mmm-yyyy']]]&gt;=V$4)))))</f>
        <v>-</v>
      </c>
      <c r="W122" s="121" t="str">
        <f ca="1">IF(W$4&gt;NOW(),"-",IF(ISBLANK(Tbl_ResidentData[[#This Row],[Enrollment '[mmm-yyyy']]]),"-",AND((Tbl_ResidentData[[#This Row],[Enrollment '[mmm-yyyy']]]&lt;=W$4),IF(ISBLANK(Tbl_ResidentData[[#This Row],[Discharge '[mmm-yyyy']]]),TRUE,(Tbl_ResidentData[[#This Row],[Discharge '[mmm-yyyy']]]&gt;=W$4)))))</f>
        <v>-</v>
      </c>
      <c r="X122" s="121" t="str">
        <f ca="1">IF(X$4&gt;NOW(),"-",IF(ISBLANK(Tbl_ResidentData[[#This Row],[Enrollment '[mmm-yyyy']]]),"-",AND((Tbl_ResidentData[[#This Row],[Enrollment '[mmm-yyyy']]]&lt;=X$4),IF(ISBLANK(Tbl_ResidentData[[#This Row],[Discharge '[mmm-yyyy']]]),TRUE,(Tbl_ResidentData[[#This Row],[Discharge '[mmm-yyyy']]]&gt;=X$4)))))</f>
        <v>-</v>
      </c>
      <c r="Y122" s="121" t="str">
        <f ca="1">IF(Y$4&gt;NOW(),"-",IF(ISBLANK(Tbl_ResidentData[[#This Row],[Enrollment '[mmm-yyyy']]]),"-",AND((Tbl_ResidentData[[#This Row],[Enrollment '[mmm-yyyy']]]&lt;=Y$4),IF(ISBLANK(Tbl_ResidentData[[#This Row],[Discharge '[mmm-yyyy']]]),TRUE,(Tbl_ResidentData[[#This Row],[Discharge '[mmm-yyyy']]]&gt;=Y$4)))))</f>
        <v>-</v>
      </c>
      <c r="Z122" s="121" t="str">
        <f ca="1">IF(Z$4&gt;NOW(),"-",IF(ISBLANK(Tbl_ResidentData[[#This Row],[Enrollment '[mmm-yyyy']]]),"-",AND((Tbl_ResidentData[[#This Row],[Enrollment '[mmm-yyyy']]]&lt;=Z$4),IF(ISBLANK(Tbl_ResidentData[[#This Row],[Discharge '[mmm-yyyy']]]),TRUE,(Tbl_ResidentData[[#This Row],[Discharge '[mmm-yyyy']]]&gt;=Z$4)))))</f>
        <v>-</v>
      </c>
      <c r="AA122" s="121" t="str">
        <f ca="1">IF(AA$4&gt;NOW(),"-",IF(ISBLANK(Tbl_ResidentData[[#This Row],[Enrollment '[mmm-yyyy']]]),"-",AND((Tbl_ResidentData[[#This Row],[Enrollment '[mmm-yyyy']]]&lt;=AA$4),IF(ISBLANK(Tbl_ResidentData[[#This Row],[Discharge '[mmm-yyyy']]]),TRUE,(Tbl_ResidentData[[#This Row],[Discharge '[mmm-yyyy']]]&gt;=AA$4)))))</f>
        <v>-</v>
      </c>
      <c r="AB122" s="121" t="str">
        <f ca="1">IF(AB$4&gt;NOW(),"-",IF(ISBLANK(Tbl_ResidentData[[#This Row],[Enrollment '[mmm-yyyy']]]),"-",AND((Tbl_ResidentData[[#This Row],[Enrollment '[mmm-yyyy']]]&lt;=AB$4),IF(ISBLANK(Tbl_ResidentData[[#This Row],[Discharge '[mmm-yyyy']]]),TRUE,(Tbl_ResidentData[[#This Row],[Discharge '[mmm-yyyy']]]&gt;=AB$4)))))</f>
        <v>-</v>
      </c>
      <c r="AC122" s="121" t="str">
        <f ca="1">IF(AC$4&gt;NOW(),"-",IF(ISBLANK(Tbl_ResidentData[[#This Row],[Enrollment '[mmm-yyyy']]]),"-",AND((Tbl_ResidentData[[#This Row],[Enrollment '[mmm-yyyy']]]&lt;=AC$4),IF(ISBLANK(Tbl_ResidentData[[#This Row],[Discharge '[mmm-yyyy']]]),TRUE,(Tbl_ResidentData[[#This Row],[Discharge '[mmm-yyyy']]]&gt;=AC$4)))))</f>
        <v>-</v>
      </c>
      <c r="AD122" s="121" t="str">
        <f ca="1">IF(AD$4&gt;NOW(),"-",IF(ISBLANK(Tbl_ResidentData[[#This Row],[Enrollment '[mmm-yyyy']]]),"-",AND((Tbl_ResidentData[[#This Row],[Enrollment '[mmm-yyyy']]]&lt;=AD$4),IF(ISBLANK(Tbl_ResidentData[[#This Row],[Discharge '[mmm-yyyy']]]),TRUE,(Tbl_ResidentData[[#This Row],[Discharge '[mmm-yyyy']]]&gt;=AD$4)))))</f>
        <v>-</v>
      </c>
      <c r="AE122" s="121" t="str">
        <f ca="1">IF(AE$4&gt;NOW(),"-",IF(ISBLANK(Tbl_ResidentData[[#This Row],[Enrollment '[mmm-yyyy']]]),"-",AND((Tbl_ResidentData[[#This Row],[Enrollment '[mmm-yyyy']]]&lt;=AE$4),IF(ISBLANK(Tbl_ResidentData[[#This Row],[Discharge '[mmm-yyyy']]]),TRUE,(Tbl_ResidentData[[#This Row],[Discharge '[mmm-yyyy']]]&gt;=AE$4)))))</f>
        <v>-</v>
      </c>
      <c r="AF122" s="121" t="str">
        <f ca="1">IF(AF$4&gt;NOW(),"-",IF(ISBLANK(Tbl_ResidentData[[#This Row],[Enrollment '[mmm-yyyy']]]),"-",AND((Tbl_ResidentData[[#This Row],[Enrollment '[mmm-yyyy']]]&lt;=AF$4),IF(ISBLANK(Tbl_ResidentData[[#This Row],[Discharge '[mmm-yyyy']]]),TRUE,(Tbl_ResidentData[[#This Row],[Discharge '[mmm-yyyy']]]&gt;=AF$4)))))</f>
        <v>-</v>
      </c>
      <c r="AG122" s="121" t="str">
        <f ca="1">IF(AG$4&gt;NOW(),"-",IF(ISBLANK(Tbl_ResidentData[[#This Row],[Enrollment '[mmm-yyyy']]]),"-",AND((Tbl_ResidentData[[#This Row],[Enrollment '[mmm-yyyy']]]&lt;=AG$4),IF(ISBLANK(Tbl_ResidentData[[#This Row],[Discharge '[mmm-yyyy']]]),TRUE,(Tbl_ResidentData[[#This Row],[Discharge '[mmm-yyyy']]]&gt;=AG$4)))))</f>
        <v>-</v>
      </c>
      <c r="AH122" s="121" t="str">
        <f ca="1">IF(AH$4&gt;NOW(),"-",IF(ISBLANK(Tbl_ResidentData[[#This Row],[Enrollment '[mmm-yyyy']]]),"-",AND((Tbl_ResidentData[[#This Row],[Enrollment '[mmm-yyyy']]]&lt;=AH$4),IF(ISBLANK(Tbl_ResidentData[[#This Row],[Discharge '[mmm-yyyy']]]),TRUE,(Tbl_ResidentData[[#This Row],[Discharge '[mmm-yyyy']]]&gt;=AH$4)))))</f>
        <v>-</v>
      </c>
      <c r="AI122" s="121" t="str">
        <f ca="1">IF(AI$4&gt;NOW(),"-",IF(ISBLANK(Tbl_ResidentData[[#This Row],[Enrollment '[mmm-yyyy']]]),"-",AND((Tbl_ResidentData[[#This Row],[Enrollment '[mmm-yyyy']]]&lt;=AI$4),IF(ISBLANK(Tbl_ResidentData[[#This Row],[Discharge '[mmm-yyyy']]]),TRUE,(Tbl_ResidentData[[#This Row],[Discharge '[mmm-yyyy']]]&gt;=AI$4)))))</f>
        <v>-</v>
      </c>
      <c r="AJ122" s="121" t="str">
        <f ca="1">IF(AJ$4&gt;NOW(),"-",IF(ISBLANK(Tbl_ResidentData[[#This Row],[Enrollment '[mmm-yyyy']]]),"-",AND((Tbl_ResidentData[[#This Row],[Enrollment '[mmm-yyyy']]]&lt;=AJ$4),IF(ISBLANK(Tbl_ResidentData[[#This Row],[Discharge '[mmm-yyyy']]]),TRUE,(Tbl_ResidentData[[#This Row],[Discharge '[mmm-yyyy']]]&gt;=AJ$4)))))</f>
        <v>-</v>
      </c>
      <c r="AK122" s="121" t="str">
        <f ca="1">IF(AK$4&gt;NOW(),"-",IF(ISBLANK(Tbl_ResidentData[[#This Row],[Enrollment '[mmm-yyyy']]]),"-",AND((Tbl_ResidentData[[#This Row],[Enrollment '[mmm-yyyy']]]&lt;=AK$4),IF(ISBLANK(Tbl_ResidentData[[#This Row],[Discharge '[mmm-yyyy']]]),TRUE,(Tbl_ResidentData[[#This Row],[Discharge '[mmm-yyyy']]]&gt;=AK$4)))))</f>
        <v>-</v>
      </c>
      <c r="AL122" s="121" t="str">
        <f ca="1">IF(AL$4&gt;NOW(),"-",IF(ISBLANK(Tbl_ResidentData[[#This Row],[Enrollment '[mmm-yyyy']]]),"-",AND((Tbl_ResidentData[[#This Row],[Enrollment '[mmm-yyyy']]]&lt;=AL$4),IF(ISBLANK(Tbl_ResidentData[[#This Row],[Discharge '[mmm-yyyy']]]),TRUE,(Tbl_ResidentData[[#This Row],[Discharge '[mmm-yyyy']]]&gt;=AL$4)))))</f>
        <v>-</v>
      </c>
      <c r="AM122" s="121" t="str">
        <f ca="1">IF(AM$4&gt;NOW(),"-",IF(ISBLANK(Tbl_ResidentData[[#This Row],[Enrollment '[mmm-yyyy']]]),"-",AND((Tbl_ResidentData[[#This Row],[Enrollment '[mmm-yyyy']]]&lt;=AM$4),IF(ISBLANK(Tbl_ResidentData[[#This Row],[Discharge '[mmm-yyyy']]]),TRUE,(Tbl_ResidentData[[#This Row],[Discharge '[mmm-yyyy']]]&gt;=AM$4)))))</f>
        <v>-</v>
      </c>
      <c r="AN122" s="121" t="str">
        <f ca="1">IF(AN$4&gt;NOW(),"-",IF(ISBLANK(Tbl_ResidentData[[#This Row],[Enrollment '[mmm-yyyy']]]),"-",AND((Tbl_ResidentData[[#This Row],[Enrollment '[mmm-yyyy']]]&lt;=AN$4),IF(ISBLANK(Tbl_ResidentData[[#This Row],[Discharge '[mmm-yyyy']]]),TRUE,(Tbl_ResidentData[[#This Row],[Discharge '[mmm-yyyy']]]&gt;=AN$4)))))</f>
        <v>-</v>
      </c>
      <c r="AO122" s="121" t="str">
        <f ca="1">IF(AO$4&gt;NOW(),"-",IF(ISBLANK(Tbl_ResidentData[[#This Row],[Enrollment '[mmm-yyyy']]]),"-",AND((Tbl_ResidentData[[#This Row],[Enrollment '[mmm-yyyy']]]&lt;=AO$4),IF(ISBLANK(Tbl_ResidentData[[#This Row],[Discharge '[mmm-yyyy']]]),TRUE,(Tbl_ResidentData[[#This Row],[Discharge '[mmm-yyyy']]]&gt;=AO$4)))))</f>
        <v>-</v>
      </c>
      <c r="AP122" s="121" t="str">
        <f ca="1">IF(AP$4&gt;NOW(),"-",IF(ISBLANK(Tbl_ResidentData[[#This Row],[Enrollment '[mmm-yyyy']]]),"-",AND((Tbl_ResidentData[[#This Row],[Enrollment '[mmm-yyyy']]]&lt;=AP$4),IF(ISBLANK(Tbl_ResidentData[[#This Row],[Discharge '[mmm-yyyy']]]),TRUE,(Tbl_ResidentData[[#This Row],[Discharge '[mmm-yyyy']]]&gt;=AP$4)))))</f>
        <v>-</v>
      </c>
      <c r="AQ122" s="121" t="str">
        <f ca="1">IF(AQ$4&gt;NOW(),"-",IF(ISBLANK(Tbl_ResidentData[[#This Row],[Enrollment '[mmm-yyyy']]]),"-",AND((Tbl_ResidentData[[#This Row],[Enrollment '[mmm-yyyy']]]&lt;=AQ$4),IF(ISBLANK(Tbl_ResidentData[[#This Row],[Discharge '[mmm-yyyy']]]),TRUE,(Tbl_ResidentData[[#This Row],[Discharge '[mmm-yyyy']]]&gt;=AQ$4)))))</f>
        <v>-</v>
      </c>
      <c r="AR122" s="122" t="str">
        <f ca="1">IF(AR$4&gt;NOW(),"-",IF(ISBLANK(Tbl_ResidentData[[#This Row],[Enrollment '[mmm-yyyy']]]),"-",AND((Tbl_ResidentData[[#This Row],[Enrollment '[mmm-yyyy']]]&lt;=AR$4),IF(ISBLANK(Tbl_ResidentData[[#This Row],[Discharge '[mmm-yyyy']]]),TRUE,(Tbl_ResidentData[[#This Row],[Discharge '[mmm-yyyy']]]&gt;=AR$4)))))</f>
        <v>-</v>
      </c>
      <c r="AS12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2" s="120" t="b">
        <f ca="1">AND(Tbl_ResidentData[[#This Row],[PRN Med Started]]&lt;&gt;"",Tbl_ResidentData[[#This Row],[PRN Med Started]]&lt;=NOW(),Tbl_ResidentData[[#This Row],[PRN Med Started]]&lt;=AS$4,OR(Tbl_ResidentData[[#This Row],[PRN Med Discontinued]]&gt;AS$4,ISBLANK(Tbl_ResidentData[[#This Row],[PRN Med Discontinued]])))</f>
        <v>0</v>
      </c>
      <c r="BR122" s="121" t="b">
        <f ca="1">AND(Tbl_ResidentData[[#This Row],[PRN Med Started]]&lt;&gt;"",Tbl_ResidentData[[#This Row],[PRN Med Started]]&lt;=NOW(),Tbl_ResidentData[[#This Row],[PRN Med Started]]&lt;=AT$4,OR(Tbl_ResidentData[[#This Row],[PRN Med Discontinued]]&gt;AT$4,ISBLANK(Tbl_ResidentData[[#This Row],[PRN Med Discontinued]])))</f>
        <v>0</v>
      </c>
      <c r="BS122" s="121" t="b">
        <f ca="1">AND(Tbl_ResidentData[[#This Row],[PRN Med Started]]&lt;&gt;"",Tbl_ResidentData[[#This Row],[PRN Med Started]]&lt;=NOW(),Tbl_ResidentData[[#This Row],[PRN Med Started]]&lt;=AU$4,OR(Tbl_ResidentData[[#This Row],[PRN Med Discontinued]]&gt;AU$4,ISBLANK(Tbl_ResidentData[[#This Row],[PRN Med Discontinued]])))</f>
        <v>0</v>
      </c>
      <c r="BT122" s="121" t="b">
        <f ca="1">AND(Tbl_ResidentData[[#This Row],[PRN Med Started]]&lt;&gt;"",Tbl_ResidentData[[#This Row],[PRN Med Started]]&lt;=NOW(),Tbl_ResidentData[[#This Row],[PRN Med Started]]&lt;=AV$4,OR(Tbl_ResidentData[[#This Row],[PRN Med Discontinued]]&gt;AV$4,ISBLANK(Tbl_ResidentData[[#This Row],[PRN Med Discontinued]])))</f>
        <v>0</v>
      </c>
      <c r="BU122" s="121" t="b">
        <f ca="1">AND(Tbl_ResidentData[[#This Row],[PRN Med Started]]&lt;&gt;"",Tbl_ResidentData[[#This Row],[PRN Med Started]]&lt;=NOW(),Tbl_ResidentData[[#This Row],[PRN Med Started]]&lt;=AW$4,OR(Tbl_ResidentData[[#This Row],[PRN Med Discontinued]]&gt;AW$4,ISBLANK(Tbl_ResidentData[[#This Row],[PRN Med Discontinued]])))</f>
        <v>0</v>
      </c>
      <c r="BV122" s="121" t="b">
        <f ca="1">AND(Tbl_ResidentData[[#This Row],[PRN Med Started]]&lt;&gt;"",Tbl_ResidentData[[#This Row],[PRN Med Started]]&lt;=NOW(),Tbl_ResidentData[[#This Row],[PRN Med Started]]&lt;=AX$4,OR(Tbl_ResidentData[[#This Row],[PRN Med Discontinued]]&gt;AX$4,ISBLANK(Tbl_ResidentData[[#This Row],[PRN Med Discontinued]])))</f>
        <v>0</v>
      </c>
      <c r="BW122" s="121" t="b">
        <f ca="1">AND(Tbl_ResidentData[[#This Row],[PRN Med Started]]&lt;&gt;"",Tbl_ResidentData[[#This Row],[PRN Med Started]]&lt;=NOW(),Tbl_ResidentData[[#This Row],[PRN Med Started]]&lt;=AY$4,OR(Tbl_ResidentData[[#This Row],[PRN Med Discontinued]]&gt;AY$4,ISBLANK(Tbl_ResidentData[[#This Row],[PRN Med Discontinued]])))</f>
        <v>0</v>
      </c>
      <c r="BX122" s="121" t="b">
        <f ca="1">AND(Tbl_ResidentData[[#This Row],[PRN Med Started]]&lt;&gt;"",Tbl_ResidentData[[#This Row],[PRN Med Started]]&lt;=NOW(),Tbl_ResidentData[[#This Row],[PRN Med Started]]&lt;=AZ$4,OR(Tbl_ResidentData[[#This Row],[PRN Med Discontinued]]&gt;AZ$4,ISBLANK(Tbl_ResidentData[[#This Row],[PRN Med Discontinued]])))</f>
        <v>0</v>
      </c>
      <c r="BY122" s="121" t="b">
        <f ca="1">AND(Tbl_ResidentData[[#This Row],[PRN Med Started]]&lt;&gt;"",Tbl_ResidentData[[#This Row],[PRN Med Started]]&lt;=NOW(),Tbl_ResidentData[[#This Row],[PRN Med Started]]&lt;=BA$4,OR(Tbl_ResidentData[[#This Row],[PRN Med Discontinued]]&gt;BA$4,ISBLANK(Tbl_ResidentData[[#This Row],[PRN Med Discontinued]])))</f>
        <v>0</v>
      </c>
      <c r="BZ122" s="121" t="b">
        <f ca="1">AND(Tbl_ResidentData[[#This Row],[PRN Med Started]]&lt;&gt;"",Tbl_ResidentData[[#This Row],[PRN Med Started]]&lt;=NOW(),Tbl_ResidentData[[#This Row],[PRN Med Started]]&lt;=BB$4,OR(Tbl_ResidentData[[#This Row],[PRN Med Discontinued]]&gt;BB$4,ISBLANK(Tbl_ResidentData[[#This Row],[PRN Med Discontinued]])))</f>
        <v>0</v>
      </c>
      <c r="CA122" s="121" t="b">
        <f ca="1">AND(Tbl_ResidentData[[#This Row],[PRN Med Started]]&lt;&gt;"",Tbl_ResidentData[[#This Row],[PRN Med Started]]&lt;=NOW(),Tbl_ResidentData[[#This Row],[PRN Med Started]]&lt;=BC$4,OR(Tbl_ResidentData[[#This Row],[PRN Med Discontinued]]&gt;BC$4,ISBLANK(Tbl_ResidentData[[#This Row],[PRN Med Discontinued]])))</f>
        <v>0</v>
      </c>
      <c r="CB122" s="121" t="b">
        <f ca="1">AND(Tbl_ResidentData[[#This Row],[PRN Med Started]]&lt;&gt;"",Tbl_ResidentData[[#This Row],[PRN Med Started]]&lt;=NOW(),Tbl_ResidentData[[#This Row],[PRN Med Started]]&lt;=BD$4,OR(Tbl_ResidentData[[#This Row],[PRN Med Discontinued]]&gt;BD$4,ISBLANK(Tbl_ResidentData[[#This Row],[PRN Med Discontinued]])))</f>
        <v>0</v>
      </c>
      <c r="CC122" s="121" t="b">
        <f ca="1">AND(Tbl_ResidentData[[#This Row],[PRN Med Started]]&lt;&gt;"",Tbl_ResidentData[[#This Row],[PRN Med Started]]&lt;=NOW(),Tbl_ResidentData[[#This Row],[PRN Med Started]]&lt;=BE$4,OR(Tbl_ResidentData[[#This Row],[PRN Med Discontinued]]&gt;BE$4,ISBLANK(Tbl_ResidentData[[#This Row],[PRN Med Discontinued]])))</f>
        <v>0</v>
      </c>
      <c r="CD122" s="121" t="b">
        <f ca="1">AND(Tbl_ResidentData[[#This Row],[PRN Med Started]]&lt;&gt;"",Tbl_ResidentData[[#This Row],[PRN Med Started]]&lt;=NOW(),Tbl_ResidentData[[#This Row],[PRN Med Started]]&lt;=BF$4,OR(Tbl_ResidentData[[#This Row],[PRN Med Discontinued]]&gt;BF$4,ISBLANK(Tbl_ResidentData[[#This Row],[PRN Med Discontinued]])))</f>
        <v>0</v>
      </c>
      <c r="CE122" s="121" t="b">
        <f ca="1">AND(Tbl_ResidentData[[#This Row],[PRN Med Started]]&lt;&gt;"",Tbl_ResidentData[[#This Row],[PRN Med Started]]&lt;=NOW(),Tbl_ResidentData[[#This Row],[PRN Med Started]]&lt;=BG$4,OR(Tbl_ResidentData[[#This Row],[PRN Med Discontinued]]&gt;BG$4,ISBLANK(Tbl_ResidentData[[#This Row],[PRN Med Discontinued]])))</f>
        <v>0</v>
      </c>
      <c r="CF122" s="121" t="b">
        <f ca="1">AND(Tbl_ResidentData[[#This Row],[PRN Med Started]]&lt;&gt;"",Tbl_ResidentData[[#This Row],[PRN Med Started]]&lt;=NOW(),Tbl_ResidentData[[#This Row],[PRN Med Started]]&lt;=BH$4,OR(Tbl_ResidentData[[#This Row],[PRN Med Discontinued]]&gt;BH$4,ISBLANK(Tbl_ResidentData[[#This Row],[PRN Med Discontinued]])))</f>
        <v>0</v>
      </c>
      <c r="CG122" s="121" t="b">
        <f ca="1">AND(Tbl_ResidentData[[#This Row],[PRN Med Started]]&lt;&gt;"",Tbl_ResidentData[[#This Row],[PRN Med Started]]&lt;=NOW(),Tbl_ResidentData[[#This Row],[PRN Med Started]]&lt;=BI$4,OR(Tbl_ResidentData[[#This Row],[PRN Med Discontinued]]&gt;BI$4,ISBLANK(Tbl_ResidentData[[#This Row],[PRN Med Discontinued]])))</f>
        <v>0</v>
      </c>
      <c r="CH122" s="121" t="b">
        <f ca="1">AND(Tbl_ResidentData[[#This Row],[PRN Med Started]]&lt;&gt;"",Tbl_ResidentData[[#This Row],[PRN Med Started]]&lt;=NOW(),Tbl_ResidentData[[#This Row],[PRN Med Started]]&lt;=BJ$4,OR(Tbl_ResidentData[[#This Row],[PRN Med Discontinued]]&gt;BJ$4,ISBLANK(Tbl_ResidentData[[#This Row],[PRN Med Discontinued]])))</f>
        <v>0</v>
      </c>
      <c r="CI122" s="121" t="b">
        <f ca="1">AND(Tbl_ResidentData[[#This Row],[PRN Med Started]]&lt;&gt;"",Tbl_ResidentData[[#This Row],[PRN Med Started]]&lt;=NOW(),Tbl_ResidentData[[#This Row],[PRN Med Started]]&lt;=BK$4,OR(Tbl_ResidentData[[#This Row],[PRN Med Discontinued]]&gt;BK$4,ISBLANK(Tbl_ResidentData[[#This Row],[PRN Med Discontinued]])))</f>
        <v>0</v>
      </c>
      <c r="CJ122" s="121" t="b">
        <f ca="1">AND(Tbl_ResidentData[[#This Row],[PRN Med Started]]&lt;&gt;"",Tbl_ResidentData[[#This Row],[PRN Med Started]]&lt;=NOW(),Tbl_ResidentData[[#This Row],[PRN Med Started]]&lt;=BL$4,OR(Tbl_ResidentData[[#This Row],[PRN Med Discontinued]]&gt;BL$4,ISBLANK(Tbl_ResidentData[[#This Row],[PRN Med Discontinued]])))</f>
        <v>0</v>
      </c>
      <c r="CK122" s="121" t="b">
        <f ca="1">AND(Tbl_ResidentData[[#This Row],[PRN Med Started]]&lt;&gt;"",Tbl_ResidentData[[#This Row],[PRN Med Started]]&lt;=NOW(),Tbl_ResidentData[[#This Row],[PRN Med Started]]&lt;=BM$4,OR(Tbl_ResidentData[[#This Row],[PRN Med Discontinued]]&gt;BM$4,ISBLANK(Tbl_ResidentData[[#This Row],[PRN Med Discontinued]])))</f>
        <v>0</v>
      </c>
      <c r="CL122" s="121" t="b">
        <f ca="1">AND(Tbl_ResidentData[[#This Row],[PRN Med Started]]&lt;&gt;"",Tbl_ResidentData[[#This Row],[PRN Med Started]]&lt;=NOW(),Tbl_ResidentData[[#This Row],[PRN Med Started]]&lt;=BN$4,OR(Tbl_ResidentData[[#This Row],[PRN Med Discontinued]]&gt;BN$4,ISBLANK(Tbl_ResidentData[[#This Row],[PRN Med Discontinued]])))</f>
        <v>0</v>
      </c>
      <c r="CM122" s="121" t="b">
        <f ca="1">AND(Tbl_ResidentData[[#This Row],[PRN Med Started]]&lt;&gt;"",Tbl_ResidentData[[#This Row],[PRN Med Started]]&lt;=NOW(),Tbl_ResidentData[[#This Row],[PRN Med Started]]&lt;=BO$4,OR(Tbl_ResidentData[[#This Row],[PRN Med Discontinued]]&gt;BO$4,ISBLANK(Tbl_ResidentData[[#This Row],[PRN Med Discontinued]])))</f>
        <v>0</v>
      </c>
      <c r="CN122" s="122" t="b">
        <f ca="1">AND(Tbl_ResidentData[[#This Row],[PRN Med Started]]&lt;&gt;"",Tbl_ResidentData[[#This Row],[PRN Med Started]]&lt;=NOW(),Tbl_ResidentData[[#This Row],[PRN Med Started]]&lt;=BP$4,OR(Tbl_ResidentData[[#This Row],[PRN Med Discontinued]]&gt;BP$4,ISBLANK(Tbl_ResidentData[[#This Row],[PRN Med Discontinued]])))</f>
        <v>0</v>
      </c>
      <c r="CO122" s="120">
        <f ca="1">IF(OR(Tbl_ResidentData[[#This Row],[S1]]=TRUE,Tbl_ResidentData[[#This Row],[P1]]=TRUE),1,0)</f>
        <v>0</v>
      </c>
      <c r="CP122" s="121">
        <f ca="1">IF(OR(Tbl_ResidentData[[#This Row],[S2]]=TRUE,Tbl_ResidentData[[#This Row],[P2]]=TRUE),1,0)</f>
        <v>0</v>
      </c>
      <c r="CQ122" s="121">
        <f ca="1">IF(OR(Tbl_ResidentData[[#This Row],[S3]]=TRUE,Tbl_ResidentData[[#This Row],[P3]]=TRUE),1,0)</f>
        <v>0</v>
      </c>
      <c r="CR122" s="120">
        <f ca="1">IF(OR(Tbl_ResidentData[[#This Row],[S4]]=TRUE,Tbl_ResidentData[[#This Row],[P4]]=TRUE),1,0)</f>
        <v>0</v>
      </c>
      <c r="CS122" s="120">
        <f ca="1">IF(OR(Tbl_ResidentData[[#This Row],[S5]]=TRUE,Tbl_ResidentData[[#This Row],[P5]]=TRUE),1,0)</f>
        <v>0</v>
      </c>
      <c r="CT122" s="120">
        <f ca="1">IF(OR(Tbl_ResidentData[[#This Row],[S6]]=TRUE,Tbl_ResidentData[[#This Row],[P6]]=TRUE),1,0)</f>
        <v>0</v>
      </c>
      <c r="CU122" s="120">
        <f ca="1">IF(OR(Tbl_ResidentData[[#This Row],[S7]]=TRUE,Tbl_ResidentData[[#This Row],[P7]]=TRUE),1,0)</f>
        <v>0</v>
      </c>
      <c r="CV122" s="120">
        <f ca="1">IF(OR(Tbl_ResidentData[[#This Row],[S8]]=TRUE,Tbl_ResidentData[[#This Row],[P8]]=TRUE),1,0)</f>
        <v>0</v>
      </c>
      <c r="CW122" s="120">
        <f ca="1">IF(OR(Tbl_ResidentData[[#This Row],[S9]]=TRUE,Tbl_ResidentData[[#This Row],[P9]]=TRUE),1,0)</f>
        <v>0</v>
      </c>
      <c r="CX122" s="120">
        <f ca="1">IF(OR(Tbl_ResidentData[[#This Row],[S10]]=TRUE,Tbl_ResidentData[[#This Row],[P10]]=TRUE),1,0)</f>
        <v>0</v>
      </c>
      <c r="CY122" s="120">
        <f ca="1">IF(OR(Tbl_ResidentData[[#This Row],[S11]]=TRUE,Tbl_ResidentData[[#This Row],[P11]]=TRUE),1,0)</f>
        <v>0</v>
      </c>
      <c r="CZ122" s="120">
        <f ca="1">IF(OR(Tbl_ResidentData[[#This Row],[S12]]=TRUE,Tbl_ResidentData[[#This Row],[P12]]=TRUE),1,0)</f>
        <v>0</v>
      </c>
      <c r="DA122" s="120">
        <f ca="1">IF(OR(Tbl_ResidentData[[#This Row],[S13]]=TRUE,Tbl_ResidentData[[#This Row],[P13]]=TRUE),1,0)</f>
        <v>0</v>
      </c>
      <c r="DB122" s="120">
        <f ca="1">IF(OR(Tbl_ResidentData[[#This Row],[S14]]=TRUE,Tbl_ResidentData[[#This Row],[P14]]=TRUE),1,0)</f>
        <v>0</v>
      </c>
      <c r="DC122" s="120">
        <f ca="1">IF(OR(Tbl_ResidentData[[#This Row],[S15]]=TRUE,Tbl_ResidentData[[#This Row],[P15]]=TRUE),1,0)</f>
        <v>0</v>
      </c>
      <c r="DD122" s="120">
        <f ca="1">IF(OR(Tbl_ResidentData[[#This Row],[S16]]=TRUE,Tbl_ResidentData[[#This Row],[P16]]=TRUE),1,0)</f>
        <v>0</v>
      </c>
      <c r="DE122" s="120">
        <f ca="1">IF(OR(Tbl_ResidentData[[#This Row],[S17]]=TRUE,Tbl_ResidentData[[#This Row],[P17]]=TRUE),1,0)</f>
        <v>0</v>
      </c>
      <c r="DF122" s="120">
        <f ca="1">IF(OR(Tbl_ResidentData[[#This Row],[S18]]=TRUE,Tbl_ResidentData[[#This Row],[P18]]=TRUE),1,0)</f>
        <v>0</v>
      </c>
      <c r="DG122" s="120">
        <f ca="1">IF(OR(Tbl_ResidentData[[#This Row],[S19]]=TRUE,Tbl_ResidentData[[#This Row],[P19]]=TRUE),1,0)</f>
        <v>0</v>
      </c>
      <c r="DH122" s="120">
        <f ca="1">IF(OR(Tbl_ResidentData[[#This Row],[S20]]=TRUE,Tbl_ResidentData[[#This Row],[P20]]=TRUE),1,0)</f>
        <v>0</v>
      </c>
      <c r="DI122" s="120">
        <f ca="1">IF(OR(Tbl_ResidentData[[#This Row],[S21]]=TRUE,Tbl_ResidentData[[#This Row],[P21]]=TRUE),1,0)</f>
        <v>0</v>
      </c>
      <c r="DJ122" s="120">
        <f ca="1">IF(OR(Tbl_ResidentData[[#This Row],[S22]]=TRUE,Tbl_ResidentData[[#This Row],[P22]]=TRUE),1,0)</f>
        <v>0</v>
      </c>
      <c r="DK122" s="120">
        <f ca="1">IF(OR(Tbl_ResidentData[[#This Row],[S23]]=TRUE,Tbl_ResidentData[[#This Row],[P23]]=TRUE),1,0)</f>
        <v>0</v>
      </c>
      <c r="DL122" s="120">
        <f ca="1">IF(OR(Tbl_ResidentData[[#This Row],[S24]]=TRUE,Tbl_ResidentData[[#This Row],[P24]]=TRUE),1,0)</f>
        <v>0</v>
      </c>
      <c r="DM122" s="123" t="str">
        <f ca="1">IFERROR(INDEX($CO$4:$DL$4,MATCH(TRUE,INDEX((Tbl_ResidentData[[#This Row],[Over1]:[Over24]]&lt;&gt;0),0),0)),"")</f>
        <v/>
      </c>
      <c r="DN122" s="133" t="str">
        <f>IFERROR(INDEX(Tbl_PDSAData[Last DRT],MATCH(Tbl_ResidentData[Resident Name '[last, first']],Tbl_PDSAData[Resident Name (last, first)],0)),"")</f>
        <v/>
      </c>
      <c r="DO122" s="222" t="str">
        <f>IFERROR(INDEX(Tbl_PDSAData[Last MR],MATCH(Tbl_ResidentData[Resident Name '[last, first']],Tbl_PDSAData[Resident Name (last, first)],0)),"")</f>
        <v/>
      </c>
    </row>
    <row r="123" spans="1:119" x14ac:dyDescent="0.25">
      <c r="A123" s="179"/>
      <c r="B123" s="180"/>
      <c r="C123" s="180"/>
      <c r="D123" s="218"/>
      <c r="E123" s="179"/>
      <c r="F123" s="181"/>
      <c r="G123" s="181"/>
      <c r="H123" s="182"/>
      <c r="I123" s="185"/>
      <c r="J123" s="387"/>
      <c r="K123" s="178"/>
      <c r="L123" s="388"/>
      <c r="M123" s="185"/>
      <c r="N123" s="386"/>
      <c r="O123" s="178"/>
      <c r="P123" s="388"/>
      <c r="Q123" s="395"/>
      <c r="R123" s="396"/>
      <c r="S123" s="131" t="str">
        <f>IF(ISBLANK(Tbl_ResidentData[[#This Row],[Discharge '[mmm-yyyy']]]),IF(ISBLANK(Tbl_ResidentData[[#This Row],[Enrollment '[mmm-yyyy']]]),"","In Care Home"),"Discharged")</f>
        <v/>
      </c>
      <c r="T123" s="119" t="str">
        <f>IF(ISBLANK(Tbl_ResidentData[[#This Row],[Diagnosis (RAI)]]),IF(ISBLANK(Tbl_ResidentData[[#This Row],[Resident Name '[last, first']]]),"",0),IF(Tbl_ResidentData[[#This Row],[Diagnosis (RAI)]]="Other (see clinical notes)",0,1))</f>
        <v/>
      </c>
      <c r="U123" s="120" t="str">
        <f ca="1">IF(U$4&gt;NOW(),"-",IF(ISBLANK(Tbl_ResidentData[[#This Row],[Enrollment '[mmm-yyyy']]]),"-",AND((Tbl_ResidentData[[#This Row],[Enrollment '[mmm-yyyy']]]&lt;=U$4),IF(ISBLANK(Tbl_ResidentData[[#This Row],[Discharge '[mmm-yyyy']]]),TRUE,(Tbl_ResidentData[[#This Row],[Discharge '[mmm-yyyy']]]&gt;=U$4)))))</f>
        <v>-</v>
      </c>
      <c r="V123" s="121" t="str">
        <f ca="1">IF(V$4&gt;NOW(),"-",IF(ISBLANK(Tbl_ResidentData[[#This Row],[Enrollment '[mmm-yyyy']]]),"-",AND((Tbl_ResidentData[[#This Row],[Enrollment '[mmm-yyyy']]]&lt;=V$4),IF(ISBLANK(Tbl_ResidentData[[#This Row],[Discharge '[mmm-yyyy']]]),TRUE,(Tbl_ResidentData[[#This Row],[Discharge '[mmm-yyyy']]]&gt;=V$4)))))</f>
        <v>-</v>
      </c>
      <c r="W123" s="121" t="str">
        <f ca="1">IF(W$4&gt;NOW(),"-",IF(ISBLANK(Tbl_ResidentData[[#This Row],[Enrollment '[mmm-yyyy']]]),"-",AND((Tbl_ResidentData[[#This Row],[Enrollment '[mmm-yyyy']]]&lt;=W$4),IF(ISBLANK(Tbl_ResidentData[[#This Row],[Discharge '[mmm-yyyy']]]),TRUE,(Tbl_ResidentData[[#This Row],[Discharge '[mmm-yyyy']]]&gt;=W$4)))))</f>
        <v>-</v>
      </c>
      <c r="X123" s="121" t="str">
        <f ca="1">IF(X$4&gt;NOW(),"-",IF(ISBLANK(Tbl_ResidentData[[#This Row],[Enrollment '[mmm-yyyy']]]),"-",AND((Tbl_ResidentData[[#This Row],[Enrollment '[mmm-yyyy']]]&lt;=X$4),IF(ISBLANK(Tbl_ResidentData[[#This Row],[Discharge '[mmm-yyyy']]]),TRUE,(Tbl_ResidentData[[#This Row],[Discharge '[mmm-yyyy']]]&gt;=X$4)))))</f>
        <v>-</v>
      </c>
      <c r="Y123" s="121" t="str">
        <f ca="1">IF(Y$4&gt;NOW(),"-",IF(ISBLANK(Tbl_ResidentData[[#This Row],[Enrollment '[mmm-yyyy']]]),"-",AND((Tbl_ResidentData[[#This Row],[Enrollment '[mmm-yyyy']]]&lt;=Y$4),IF(ISBLANK(Tbl_ResidentData[[#This Row],[Discharge '[mmm-yyyy']]]),TRUE,(Tbl_ResidentData[[#This Row],[Discharge '[mmm-yyyy']]]&gt;=Y$4)))))</f>
        <v>-</v>
      </c>
      <c r="Z123" s="121" t="str">
        <f ca="1">IF(Z$4&gt;NOW(),"-",IF(ISBLANK(Tbl_ResidentData[[#This Row],[Enrollment '[mmm-yyyy']]]),"-",AND((Tbl_ResidentData[[#This Row],[Enrollment '[mmm-yyyy']]]&lt;=Z$4),IF(ISBLANK(Tbl_ResidentData[[#This Row],[Discharge '[mmm-yyyy']]]),TRUE,(Tbl_ResidentData[[#This Row],[Discharge '[mmm-yyyy']]]&gt;=Z$4)))))</f>
        <v>-</v>
      </c>
      <c r="AA123" s="121" t="str">
        <f ca="1">IF(AA$4&gt;NOW(),"-",IF(ISBLANK(Tbl_ResidentData[[#This Row],[Enrollment '[mmm-yyyy']]]),"-",AND((Tbl_ResidentData[[#This Row],[Enrollment '[mmm-yyyy']]]&lt;=AA$4),IF(ISBLANK(Tbl_ResidentData[[#This Row],[Discharge '[mmm-yyyy']]]),TRUE,(Tbl_ResidentData[[#This Row],[Discharge '[mmm-yyyy']]]&gt;=AA$4)))))</f>
        <v>-</v>
      </c>
      <c r="AB123" s="121" t="str">
        <f ca="1">IF(AB$4&gt;NOW(),"-",IF(ISBLANK(Tbl_ResidentData[[#This Row],[Enrollment '[mmm-yyyy']]]),"-",AND((Tbl_ResidentData[[#This Row],[Enrollment '[mmm-yyyy']]]&lt;=AB$4),IF(ISBLANK(Tbl_ResidentData[[#This Row],[Discharge '[mmm-yyyy']]]),TRUE,(Tbl_ResidentData[[#This Row],[Discharge '[mmm-yyyy']]]&gt;=AB$4)))))</f>
        <v>-</v>
      </c>
      <c r="AC123" s="121" t="str">
        <f ca="1">IF(AC$4&gt;NOW(),"-",IF(ISBLANK(Tbl_ResidentData[[#This Row],[Enrollment '[mmm-yyyy']]]),"-",AND((Tbl_ResidentData[[#This Row],[Enrollment '[mmm-yyyy']]]&lt;=AC$4),IF(ISBLANK(Tbl_ResidentData[[#This Row],[Discharge '[mmm-yyyy']]]),TRUE,(Tbl_ResidentData[[#This Row],[Discharge '[mmm-yyyy']]]&gt;=AC$4)))))</f>
        <v>-</v>
      </c>
      <c r="AD123" s="121" t="str">
        <f ca="1">IF(AD$4&gt;NOW(),"-",IF(ISBLANK(Tbl_ResidentData[[#This Row],[Enrollment '[mmm-yyyy']]]),"-",AND((Tbl_ResidentData[[#This Row],[Enrollment '[mmm-yyyy']]]&lt;=AD$4),IF(ISBLANK(Tbl_ResidentData[[#This Row],[Discharge '[mmm-yyyy']]]),TRUE,(Tbl_ResidentData[[#This Row],[Discharge '[mmm-yyyy']]]&gt;=AD$4)))))</f>
        <v>-</v>
      </c>
      <c r="AE123" s="121" t="str">
        <f ca="1">IF(AE$4&gt;NOW(),"-",IF(ISBLANK(Tbl_ResidentData[[#This Row],[Enrollment '[mmm-yyyy']]]),"-",AND((Tbl_ResidentData[[#This Row],[Enrollment '[mmm-yyyy']]]&lt;=AE$4),IF(ISBLANK(Tbl_ResidentData[[#This Row],[Discharge '[mmm-yyyy']]]),TRUE,(Tbl_ResidentData[[#This Row],[Discharge '[mmm-yyyy']]]&gt;=AE$4)))))</f>
        <v>-</v>
      </c>
      <c r="AF123" s="121" t="str">
        <f ca="1">IF(AF$4&gt;NOW(),"-",IF(ISBLANK(Tbl_ResidentData[[#This Row],[Enrollment '[mmm-yyyy']]]),"-",AND((Tbl_ResidentData[[#This Row],[Enrollment '[mmm-yyyy']]]&lt;=AF$4),IF(ISBLANK(Tbl_ResidentData[[#This Row],[Discharge '[mmm-yyyy']]]),TRUE,(Tbl_ResidentData[[#This Row],[Discharge '[mmm-yyyy']]]&gt;=AF$4)))))</f>
        <v>-</v>
      </c>
      <c r="AG123" s="121" t="str">
        <f ca="1">IF(AG$4&gt;NOW(),"-",IF(ISBLANK(Tbl_ResidentData[[#This Row],[Enrollment '[mmm-yyyy']]]),"-",AND((Tbl_ResidentData[[#This Row],[Enrollment '[mmm-yyyy']]]&lt;=AG$4),IF(ISBLANK(Tbl_ResidentData[[#This Row],[Discharge '[mmm-yyyy']]]),TRUE,(Tbl_ResidentData[[#This Row],[Discharge '[mmm-yyyy']]]&gt;=AG$4)))))</f>
        <v>-</v>
      </c>
      <c r="AH123" s="121" t="str">
        <f ca="1">IF(AH$4&gt;NOW(),"-",IF(ISBLANK(Tbl_ResidentData[[#This Row],[Enrollment '[mmm-yyyy']]]),"-",AND((Tbl_ResidentData[[#This Row],[Enrollment '[mmm-yyyy']]]&lt;=AH$4),IF(ISBLANK(Tbl_ResidentData[[#This Row],[Discharge '[mmm-yyyy']]]),TRUE,(Tbl_ResidentData[[#This Row],[Discharge '[mmm-yyyy']]]&gt;=AH$4)))))</f>
        <v>-</v>
      </c>
      <c r="AI123" s="121" t="str">
        <f ca="1">IF(AI$4&gt;NOW(),"-",IF(ISBLANK(Tbl_ResidentData[[#This Row],[Enrollment '[mmm-yyyy']]]),"-",AND((Tbl_ResidentData[[#This Row],[Enrollment '[mmm-yyyy']]]&lt;=AI$4),IF(ISBLANK(Tbl_ResidentData[[#This Row],[Discharge '[mmm-yyyy']]]),TRUE,(Tbl_ResidentData[[#This Row],[Discharge '[mmm-yyyy']]]&gt;=AI$4)))))</f>
        <v>-</v>
      </c>
      <c r="AJ123" s="121" t="str">
        <f ca="1">IF(AJ$4&gt;NOW(),"-",IF(ISBLANK(Tbl_ResidentData[[#This Row],[Enrollment '[mmm-yyyy']]]),"-",AND((Tbl_ResidentData[[#This Row],[Enrollment '[mmm-yyyy']]]&lt;=AJ$4),IF(ISBLANK(Tbl_ResidentData[[#This Row],[Discharge '[mmm-yyyy']]]),TRUE,(Tbl_ResidentData[[#This Row],[Discharge '[mmm-yyyy']]]&gt;=AJ$4)))))</f>
        <v>-</v>
      </c>
      <c r="AK123" s="121" t="str">
        <f ca="1">IF(AK$4&gt;NOW(),"-",IF(ISBLANK(Tbl_ResidentData[[#This Row],[Enrollment '[mmm-yyyy']]]),"-",AND((Tbl_ResidentData[[#This Row],[Enrollment '[mmm-yyyy']]]&lt;=AK$4),IF(ISBLANK(Tbl_ResidentData[[#This Row],[Discharge '[mmm-yyyy']]]),TRUE,(Tbl_ResidentData[[#This Row],[Discharge '[mmm-yyyy']]]&gt;=AK$4)))))</f>
        <v>-</v>
      </c>
      <c r="AL123" s="121" t="str">
        <f ca="1">IF(AL$4&gt;NOW(),"-",IF(ISBLANK(Tbl_ResidentData[[#This Row],[Enrollment '[mmm-yyyy']]]),"-",AND((Tbl_ResidentData[[#This Row],[Enrollment '[mmm-yyyy']]]&lt;=AL$4),IF(ISBLANK(Tbl_ResidentData[[#This Row],[Discharge '[mmm-yyyy']]]),TRUE,(Tbl_ResidentData[[#This Row],[Discharge '[mmm-yyyy']]]&gt;=AL$4)))))</f>
        <v>-</v>
      </c>
      <c r="AM123" s="121" t="str">
        <f ca="1">IF(AM$4&gt;NOW(),"-",IF(ISBLANK(Tbl_ResidentData[[#This Row],[Enrollment '[mmm-yyyy']]]),"-",AND((Tbl_ResidentData[[#This Row],[Enrollment '[mmm-yyyy']]]&lt;=AM$4),IF(ISBLANK(Tbl_ResidentData[[#This Row],[Discharge '[mmm-yyyy']]]),TRUE,(Tbl_ResidentData[[#This Row],[Discharge '[mmm-yyyy']]]&gt;=AM$4)))))</f>
        <v>-</v>
      </c>
      <c r="AN123" s="121" t="str">
        <f ca="1">IF(AN$4&gt;NOW(),"-",IF(ISBLANK(Tbl_ResidentData[[#This Row],[Enrollment '[mmm-yyyy']]]),"-",AND((Tbl_ResidentData[[#This Row],[Enrollment '[mmm-yyyy']]]&lt;=AN$4),IF(ISBLANK(Tbl_ResidentData[[#This Row],[Discharge '[mmm-yyyy']]]),TRUE,(Tbl_ResidentData[[#This Row],[Discharge '[mmm-yyyy']]]&gt;=AN$4)))))</f>
        <v>-</v>
      </c>
      <c r="AO123" s="121" t="str">
        <f ca="1">IF(AO$4&gt;NOW(),"-",IF(ISBLANK(Tbl_ResidentData[[#This Row],[Enrollment '[mmm-yyyy']]]),"-",AND((Tbl_ResidentData[[#This Row],[Enrollment '[mmm-yyyy']]]&lt;=AO$4),IF(ISBLANK(Tbl_ResidentData[[#This Row],[Discharge '[mmm-yyyy']]]),TRUE,(Tbl_ResidentData[[#This Row],[Discharge '[mmm-yyyy']]]&gt;=AO$4)))))</f>
        <v>-</v>
      </c>
      <c r="AP123" s="121" t="str">
        <f ca="1">IF(AP$4&gt;NOW(),"-",IF(ISBLANK(Tbl_ResidentData[[#This Row],[Enrollment '[mmm-yyyy']]]),"-",AND((Tbl_ResidentData[[#This Row],[Enrollment '[mmm-yyyy']]]&lt;=AP$4),IF(ISBLANK(Tbl_ResidentData[[#This Row],[Discharge '[mmm-yyyy']]]),TRUE,(Tbl_ResidentData[[#This Row],[Discharge '[mmm-yyyy']]]&gt;=AP$4)))))</f>
        <v>-</v>
      </c>
      <c r="AQ123" s="121" t="str">
        <f ca="1">IF(AQ$4&gt;NOW(),"-",IF(ISBLANK(Tbl_ResidentData[[#This Row],[Enrollment '[mmm-yyyy']]]),"-",AND((Tbl_ResidentData[[#This Row],[Enrollment '[mmm-yyyy']]]&lt;=AQ$4),IF(ISBLANK(Tbl_ResidentData[[#This Row],[Discharge '[mmm-yyyy']]]),TRUE,(Tbl_ResidentData[[#This Row],[Discharge '[mmm-yyyy']]]&gt;=AQ$4)))))</f>
        <v>-</v>
      </c>
      <c r="AR123" s="122" t="str">
        <f ca="1">IF(AR$4&gt;NOW(),"-",IF(ISBLANK(Tbl_ResidentData[[#This Row],[Enrollment '[mmm-yyyy']]]),"-",AND((Tbl_ResidentData[[#This Row],[Enrollment '[mmm-yyyy']]]&lt;=AR$4),IF(ISBLANK(Tbl_ResidentData[[#This Row],[Discharge '[mmm-yyyy']]]),TRUE,(Tbl_ResidentData[[#This Row],[Discharge '[mmm-yyyy']]]&gt;=AR$4)))))</f>
        <v>-</v>
      </c>
      <c r="AS12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3" s="120" t="b">
        <f ca="1">AND(Tbl_ResidentData[[#This Row],[PRN Med Started]]&lt;&gt;"",Tbl_ResidentData[[#This Row],[PRN Med Started]]&lt;=NOW(),Tbl_ResidentData[[#This Row],[PRN Med Started]]&lt;=AS$4,OR(Tbl_ResidentData[[#This Row],[PRN Med Discontinued]]&gt;AS$4,ISBLANK(Tbl_ResidentData[[#This Row],[PRN Med Discontinued]])))</f>
        <v>0</v>
      </c>
      <c r="BR123" s="121" t="b">
        <f ca="1">AND(Tbl_ResidentData[[#This Row],[PRN Med Started]]&lt;&gt;"",Tbl_ResidentData[[#This Row],[PRN Med Started]]&lt;=NOW(),Tbl_ResidentData[[#This Row],[PRN Med Started]]&lt;=AT$4,OR(Tbl_ResidentData[[#This Row],[PRN Med Discontinued]]&gt;AT$4,ISBLANK(Tbl_ResidentData[[#This Row],[PRN Med Discontinued]])))</f>
        <v>0</v>
      </c>
      <c r="BS123" s="121" t="b">
        <f ca="1">AND(Tbl_ResidentData[[#This Row],[PRN Med Started]]&lt;&gt;"",Tbl_ResidentData[[#This Row],[PRN Med Started]]&lt;=NOW(),Tbl_ResidentData[[#This Row],[PRN Med Started]]&lt;=AU$4,OR(Tbl_ResidentData[[#This Row],[PRN Med Discontinued]]&gt;AU$4,ISBLANK(Tbl_ResidentData[[#This Row],[PRN Med Discontinued]])))</f>
        <v>0</v>
      </c>
      <c r="BT123" s="121" t="b">
        <f ca="1">AND(Tbl_ResidentData[[#This Row],[PRN Med Started]]&lt;&gt;"",Tbl_ResidentData[[#This Row],[PRN Med Started]]&lt;=NOW(),Tbl_ResidentData[[#This Row],[PRN Med Started]]&lt;=AV$4,OR(Tbl_ResidentData[[#This Row],[PRN Med Discontinued]]&gt;AV$4,ISBLANK(Tbl_ResidentData[[#This Row],[PRN Med Discontinued]])))</f>
        <v>0</v>
      </c>
      <c r="BU123" s="121" t="b">
        <f ca="1">AND(Tbl_ResidentData[[#This Row],[PRN Med Started]]&lt;&gt;"",Tbl_ResidentData[[#This Row],[PRN Med Started]]&lt;=NOW(),Tbl_ResidentData[[#This Row],[PRN Med Started]]&lt;=AW$4,OR(Tbl_ResidentData[[#This Row],[PRN Med Discontinued]]&gt;AW$4,ISBLANK(Tbl_ResidentData[[#This Row],[PRN Med Discontinued]])))</f>
        <v>0</v>
      </c>
      <c r="BV123" s="121" t="b">
        <f ca="1">AND(Tbl_ResidentData[[#This Row],[PRN Med Started]]&lt;&gt;"",Tbl_ResidentData[[#This Row],[PRN Med Started]]&lt;=NOW(),Tbl_ResidentData[[#This Row],[PRN Med Started]]&lt;=AX$4,OR(Tbl_ResidentData[[#This Row],[PRN Med Discontinued]]&gt;AX$4,ISBLANK(Tbl_ResidentData[[#This Row],[PRN Med Discontinued]])))</f>
        <v>0</v>
      </c>
      <c r="BW123" s="121" t="b">
        <f ca="1">AND(Tbl_ResidentData[[#This Row],[PRN Med Started]]&lt;&gt;"",Tbl_ResidentData[[#This Row],[PRN Med Started]]&lt;=NOW(),Tbl_ResidentData[[#This Row],[PRN Med Started]]&lt;=AY$4,OR(Tbl_ResidentData[[#This Row],[PRN Med Discontinued]]&gt;AY$4,ISBLANK(Tbl_ResidentData[[#This Row],[PRN Med Discontinued]])))</f>
        <v>0</v>
      </c>
      <c r="BX123" s="121" t="b">
        <f ca="1">AND(Tbl_ResidentData[[#This Row],[PRN Med Started]]&lt;&gt;"",Tbl_ResidentData[[#This Row],[PRN Med Started]]&lt;=NOW(),Tbl_ResidentData[[#This Row],[PRN Med Started]]&lt;=AZ$4,OR(Tbl_ResidentData[[#This Row],[PRN Med Discontinued]]&gt;AZ$4,ISBLANK(Tbl_ResidentData[[#This Row],[PRN Med Discontinued]])))</f>
        <v>0</v>
      </c>
      <c r="BY123" s="121" t="b">
        <f ca="1">AND(Tbl_ResidentData[[#This Row],[PRN Med Started]]&lt;&gt;"",Tbl_ResidentData[[#This Row],[PRN Med Started]]&lt;=NOW(),Tbl_ResidentData[[#This Row],[PRN Med Started]]&lt;=BA$4,OR(Tbl_ResidentData[[#This Row],[PRN Med Discontinued]]&gt;BA$4,ISBLANK(Tbl_ResidentData[[#This Row],[PRN Med Discontinued]])))</f>
        <v>0</v>
      </c>
      <c r="BZ123" s="121" t="b">
        <f ca="1">AND(Tbl_ResidentData[[#This Row],[PRN Med Started]]&lt;&gt;"",Tbl_ResidentData[[#This Row],[PRN Med Started]]&lt;=NOW(),Tbl_ResidentData[[#This Row],[PRN Med Started]]&lt;=BB$4,OR(Tbl_ResidentData[[#This Row],[PRN Med Discontinued]]&gt;BB$4,ISBLANK(Tbl_ResidentData[[#This Row],[PRN Med Discontinued]])))</f>
        <v>0</v>
      </c>
      <c r="CA123" s="121" t="b">
        <f ca="1">AND(Tbl_ResidentData[[#This Row],[PRN Med Started]]&lt;&gt;"",Tbl_ResidentData[[#This Row],[PRN Med Started]]&lt;=NOW(),Tbl_ResidentData[[#This Row],[PRN Med Started]]&lt;=BC$4,OR(Tbl_ResidentData[[#This Row],[PRN Med Discontinued]]&gt;BC$4,ISBLANK(Tbl_ResidentData[[#This Row],[PRN Med Discontinued]])))</f>
        <v>0</v>
      </c>
      <c r="CB123" s="121" t="b">
        <f ca="1">AND(Tbl_ResidentData[[#This Row],[PRN Med Started]]&lt;&gt;"",Tbl_ResidentData[[#This Row],[PRN Med Started]]&lt;=NOW(),Tbl_ResidentData[[#This Row],[PRN Med Started]]&lt;=BD$4,OR(Tbl_ResidentData[[#This Row],[PRN Med Discontinued]]&gt;BD$4,ISBLANK(Tbl_ResidentData[[#This Row],[PRN Med Discontinued]])))</f>
        <v>0</v>
      </c>
      <c r="CC123" s="121" t="b">
        <f ca="1">AND(Tbl_ResidentData[[#This Row],[PRN Med Started]]&lt;&gt;"",Tbl_ResidentData[[#This Row],[PRN Med Started]]&lt;=NOW(),Tbl_ResidentData[[#This Row],[PRN Med Started]]&lt;=BE$4,OR(Tbl_ResidentData[[#This Row],[PRN Med Discontinued]]&gt;BE$4,ISBLANK(Tbl_ResidentData[[#This Row],[PRN Med Discontinued]])))</f>
        <v>0</v>
      </c>
      <c r="CD123" s="121" t="b">
        <f ca="1">AND(Tbl_ResidentData[[#This Row],[PRN Med Started]]&lt;&gt;"",Tbl_ResidentData[[#This Row],[PRN Med Started]]&lt;=NOW(),Tbl_ResidentData[[#This Row],[PRN Med Started]]&lt;=BF$4,OR(Tbl_ResidentData[[#This Row],[PRN Med Discontinued]]&gt;BF$4,ISBLANK(Tbl_ResidentData[[#This Row],[PRN Med Discontinued]])))</f>
        <v>0</v>
      </c>
      <c r="CE123" s="121" t="b">
        <f ca="1">AND(Tbl_ResidentData[[#This Row],[PRN Med Started]]&lt;&gt;"",Tbl_ResidentData[[#This Row],[PRN Med Started]]&lt;=NOW(),Tbl_ResidentData[[#This Row],[PRN Med Started]]&lt;=BG$4,OR(Tbl_ResidentData[[#This Row],[PRN Med Discontinued]]&gt;BG$4,ISBLANK(Tbl_ResidentData[[#This Row],[PRN Med Discontinued]])))</f>
        <v>0</v>
      </c>
      <c r="CF123" s="121" t="b">
        <f ca="1">AND(Tbl_ResidentData[[#This Row],[PRN Med Started]]&lt;&gt;"",Tbl_ResidentData[[#This Row],[PRN Med Started]]&lt;=NOW(),Tbl_ResidentData[[#This Row],[PRN Med Started]]&lt;=BH$4,OR(Tbl_ResidentData[[#This Row],[PRN Med Discontinued]]&gt;BH$4,ISBLANK(Tbl_ResidentData[[#This Row],[PRN Med Discontinued]])))</f>
        <v>0</v>
      </c>
      <c r="CG123" s="121" t="b">
        <f ca="1">AND(Tbl_ResidentData[[#This Row],[PRN Med Started]]&lt;&gt;"",Tbl_ResidentData[[#This Row],[PRN Med Started]]&lt;=NOW(),Tbl_ResidentData[[#This Row],[PRN Med Started]]&lt;=BI$4,OR(Tbl_ResidentData[[#This Row],[PRN Med Discontinued]]&gt;BI$4,ISBLANK(Tbl_ResidentData[[#This Row],[PRN Med Discontinued]])))</f>
        <v>0</v>
      </c>
      <c r="CH123" s="121" t="b">
        <f ca="1">AND(Tbl_ResidentData[[#This Row],[PRN Med Started]]&lt;&gt;"",Tbl_ResidentData[[#This Row],[PRN Med Started]]&lt;=NOW(),Tbl_ResidentData[[#This Row],[PRN Med Started]]&lt;=BJ$4,OR(Tbl_ResidentData[[#This Row],[PRN Med Discontinued]]&gt;BJ$4,ISBLANK(Tbl_ResidentData[[#This Row],[PRN Med Discontinued]])))</f>
        <v>0</v>
      </c>
      <c r="CI123" s="121" t="b">
        <f ca="1">AND(Tbl_ResidentData[[#This Row],[PRN Med Started]]&lt;&gt;"",Tbl_ResidentData[[#This Row],[PRN Med Started]]&lt;=NOW(),Tbl_ResidentData[[#This Row],[PRN Med Started]]&lt;=BK$4,OR(Tbl_ResidentData[[#This Row],[PRN Med Discontinued]]&gt;BK$4,ISBLANK(Tbl_ResidentData[[#This Row],[PRN Med Discontinued]])))</f>
        <v>0</v>
      </c>
      <c r="CJ123" s="121" t="b">
        <f ca="1">AND(Tbl_ResidentData[[#This Row],[PRN Med Started]]&lt;&gt;"",Tbl_ResidentData[[#This Row],[PRN Med Started]]&lt;=NOW(),Tbl_ResidentData[[#This Row],[PRN Med Started]]&lt;=BL$4,OR(Tbl_ResidentData[[#This Row],[PRN Med Discontinued]]&gt;BL$4,ISBLANK(Tbl_ResidentData[[#This Row],[PRN Med Discontinued]])))</f>
        <v>0</v>
      </c>
      <c r="CK123" s="121" t="b">
        <f ca="1">AND(Tbl_ResidentData[[#This Row],[PRN Med Started]]&lt;&gt;"",Tbl_ResidentData[[#This Row],[PRN Med Started]]&lt;=NOW(),Tbl_ResidentData[[#This Row],[PRN Med Started]]&lt;=BM$4,OR(Tbl_ResidentData[[#This Row],[PRN Med Discontinued]]&gt;BM$4,ISBLANK(Tbl_ResidentData[[#This Row],[PRN Med Discontinued]])))</f>
        <v>0</v>
      </c>
      <c r="CL123" s="121" t="b">
        <f ca="1">AND(Tbl_ResidentData[[#This Row],[PRN Med Started]]&lt;&gt;"",Tbl_ResidentData[[#This Row],[PRN Med Started]]&lt;=NOW(),Tbl_ResidentData[[#This Row],[PRN Med Started]]&lt;=BN$4,OR(Tbl_ResidentData[[#This Row],[PRN Med Discontinued]]&gt;BN$4,ISBLANK(Tbl_ResidentData[[#This Row],[PRN Med Discontinued]])))</f>
        <v>0</v>
      </c>
      <c r="CM123" s="121" t="b">
        <f ca="1">AND(Tbl_ResidentData[[#This Row],[PRN Med Started]]&lt;&gt;"",Tbl_ResidentData[[#This Row],[PRN Med Started]]&lt;=NOW(),Tbl_ResidentData[[#This Row],[PRN Med Started]]&lt;=BO$4,OR(Tbl_ResidentData[[#This Row],[PRN Med Discontinued]]&gt;BO$4,ISBLANK(Tbl_ResidentData[[#This Row],[PRN Med Discontinued]])))</f>
        <v>0</v>
      </c>
      <c r="CN123" s="122" t="b">
        <f ca="1">AND(Tbl_ResidentData[[#This Row],[PRN Med Started]]&lt;&gt;"",Tbl_ResidentData[[#This Row],[PRN Med Started]]&lt;=NOW(),Tbl_ResidentData[[#This Row],[PRN Med Started]]&lt;=BP$4,OR(Tbl_ResidentData[[#This Row],[PRN Med Discontinued]]&gt;BP$4,ISBLANK(Tbl_ResidentData[[#This Row],[PRN Med Discontinued]])))</f>
        <v>0</v>
      </c>
      <c r="CO123" s="120">
        <f ca="1">IF(OR(Tbl_ResidentData[[#This Row],[S1]]=TRUE,Tbl_ResidentData[[#This Row],[P1]]=TRUE),1,0)</f>
        <v>0</v>
      </c>
      <c r="CP123" s="121">
        <f ca="1">IF(OR(Tbl_ResidentData[[#This Row],[S2]]=TRUE,Tbl_ResidentData[[#This Row],[P2]]=TRUE),1,0)</f>
        <v>0</v>
      </c>
      <c r="CQ123" s="121">
        <f ca="1">IF(OR(Tbl_ResidentData[[#This Row],[S3]]=TRUE,Tbl_ResidentData[[#This Row],[P3]]=TRUE),1,0)</f>
        <v>0</v>
      </c>
      <c r="CR123" s="120">
        <f ca="1">IF(OR(Tbl_ResidentData[[#This Row],[S4]]=TRUE,Tbl_ResidentData[[#This Row],[P4]]=TRUE),1,0)</f>
        <v>0</v>
      </c>
      <c r="CS123" s="120">
        <f ca="1">IF(OR(Tbl_ResidentData[[#This Row],[S5]]=TRUE,Tbl_ResidentData[[#This Row],[P5]]=TRUE),1,0)</f>
        <v>0</v>
      </c>
      <c r="CT123" s="120">
        <f ca="1">IF(OR(Tbl_ResidentData[[#This Row],[S6]]=TRUE,Tbl_ResidentData[[#This Row],[P6]]=TRUE),1,0)</f>
        <v>0</v>
      </c>
      <c r="CU123" s="120">
        <f ca="1">IF(OR(Tbl_ResidentData[[#This Row],[S7]]=TRUE,Tbl_ResidentData[[#This Row],[P7]]=TRUE),1,0)</f>
        <v>0</v>
      </c>
      <c r="CV123" s="120">
        <f ca="1">IF(OR(Tbl_ResidentData[[#This Row],[S8]]=TRUE,Tbl_ResidentData[[#This Row],[P8]]=TRUE),1,0)</f>
        <v>0</v>
      </c>
      <c r="CW123" s="120">
        <f ca="1">IF(OR(Tbl_ResidentData[[#This Row],[S9]]=TRUE,Tbl_ResidentData[[#This Row],[P9]]=TRUE),1,0)</f>
        <v>0</v>
      </c>
      <c r="CX123" s="120">
        <f ca="1">IF(OR(Tbl_ResidentData[[#This Row],[S10]]=TRUE,Tbl_ResidentData[[#This Row],[P10]]=TRUE),1,0)</f>
        <v>0</v>
      </c>
      <c r="CY123" s="120">
        <f ca="1">IF(OR(Tbl_ResidentData[[#This Row],[S11]]=TRUE,Tbl_ResidentData[[#This Row],[P11]]=TRUE),1,0)</f>
        <v>0</v>
      </c>
      <c r="CZ123" s="120">
        <f ca="1">IF(OR(Tbl_ResidentData[[#This Row],[S12]]=TRUE,Tbl_ResidentData[[#This Row],[P12]]=TRUE),1,0)</f>
        <v>0</v>
      </c>
      <c r="DA123" s="120">
        <f ca="1">IF(OR(Tbl_ResidentData[[#This Row],[S13]]=TRUE,Tbl_ResidentData[[#This Row],[P13]]=TRUE),1,0)</f>
        <v>0</v>
      </c>
      <c r="DB123" s="120">
        <f ca="1">IF(OR(Tbl_ResidentData[[#This Row],[S14]]=TRUE,Tbl_ResidentData[[#This Row],[P14]]=TRUE),1,0)</f>
        <v>0</v>
      </c>
      <c r="DC123" s="120">
        <f ca="1">IF(OR(Tbl_ResidentData[[#This Row],[S15]]=TRUE,Tbl_ResidentData[[#This Row],[P15]]=TRUE),1,0)</f>
        <v>0</v>
      </c>
      <c r="DD123" s="120">
        <f ca="1">IF(OR(Tbl_ResidentData[[#This Row],[S16]]=TRUE,Tbl_ResidentData[[#This Row],[P16]]=TRUE),1,0)</f>
        <v>0</v>
      </c>
      <c r="DE123" s="120">
        <f ca="1">IF(OR(Tbl_ResidentData[[#This Row],[S17]]=TRUE,Tbl_ResidentData[[#This Row],[P17]]=TRUE),1,0)</f>
        <v>0</v>
      </c>
      <c r="DF123" s="120">
        <f ca="1">IF(OR(Tbl_ResidentData[[#This Row],[S18]]=TRUE,Tbl_ResidentData[[#This Row],[P18]]=TRUE),1,0)</f>
        <v>0</v>
      </c>
      <c r="DG123" s="120">
        <f ca="1">IF(OR(Tbl_ResidentData[[#This Row],[S19]]=TRUE,Tbl_ResidentData[[#This Row],[P19]]=TRUE),1,0)</f>
        <v>0</v>
      </c>
      <c r="DH123" s="120">
        <f ca="1">IF(OR(Tbl_ResidentData[[#This Row],[S20]]=TRUE,Tbl_ResidentData[[#This Row],[P20]]=TRUE),1,0)</f>
        <v>0</v>
      </c>
      <c r="DI123" s="120">
        <f ca="1">IF(OR(Tbl_ResidentData[[#This Row],[S21]]=TRUE,Tbl_ResidentData[[#This Row],[P21]]=TRUE),1,0)</f>
        <v>0</v>
      </c>
      <c r="DJ123" s="120">
        <f ca="1">IF(OR(Tbl_ResidentData[[#This Row],[S22]]=TRUE,Tbl_ResidentData[[#This Row],[P22]]=TRUE),1,0)</f>
        <v>0</v>
      </c>
      <c r="DK123" s="120">
        <f ca="1">IF(OR(Tbl_ResidentData[[#This Row],[S23]]=TRUE,Tbl_ResidentData[[#This Row],[P23]]=TRUE),1,0)</f>
        <v>0</v>
      </c>
      <c r="DL123" s="120">
        <f ca="1">IF(OR(Tbl_ResidentData[[#This Row],[S24]]=TRUE,Tbl_ResidentData[[#This Row],[P24]]=TRUE),1,0)</f>
        <v>0</v>
      </c>
      <c r="DM123" s="123" t="str">
        <f ca="1">IFERROR(INDEX($CO$4:$DL$4,MATCH(TRUE,INDEX((Tbl_ResidentData[[#This Row],[Over1]:[Over24]]&lt;&gt;0),0),0)),"")</f>
        <v/>
      </c>
      <c r="DN123" s="133" t="str">
        <f>IFERROR(INDEX(Tbl_PDSAData[Last DRT],MATCH(Tbl_ResidentData[Resident Name '[last, first']],Tbl_PDSAData[Resident Name (last, first)],0)),"")</f>
        <v/>
      </c>
      <c r="DO123" s="222" t="str">
        <f>IFERROR(INDEX(Tbl_PDSAData[Last MR],MATCH(Tbl_ResidentData[Resident Name '[last, first']],Tbl_PDSAData[Resident Name (last, first)],0)),"")</f>
        <v/>
      </c>
    </row>
    <row r="124" spans="1:119" x14ac:dyDescent="0.25">
      <c r="A124" s="179"/>
      <c r="B124" s="180"/>
      <c r="C124" s="180"/>
      <c r="D124" s="218"/>
      <c r="E124" s="179"/>
      <c r="F124" s="181"/>
      <c r="G124" s="181"/>
      <c r="H124" s="375"/>
      <c r="I124" s="185"/>
      <c r="J124" s="387"/>
      <c r="K124" s="178"/>
      <c r="L124" s="388"/>
      <c r="M124" s="185"/>
      <c r="N124" s="386"/>
      <c r="O124" s="178"/>
      <c r="P124" s="388"/>
      <c r="Q124" s="394"/>
      <c r="R124" s="388"/>
      <c r="S124" s="131" t="str">
        <f>IF(ISBLANK(Tbl_ResidentData[[#This Row],[Discharge '[mmm-yyyy']]]),IF(ISBLANK(Tbl_ResidentData[[#This Row],[Enrollment '[mmm-yyyy']]]),"","In Care Home"),"Discharged")</f>
        <v/>
      </c>
      <c r="T124" s="119" t="str">
        <f>IF(ISBLANK(Tbl_ResidentData[[#This Row],[Diagnosis (RAI)]]),IF(ISBLANK(Tbl_ResidentData[[#This Row],[Resident Name '[last, first']]]),"",0),IF(Tbl_ResidentData[[#This Row],[Diagnosis (RAI)]]="Other (see clinical notes)",0,1))</f>
        <v/>
      </c>
      <c r="U124" s="120" t="str">
        <f ca="1">IF(U$4&gt;NOW(),"-",IF(ISBLANK(Tbl_ResidentData[[#This Row],[Enrollment '[mmm-yyyy']]]),"-",AND((Tbl_ResidentData[[#This Row],[Enrollment '[mmm-yyyy']]]&lt;=U$4),IF(ISBLANK(Tbl_ResidentData[[#This Row],[Discharge '[mmm-yyyy']]]),TRUE,(Tbl_ResidentData[[#This Row],[Discharge '[mmm-yyyy']]]&gt;=U$4)))))</f>
        <v>-</v>
      </c>
      <c r="V124" s="121" t="str">
        <f ca="1">IF(V$4&gt;NOW(),"-",IF(ISBLANK(Tbl_ResidentData[[#This Row],[Enrollment '[mmm-yyyy']]]),"-",AND((Tbl_ResidentData[[#This Row],[Enrollment '[mmm-yyyy']]]&lt;=V$4),IF(ISBLANK(Tbl_ResidentData[[#This Row],[Discharge '[mmm-yyyy']]]),TRUE,(Tbl_ResidentData[[#This Row],[Discharge '[mmm-yyyy']]]&gt;=V$4)))))</f>
        <v>-</v>
      </c>
      <c r="W124" s="121" t="str">
        <f ca="1">IF(W$4&gt;NOW(),"-",IF(ISBLANK(Tbl_ResidentData[[#This Row],[Enrollment '[mmm-yyyy']]]),"-",AND((Tbl_ResidentData[[#This Row],[Enrollment '[mmm-yyyy']]]&lt;=W$4),IF(ISBLANK(Tbl_ResidentData[[#This Row],[Discharge '[mmm-yyyy']]]),TRUE,(Tbl_ResidentData[[#This Row],[Discharge '[mmm-yyyy']]]&gt;=W$4)))))</f>
        <v>-</v>
      </c>
      <c r="X124" s="121" t="str">
        <f ca="1">IF(X$4&gt;NOW(),"-",IF(ISBLANK(Tbl_ResidentData[[#This Row],[Enrollment '[mmm-yyyy']]]),"-",AND((Tbl_ResidentData[[#This Row],[Enrollment '[mmm-yyyy']]]&lt;=X$4),IF(ISBLANK(Tbl_ResidentData[[#This Row],[Discharge '[mmm-yyyy']]]),TRUE,(Tbl_ResidentData[[#This Row],[Discharge '[mmm-yyyy']]]&gt;=X$4)))))</f>
        <v>-</v>
      </c>
      <c r="Y124" s="121" t="str">
        <f ca="1">IF(Y$4&gt;NOW(),"-",IF(ISBLANK(Tbl_ResidentData[[#This Row],[Enrollment '[mmm-yyyy']]]),"-",AND((Tbl_ResidentData[[#This Row],[Enrollment '[mmm-yyyy']]]&lt;=Y$4),IF(ISBLANK(Tbl_ResidentData[[#This Row],[Discharge '[mmm-yyyy']]]),TRUE,(Tbl_ResidentData[[#This Row],[Discharge '[mmm-yyyy']]]&gt;=Y$4)))))</f>
        <v>-</v>
      </c>
      <c r="Z124" s="121" t="str">
        <f ca="1">IF(Z$4&gt;NOW(),"-",IF(ISBLANK(Tbl_ResidentData[[#This Row],[Enrollment '[mmm-yyyy']]]),"-",AND((Tbl_ResidentData[[#This Row],[Enrollment '[mmm-yyyy']]]&lt;=Z$4),IF(ISBLANK(Tbl_ResidentData[[#This Row],[Discharge '[mmm-yyyy']]]),TRUE,(Tbl_ResidentData[[#This Row],[Discharge '[mmm-yyyy']]]&gt;=Z$4)))))</f>
        <v>-</v>
      </c>
      <c r="AA124" s="121" t="str">
        <f ca="1">IF(AA$4&gt;NOW(),"-",IF(ISBLANK(Tbl_ResidentData[[#This Row],[Enrollment '[mmm-yyyy']]]),"-",AND((Tbl_ResidentData[[#This Row],[Enrollment '[mmm-yyyy']]]&lt;=AA$4),IF(ISBLANK(Tbl_ResidentData[[#This Row],[Discharge '[mmm-yyyy']]]),TRUE,(Tbl_ResidentData[[#This Row],[Discharge '[mmm-yyyy']]]&gt;=AA$4)))))</f>
        <v>-</v>
      </c>
      <c r="AB124" s="121" t="str">
        <f ca="1">IF(AB$4&gt;NOW(),"-",IF(ISBLANK(Tbl_ResidentData[[#This Row],[Enrollment '[mmm-yyyy']]]),"-",AND((Tbl_ResidentData[[#This Row],[Enrollment '[mmm-yyyy']]]&lt;=AB$4),IF(ISBLANK(Tbl_ResidentData[[#This Row],[Discharge '[mmm-yyyy']]]),TRUE,(Tbl_ResidentData[[#This Row],[Discharge '[mmm-yyyy']]]&gt;=AB$4)))))</f>
        <v>-</v>
      </c>
      <c r="AC124" s="121" t="str">
        <f ca="1">IF(AC$4&gt;NOW(),"-",IF(ISBLANK(Tbl_ResidentData[[#This Row],[Enrollment '[mmm-yyyy']]]),"-",AND((Tbl_ResidentData[[#This Row],[Enrollment '[mmm-yyyy']]]&lt;=AC$4),IF(ISBLANK(Tbl_ResidentData[[#This Row],[Discharge '[mmm-yyyy']]]),TRUE,(Tbl_ResidentData[[#This Row],[Discharge '[mmm-yyyy']]]&gt;=AC$4)))))</f>
        <v>-</v>
      </c>
      <c r="AD124" s="121" t="str">
        <f ca="1">IF(AD$4&gt;NOW(),"-",IF(ISBLANK(Tbl_ResidentData[[#This Row],[Enrollment '[mmm-yyyy']]]),"-",AND((Tbl_ResidentData[[#This Row],[Enrollment '[mmm-yyyy']]]&lt;=AD$4),IF(ISBLANK(Tbl_ResidentData[[#This Row],[Discharge '[mmm-yyyy']]]),TRUE,(Tbl_ResidentData[[#This Row],[Discharge '[mmm-yyyy']]]&gt;=AD$4)))))</f>
        <v>-</v>
      </c>
      <c r="AE124" s="121" t="str">
        <f ca="1">IF(AE$4&gt;NOW(),"-",IF(ISBLANK(Tbl_ResidentData[[#This Row],[Enrollment '[mmm-yyyy']]]),"-",AND((Tbl_ResidentData[[#This Row],[Enrollment '[mmm-yyyy']]]&lt;=AE$4),IF(ISBLANK(Tbl_ResidentData[[#This Row],[Discharge '[mmm-yyyy']]]),TRUE,(Tbl_ResidentData[[#This Row],[Discharge '[mmm-yyyy']]]&gt;=AE$4)))))</f>
        <v>-</v>
      </c>
      <c r="AF124" s="121" t="str">
        <f ca="1">IF(AF$4&gt;NOW(),"-",IF(ISBLANK(Tbl_ResidentData[[#This Row],[Enrollment '[mmm-yyyy']]]),"-",AND((Tbl_ResidentData[[#This Row],[Enrollment '[mmm-yyyy']]]&lt;=AF$4),IF(ISBLANK(Tbl_ResidentData[[#This Row],[Discharge '[mmm-yyyy']]]),TRUE,(Tbl_ResidentData[[#This Row],[Discharge '[mmm-yyyy']]]&gt;=AF$4)))))</f>
        <v>-</v>
      </c>
      <c r="AG124" s="121" t="str">
        <f ca="1">IF(AG$4&gt;NOW(),"-",IF(ISBLANK(Tbl_ResidentData[[#This Row],[Enrollment '[mmm-yyyy']]]),"-",AND((Tbl_ResidentData[[#This Row],[Enrollment '[mmm-yyyy']]]&lt;=AG$4),IF(ISBLANK(Tbl_ResidentData[[#This Row],[Discharge '[mmm-yyyy']]]),TRUE,(Tbl_ResidentData[[#This Row],[Discharge '[mmm-yyyy']]]&gt;=AG$4)))))</f>
        <v>-</v>
      </c>
      <c r="AH124" s="121" t="str">
        <f ca="1">IF(AH$4&gt;NOW(),"-",IF(ISBLANK(Tbl_ResidentData[[#This Row],[Enrollment '[mmm-yyyy']]]),"-",AND((Tbl_ResidentData[[#This Row],[Enrollment '[mmm-yyyy']]]&lt;=AH$4),IF(ISBLANK(Tbl_ResidentData[[#This Row],[Discharge '[mmm-yyyy']]]),TRUE,(Tbl_ResidentData[[#This Row],[Discharge '[mmm-yyyy']]]&gt;=AH$4)))))</f>
        <v>-</v>
      </c>
      <c r="AI124" s="121" t="str">
        <f ca="1">IF(AI$4&gt;NOW(),"-",IF(ISBLANK(Tbl_ResidentData[[#This Row],[Enrollment '[mmm-yyyy']]]),"-",AND((Tbl_ResidentData[[#This Row],[Enrollment '[mmm-yyyy']]]&lt;=AI$4),IF(ISBLANK(Tbl_ResidentData[[#This Row],[Discharge '[mmm-yyyy']]]),TRUE,(Tbl_ResidentData[[#This Row],[Discharge '[mmm-yyyy']]]&gt;=AI$4)))))</f>
        <v>-</v>
      </c>
      <c r="AJ124" s="121" t="str">
        <f ca="1">IF(AJ$4&gt;NOW(),"-",IF(ISBLANK(Tbl_ResidentData[[#This Row],[Enrollment '[mmm-yyyy']]]),"-",AND((Tbl_ResidentData[[#This Row],[Enrollment '[mmm-yyyy']]]&lt;=AJ$4),IF(ISBLANK(Tbl_ResidentData[[#This Row],[Discharge '[mmm-yyyy']]]),TRUE,(Tbl_ResidentData[[#This Row],[Discharge '[mmm-yyyy']]]&gt;=AJ$4)))))</f>
        <v>-</v>
      </c>
      <c r="AK124" s="121" t="str">
        <f ca="1">IF(AK$4&gt;NOW(),"-",IF(ISBLANK(Tbl_ResidentData[[#This Row],[Enrollment '[mmm-yyyy']]]),"-",AND((Tbl_ResidentData[[#This Row],[Enrollment '[mmm-yyyy']]]&lt;=AK$4),IF(ISBLANK(Tbl_ResidentData[[#This Row],[Discharge '[mmm-yyyy']]]),TRUE,(Tbl_ResidentData[[#This Row],[Discharge '[mmm-yyyy']]]&gt;=AK$4)))))</f>
        <v>-</v>
      </c>
      <c r="AL124" s="121" t="str">
        <f ca="1">IF(AL$4&gt;NOW(),"-",IF(ISBLANK(Tbl_ResidentData[[#This Row],[Enrollment '[mmm-yyyy']]]),"-",AND((Tbl_ResidentData[[#This Row],[Enrollment '[mmm-yyyy']]]&lt;=AL$4),IF(ISBLANK(Tbl_ResidentData[[#This Row],[Discharge '[mmm-yyyy']]]),TRUE,(Tbl_ResidentData[[#This Row],[Discharge '[mmm-yyyy']]]&gt;=AL$4)))))</f>
        <v>-</v>
      </c>
      <c r="AM124" s="121" t="str">
        <f ca="1">IF(AM$4&gt;NOW(),"-",IF(ISBLANK(Tbl_ResidentData[[#This Row],[Enrollment '[mmm-yyyy']]]),"-",AND((Tbl_ResidentData[[#This Row],[Enrollment '[mmm-yyyy']]]&lt;=AM$4),IF(ISBLANK(Tbl_ResidentData[[#This Row],[Discharge '[mmm-yyyy']]]),TRUE,(Tbl_ResidentData[[#This Row],[Discharge '[mmm-yyyy']]]&gt;=AM$4)))))</f>
        <v>-</v>
      </c>
      <c r="AN124" s="121" t="str">
        <f ca="1">IF(AN$4&gt;NOW(),"-",IF(ISBLANK(Tbl_ResidentData[[#This Row],[Enrollment '[mmm-yyyy']]]),"-",AND((Tbl_ResidentData[[#This Row],[Enrollment '[mmm-yyyy']]]&lt;=AN$4),IF(ISBLANK(Tbl_ResidentData[[#This Row],[Discharge '[mmm-yyyy']]]),TRUE,(Tbl_ResidentData[[#This Row],[Discharge '[mmm-yyyy']]]&gt;=AN$4)))))</f>
        <v>-</v>
      </c>
      <c r="AO124" s="121" t="str">
        <f ca="1">IF(AO$4&gt;NOW(),"-",IF(ISBLANK(Tbl_ResidentData[[#This Row],[Enrollment '[mmm-yyyy']]]),"-",AND((Tbl_ResidentData[[#This Row],[Enrollment '[mmm-yyyy']]]&lt;=AO$4),IF(ISBLANK(Tbl_ResidentData[[#This Row],[Discharge '[mmm-yyyy']]]),TRUE,(Tbl_ResidentData[[#This Row],[Discharge '[mmm-yyyy']]]&gt;=AO$4)))))</f>
        <v>-</v>
      </c>
      <c r="AP124" s="121" t="str">
        <f ca="1">IF(AP$4&gt;NOW(),"-",IF(ISBLANK(Tbl_ResidentData[[#This Row],[Enrollment '[mmm-yyyy']]]),"-",AND((Tbl_ResidentData[[#This Row],[Enrollment '[mmm-yyyy']]]&lt;=AP$4),IF(ISBLANK(Tbl_ResidentData[[#This Row],[Discharge '[mmm-yyyy']]]),TRUE,(Tbl_ResidentData[[#This Row],[Discharge '[mmm-yyyy']]]&gt;=AP$4)))))</f>
        <v>-</v>
      </c>
      <c r="AQ124" s="121" t="str">
        <f ca="1">IF(AQ$4&gt;NOW(),"-",IF(ISBLANK(Tbl_ResidentData[[#This Row],[Enrollment '[mmm-yyyy']]]),"-",AND((Tbl_ResidentData[[#This Row],[Enrollment '[mmm-yyyy']]]&lt;=AQ$4),IF(ISBLANK(Tbl_ResidentData[[#This Row],[Discharge '[mmm-yyyy']]]),TRUE,(Tbl_ResidentData[[#This Row],[Discharge '[mmm-yyyy']]]&gt;=AQ$4)))))</f>
        <v>-</v>
      </c>
      <c r="AR124" s="122" t="str">
        <f ca="1">IF(AR$4&gt;NOW(),"-",IF(ISBLANK(Tbl_ResidentData[[#This Row],[Enrollment '[mmm-yyyy']]]),"-",AND((Tbl_ResidentData[[#This Row],[Enrollment '[mmm-yyyy']]]&lt;=AR$4),IF(ISBLANK(Tbl_ResidentData[[#This Row],[Discharge '[mmm-yyyy']]]),TRUE,(Tbl_ResidentData[[#This Row],[Discharge '[mmm-yyyy']]]&gt;=AR$4)))))</f>
        <v>-</v>
      </c>
      <c r="AS12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4" s="120" t="b">
        <f ca="1">AND(Tbl_ResidentData[[#This Row],[PRN Med Started]]&lt;&gt;"",Tbl_ResidentData[[#This Row],[PRN Med Started]]&lt;=NOW(),Tbl_ResidentData[[#This Row],[PRN Med Started]]&lt;=AS$4,OR(Tbl_ResidentData[[#This Row],[PRN Med Discontinued]]&gt;AS$4,ISBLANK(Tbl_ResidentData[[#This Row],[PRN Med Discontinued]])))</f>
        <v>0</v>
      </c>
      <c r="BR124" s="121" t="b">
        <f ca="1">AND(Tbl_ResidentData[[#This Row],[PRN Med Started]]&lt;&gt;"",Tbl_ResidentData[[#This Row],[PRN Med Started]]&lt;=NOW(),Tbl_ResidentData[[#This Row],[PRN Med Started]]&lt;=AT$4,OR(Tbl_ResidentData[[#This Row],[PRN Med Discontinued]]&gt;AT$4,ISBLANK(Tbl_ResidentData[[#This Row],[PRN Med Discontinued]])))</f>
        <v>0</v>
      </c>
      <c r="BS124" s="121" t="b">
        <f ca="1">AND(Tbl_ResidentData[[#This Row],[PRN Med Started]]&lt;&gt;"",Tbl_ResidentData[[#This Row],[PRN Med Started]]&lt;=NOW(),Tbl_ResidentData[[#This Row],[PRN Med Started]]&lt;=AU$4,OR(Tbl_ResidentData[[#This Row],[PRN Med Discontinued]]&gt;AU$4,ISBLANK(Tbl_ResidentData[[#This Row],[PRN Med Discontinued]])))</f>
        <v>0</v>
      </c>
      <c r="BT124" s="121" t="b">
        <f ca="1">AND(Tbl_ResidentData[[#This Row],[PRN Med Started]]&lt;&gt;"",Tbl_ResidentData[[#This Row],[PRN Med Started]]&lt;=NOW(),Tbl_ResidentData[[#This Row],[PRN Med Started]]&lt;=AV$4,OR(Tbl_ResidentData[[#This Row],[PRN Med Discontinued]]&gt;AV$4,ISBLANK(Tbl_ResidentData[[#This Row],[PRN Med Discontinued]])))</f>
        <v>0</v>
      </c>
      <c r="BU124" s="121" t="b">
        <f ca="1">AND(Tbl_ResidentData[[#This Row],[PRN Med Started]]&lt;&gt;"",Tbl_ResidentData[[#This Row],[PRN Med Started]]&lt;=NOW(),Tbl_ResidentData[[#This Row],[PRN Med Started]]&lt;=AW$4,OR(Tbl_ResidentData[[#This Row],[PRN Med Discontinued]]&gt;AW$4,ISBLANK(Tbl_ResidentData[[#This Row],[PRN Med Discontinued]])))</f>
        <v>0</v>
      </c>
      <c r="BV124" s="121" t="b">
        <f ca="1">AND(Tbl_ResidentData[[#This Row],[PRN Med Started]]&lt;&gt;"",Tbl_ResidentData[[#This Row],[PRN Med Started]]&lt;=NOW(),Tbl_ResidentData[[#This Row],[PRN Med Started]]&lt;=AX$4,OR(Tbl_ResidentData[[#This Row],[PRN Med Discontinued]]&gt;AX$4,ISBLANK(Tbl_ResidentData[[#This Row],[PRN Med Discontinued]])))</f>
        <v>0</v>
      </c>
      <c r="BW124" s="121" t="b">
        <f ca="1">AND(Tbl_ResidentData[[#This Row],[PRN Med Started]]&lt;&gt;"",Tbl_ResidentData[[#This Row],[PRN Med Started]]&lt;=NOW(),Tbl_ResidentData[[#This Row],[PRN Med Started]]&lt;=AY$4,OR(Tbl_ResidentData[[#This Row],[PRN Med Discontinued]]&gt;AY$4,ISBLANK(Tbl_ResidentData[[#This Row],[PRN Med Discontinued]])))</f>
        <v>0</v>
      </c>
      <c r="BX124" s="121" t="b">
        <f ca="1">AND(Tbl_ResidentData[[#This Row],[PRN Med Started]]&lt;&gt;"",Tbl_ResidentData[[#This Row],[PRN Med Started]]&lt;=NOW(),Tbl_ResidentData[[#This Row],[PRN Med Started]]&lt;=AZ$4,OR(Tbl_ResidentData[[#This Row],[PRN Med Discontinued]]&gt;AZ$4,ISBLANK(Tbl_ResidentData[[#This Row],[PRN Med Discontinued]])))</f>
        <v>0</v>
      </c>
      <c r="BY124" s="121" t="b">
        <f ca="1">AND(Tbl_ResidentData[[#This Row],[PRN Med Started]]&lt;&gt;"",Tbl_ResidentData[[#This Row],[PRN Med Started]]&lt;=NOW(),Tbl_ResidentData[[#This Row],[PRN Med Started]]&lt;=BA$4,OR(Tbl_ResidentData[[#This Row],[PRN Med Discontinued]]&gt;BA$4,ISBLANK(Tbl_ResidentData[[#This Row],[PRN Med Discontinued]])))</f>
        <v>0</v>
      </c>
      <c r="BZ124" s="121" t="b">
        <f ca="1">AND(Tbl_ResidentData[[#This Row],[PRN Med Started]]&lt;&gt;"",Tbl_ResidentData[[#This Row],[PRN Med Started]]&lt;=NOW(),Tbl_ResidentData[[#This Row],[PRN Med Started]]&lt;=BB$4,OR(Tbl_ResidentData[[#This Row],[PRN Med Discontinued]]&gt;BB$4,ISBLANK(Tbl_ResidentData[[#This Row],[PRN Med Discontinued]])))</f>
        <v>0</v>
      </c>
      <c r="CA124" s="121" t="b">
        <f ca="1">AND(Tbl_ResidentData[[#This Row],[PRN Med Started]]&lt;&gt;"",Tbl_ResidentData[[#This Row],[PRN Med Started]]&lt;=NOW(),Tbl_ResidentData[[#This Row],[PRN Med Started]]&lt;=BC$4,OR(Tbl_ResidentData[[#This Row],[PRN Med Discontinued]]&gt;BC$4,ISBLANK(Tbl_ResidentData[[#This Row],[PRN Med Discontinued]])))</f>
        <v>0</v>
      </c>
      <c r="CB124" s="121" t="b">
        <f ca="1">AND(Tbl_ResidentData[[#This Row],[PRN Med Started]]&lt;&gt;"",Tbl_ResidentData[[#This Row],[PRN Med Started]]&lt;=NOW(),Tbl_ResidentData[[#This Row],[PRN Med Started]]&lt;=BD$4,OR(Tbl_ResidentData[[#This Row],[PRN Med Discontinued]]&gt;BD$4,ISBLANK(Tbl_ResidentData[[#This Row],[PRN Med Discontinued]])))</f>
        <v>0</v>
      </c>
      <c r="CC124" s="121" t="b">
        <f ca="1">AND(Tbl_ResidentData[[#This Row],[PRN Med Started]]&lt;&gt;"",Tbl_ResidentData[[#This Row],[PRN Med Started]]&lt;=NOW(),Tbl_ResidentData[[#This Row],[PRN Med Started]]&lt;=BE$4,OR(Tbl_ResidentData[[#This Row],[PRN Med Discontinued]]&gt;BE$4,ISBLANK(Tbl_ResidentData[[#This Row],[PRN Med Discontinued]])))</f>
        <v>0</v>
      </c>
      <c r="CD124" s="121" t="b">
        <f ca="1">AND(Tbl_ResidentData[[#This Row],[PRN Med Started]]&lt;&gt;"",Tbl_ResidentData[[#This Row],[PRN Med Started]]&lt;=NOW(),Tbl_ResidentData[[#This Row],[PRN Med Started]]&lt;=BF$4,OR(Tbl_ResidentData[[#This Row],[PRN Med Discontinued]]&gt;BF$4,ISBLANK(Tbl_ResidentData[[#This Row],[PRN Med Discontinued]])))</f>
        <v>0</v>
      </c>
      <c r="CE124" s="121" t="b">
        <f ca="1">AND(Tbl_ResidentData[[#This Row],[PRN Med Started]]&lt;&gt;"",Tbl_ResidentData[[#This Row],[PRN Med Started]]&lt;=NOW(),Tbl_ResidentData[[#This Row],[PRN Med Started]]&lt;=BG$4,OR(Tbl_ResidentData[[#This Row],[PRN Med Discontinued]]&gt;BG$4,ISBLANK(Tbl_ResidentData[[#This Row],[PRN Med Discontinued]])))</f>
        <v>0</v>
      </c>
      <c r="CF124" s="121" t="b">
        <f ca="1">AND(Tbl_ResidentData[[#This Row],[PRN Med Started]]&lt;&gt;"",Tbl_ResidentData[[#This Row],[PRN Med Started]]&lt;=NOW(),Tbl_ResidentData[[#This Row],[PRN Med Started]]&lt;=BH$4,OR(Tbl_ResidentData[[#This Row],[PRN Med Discontinued]]&gt;BH$4,ISBLANK(Tbl_ResidentData[[#This Row],[PRN Med Discontinued]])))</f>
        <v>0</v>
      </c>
      <c r="CG124" s="121" t="b">
        <f ca="1">AND(Tbl_ResidentData[[#This Row],[PRN Med Started]]&lt;&gt;"",Tbl_ResidentData[[#This Row],[PRN Med Started]]&lt;=NOW(),Tbl_ResidentData[[#This Row],[PRN Med Started]]&lt;=BI$4,OR(Tbl_ResidentData[[#This Row],[PRN Med Discontinued]]&gt;BI$4,ISBLANK(Tbl_ResidentData[[#This Row],[PRN Med Discontinued]])))</f>
        <v>0</v>
      </c>
      <c r="CH124" s="121" t="b">
        <f ca="1">AND(Tbl_ResidentData[[#This Row],[PRN Med Started]]&lt;&gt;"",Tbl_ResidentData[[#This Row],[PRN Med Started]]&lt;=NOW(),Tbl_ResidentData[[#This Row],[PRN Med Started]]&lt;=BJ$4,OR(Tbl_ResidentData[[#This Row],[PRN Med Discontinued]]&gt;BJ$4,ISBLANK(Tbl_ResidentData[[#This Row],[PRN Med Discontinued]])))</f>
        <v>0</v>
      </c>
      <c r="CI124" s="121" t="b">
        <f ca="1">AND(Tbl_ResidentData[[#This Row],[PRN Med Started]]&lt;&gt;"",Tbl_ResidentData[[#This Row],[PRN Med Started]]&lt;=NOW(),Tbl_ResidentData[[#This Row],[PRN Med Started]]&lt;=BK$4,OR(Tbl_ResidentData[[#This Row],[PRN Med Discontinued]]&gt;BK$4,ISBLANK(Tbl_ResidentData[[#This Row],[PRN Med Discontinued]])))</f>
        <v>0</v>
      </c>
      <c r="CJ124" s="121" t="b">
        <f ca="1">AND(Tbl_ResidentData[[#This Row],[PRN Med Started]]&lt;&gt;"",Tbl_ResidentData[[#This Row],[PRN Med Started]]&lt;=NOW(),Tbl_ResidentData[[#This Row],[PRN Med Started]]&lt;=BL$4,OR(Tbl_ResidentData[[#This Row],[PRN Med Discontinued]]&gt;BL$4,ISBLANK(Tbl_ResidentData[[#This Row],[PRN Med Discontinued]])))</f>
        <v>0</v>
      </c>
      <c r="CK124" s="121" t="b">
        <f ca="1">AND(Tbl_ResidentData[[#This Row],[PRN Med Started]]&lt;&gt;"",Tbl_ResidentData[[#This Row],[PRN Med Started]]&lt;=NOW(),Tbl_ResidentData[[#This Row],[PRN Med Started]]&lt;=BM$4,OR(Tbl_ResidentData[[#This Row],[PRN Med Discontinued]]&gt;BM$4,ISBLANK(Tbl_ResidentData[[#This Row],[PRN Med Discontinued]])))</f>
        <v>0</v>
      </c>
      <c r="CL124" s="121" t="b">
        <f ca="1">AND(Tbl_ResidentData[[#This Row],[PRN Med Started]]&lt;&gt;"",Tbl_ResidentData[[#This Row],[PRN Med Started]]&lt;=NOW(),Tbl_ResidentData[[#This Row],[PRN Med Started]]&lt;=BN$4,OR(Tbl_ResidentData[[#This Row],[PRN Med Discontinued]]&gt;BN$4,ISBLANK(Tbl_ResidentData[[#This Row],[PRN Med Discontinued]])))</f>
        <v>0</v>
      </c>
      <c r="CM124" s="121" t="b">
        <f ca="1">AND(Tbl_ResidentData[[#This Row],[PRN Med Started]]&lt;&gt;"",Tbl_ResidentData[[#This Row],[PRN Med Started]]&lt;=NOW(),Tbl_ResidentData[[#This Row],[PRN Med Started]]&lt;=BO$4,OR(Tbl_ResidentData[[#This Row],[PRN Med Discontinued]]&gt;BO$4,ISBLANK(Tbl_ResidentData[[#This Row],[PRN Med Discontinued]])))</f>
        <v>0</v>
      </c>
      <c r="CN124" s="122" t="b">
        <f ca="1">AND(Tbl_ResidentData[[#This Row],[PRN Med Started]]&lt;&gt;"",Tbl_ResidentData[[#This Row],[PRN Med Started]]&lt;=NOW(),Tbl_ResidentData[[#This Row],[PRN Med Started]]&lt;=BP$4,OR(Tbl_ResidentData[[#This Row],[PRN Med Discontinued]]&gt;BP$4,ISBLANK(Tbl_ResidentData[[#This Row],[PRN Med Discontinued]])))</f>
        <v>0</v>
      </c>
      <c r="CO124" s="120">
        <f ca="1">IF(OR(Tbl_ResidentData[[#This Row],[S1]]=TRUE,Tbl_ResidentData[[#This Row],[P1]]=TRUE),1,0)</f>
        <v>0</v>
      </c>
      <c r="CP124" s="121">
        <f ca="1">IF(OR(Tbl_ResidentData[[#This Row],[S2]]=TRUE,Tbl_ResidentData[[#This Row],[P2]]=TRUE),1,0)</f>
        <v>0</v>
      </c>
      <c r="CQ124" s="121">
        <f ca="1">IF(OR(Tbl_ResidentData[[#This Row],[S3]]=TRUE,Tbl_ResidentData[[#This Row],[P3]]=TRUE),1,0)</f>
        <v>0</v>
      </c>
      <c r="CR124" s="120">
        <f ca="1">IF(OR(Tbl_ResidentData[[#This Row],[S4]]=TRUE,Tbl_ResidentData[[#This Row],[P4]]=TRUE),1,0)</f>
        <v>0</v>
      </c>
      <c r="CS124" s="120">
        <f ca="1">IF(OR(Tbl_ResidentData[[#This Row],[S5]]=TRUE,Tbl_ResidentData[[#This Row],[P5]]=TRUE),1,0)</f>
        <v>0</v>
      </c>
      <c r="CT124" s="120">
        <f ca="1">IF(OR(Tbl_ResidentData[[#This Row],[S6]]=TRUE,Tbl_ResidentData[[#This Row],[P6]]=TRUE),1,0)</f>
        <v>0</v>
      </c>
      <c r="CU124" s="120">
        <f ca="1">IF(OR(Tbl_ResidentData[[#This Row],[S7]]=TRUE,Tbl_ResidentData[[#This Row],[P7]]=TRUE),1,0)</f>
        <v>0</v>
      </c>
      <c r="CV124" s="120">
        <f ca="1">IF(OR(Tbl_ResidentData[[#This Row],[S8]]=TRUE,Tbl_ResidentData[[#This Row],[P8]]=TRUE),1,0)</f>
        <v>0</v>
      </c>
      <c r="CW124" s="120">
        <f ca="1">IF(OR(Tbl_ResidentData[[#This Row],[S9]]=TRUE,Tbl_ResidentData[[#This Row],[P9]]=TRUE),1,0)</f>
        <v>0</v>
      </c>
      <c r="CX124" s="120">
        <f ca="1">IF(OR(Tbl_ResidentData[[#This Row],[S10]]=TRUE,Tbl_ResidentData[[#This Row],[P10]]=TRUE),1,0)</f>
        <v>0</v>
      </c>
      <c r="CY124" s="120">
        <f ca="1">IF(OR(Tbl_ResidentData[[#This Row],[S11]]=TRUE,Tbl_ResidentData[[#This Row],[P11]]=TRUE),1,0)</f>
        <v>0</v>
      </c>
      <c r="CZ124" s="120">
        <f ca="1">IF(OR(Tbl_ResidentData[[#This Row],[S12]]=TRUE,Tbl_ResidentData[[#This Row],[P12]]=TRUE),1,0)</f>
        <v>0</v>
      </c>
      <c r="DA124" s="120">
        <f ca="1">IF(OR(Tbl_ResidentData[[#This Row],[S13]]=TRUE,Tbl_ResidentData[[#This Row],[P13]]=TRUE),1,0)</f>
        <v>0</v>
      </c>
      <c r="DB124" s="120">
        <f ca="1">IF(OR(Tbl_ResidentData[[#This Row],[S14]]=TRUE,Tbl_ResidentData[[#This Row],[P14]]=TRUE),1,0)</f>
        <v>0</v>
      </c>
      <c r="DC124" s="120">
        <f ca="1">IF(OR(Tbl_ResidentData[[#This Row],[S15]]=TRUE,Tbl_ResidentData[[#This Row],[P15]]=TRUE),1,0)</f>
        <v>0</v>
      </c>
      <c r="DD124" s="120">
        <f ca="1">IF(OR(Tbl_ResidentData[[#This Row],[S16]]=TRUE,Tbl_ResidentData[[#This Row],[P16]]=TRUE),1,0)</f>
        <v>0</v>
      </c>
      <c r="DE124" s="120">
        <f ca="1">IF(OR(Tbl_ResidentData[[#This Row],[S17]]=TRUE,Tbl_ResidentData[[#This Row],[P17]]=TRUE),1,0)</f>
        <v>0</v>
      </c>
      <c r="DF124" s="120">
        <f ca="1">IF(OR(Tbl_ResidentData[[#This Row],[S18]]=TRUE,Tbl_ResidentData[[#This Row],[P18]]=TRUE),1,0)</f>
        <v>0</v>
      </c>
      <c r="DG124" s="120">
        <f ca="1">IF(OR(Tbl_ResidentData[[#This Row],[S19]]=TRUE,Tbl_ResidentData[[#This Row],[P19]]=TRUE),1,0)</f>
        <v>0</v>
      </c>
      <c r="DH124" s="120">
        <f ca="1">IF(OR(Tbl_ResidentData[[#This Row],[S20]]=TRUE,Tbl_ResidentData[[#This Row],[P20]]=TRUE),1,0)</f>
        <v>0</v>
      </c>
      <c r="DI124" s="120">
        <f ca="1">IF(OR(Tbl_ResidentData[[#This Row],[S21]]=TRUE,Tbl_ResidentData[[#This Row],[P21]]=TRUE),1,0)</f>
        <v>0</v>
      </c>
      <c r="DJ124" s="120">
        <f ca="1">IF(OR(Tbl_ResidentData[[#This Row],[S22]]=TRUE,Tbl_ResidentData[[#This Row],[P22]]=TRUE),1,0)</f>
        <v>0</v>
      </c>
      <c r="DK124" s="120">
        <f ca="1">IF(OR(Tbl_ResidentData[[#This Row],[S23]]=TRUE,Tbl_ResidentData[[#This Row],[P23]]=TRUE),1,0)</f>
        <v>0</v>
      </c>
      <c r="DL124" s="120">
        <f ca="1">IF(OR(Tbl_ResidentData[[#This Row],[S24]]=TRUE,Tbl_ResidentData[[#This Row],[P24]]=TRUE),1,0)</f>
        <v>0</v>
      </c>
      <c r="DM124" s="123" t="str">
        <f ca="1">IFERROR(INDEX($CO$4:$DL$4,MATCH(TRUE,INDEX((Tbl_ResidentData[[#This Row],[Over1]:[Over24]]&lt;&gt;0),0),0)),"")</f>
        <v/>
      </c>
      <c r="DN124" s="133" t="str">
        <f>IFERROR(INDEX(Tbl_PDSAData[Last DRT],MATCH(Tbl_ResidentData[Resident Name '[last, first']],Tbl_PDSAData[Resident Name (last, first)],0)),"")</f>
        <v/>
      </c>
      <c r="DO124" s="222" t="str">
        <f>IFERROR(INDEX(Tbl_PDSAData[Last MR],MATCH(Tbl_ResidentData[Resident Name '[last, first']],Tbl_PDSAData[Resident Name (last, first)],0)),"")</f>
        <v/>
      </c>
    </row>
    <row r="125" spans="1:119" x14ac:dyDescent="0.25">
      <c r="A125" s="179"/>
      <c r="B125" s="180"/>
      <c r="C125" s="180"/>
      <c r="D125" s="218"/>
      <c r="E125" s="179"/>
      <c r="F125" s="181"/>
      <c r="G125" s="181"/>
      <c r="H125" s="375"/>
      <c r="I125" s="185"/>
      <c r="J125" s="387"/>
      <c r="K125" s="178"/>
      <c r="L125" s="388"/>
      <c r="M125" s="185"/>
      <c r="N125" s="386"/>
      <c r="O125" s="178"/>
      <c r="P125" s="388"/>
      <c r="Q125" s="395"/>
      <c r="R125" s="396"/>
      <c r="S125" s="131" t="str">
        <f>IF(ISBLANK(Tbl_ResidentData[[#This Row],[Discharge '[mmm-yyyy']]]),IF(ISBLANK(Tbl_ResidentData[[#This Row],[Enrollment '[mmm-yyyy']]]),"","In Care Home"),"Discharged")</f>
        <v/>
      </c>
      <c r="T125" s="119" t="str">
        <f>IF(ISBLANK(Tbl_ResidentData[[#This Row],[Diagnosis (RAI)]]),IF(ISBLANK(Tbl_ResidentData[[#This Row],[Resident Name '[last, first']]]),"",0),IF(Tbl_ResidentData[[#This Row],[Diagnosis (RAI)]]="Other (see clinical notes)",0,1))</f>
        <v/>
      </c>
      <c r="U125" s="120" t="str">
        <f ca="1">IF(U$4&gt;NOW(),"-",IF(ISBLANK(Tbl_ResidentData[[#This Row],[Enrollment '[mmm-yyyy']]]),"-",AND((Tbl_ResidentData[[#This Row],[Enrollment '[mmm-yyyy']]]&lt;=U$4),IF(ISBLANK(Tbl_ResidentData[[#This Row],[Discharge '[mmm-yyyy']]]),TRUE,(Tbl_ResidentData[[#This Row],[Discharge '[mmm-yyyy']]]&gt;=U$4)))))</f>
        <v>-</v>
      </c>
      <c r="V125" s="121" t="str">
        <f ca="1">IF(V$4&gt;NOW(),"-",IF(ISBLANK(Tbl_ResidentData[[#This Row],[Enrollment '[mmm-yyyy']]]),"-",AND((Tbl_ResidentData[[#This Row],[Enrollment '[mmm-yyyy']]]&lt;=V$4),IF(ISBLANK(Tbl_ResidentData[[#This Row],[Discharge '[mmm-yyyy']]]),TRUE,(Tbl_ResidentData[[#This Row],[Discharge '[mmm-yyyy']]]&gt;=V$4)))))</f>
        <v>-</v>
      </c>
      <c r="W125" s="121" t="str">
        <f ca="1">IF(W$4&gt;NOW(),"-",IF(ISBLANK(Tbl_ResidentData[[#This Row],[Enrollment '[mmm-yyyy']]]),"-",AND((Tbl_ResidentData[[#This Row],[Enrollment '[mmm-yyyy']]]&lt;=W$4),IF(ISBLANK(Tbl_ResidentData[[#This Row],[Discharge '[mmm-yyyy']]]),TRUE,(Tbl_ResidentData[[#This Row],[Discharge '[mmm-yyyy']]]&gt;=W$4)))))</f>
        <v>-</v>
      </c>
      <c r="X125" s="121" t="str">
        <f ca="1">IF(X$4&gt;NOW(),"-",IF(ISBLANK(Tbl_ResidentData[[#This Row],[Enrollment '[mmm-yyyy']]]),"-",AND((Tbl_ResidentData[[#This Row],[Enrollment '[mmm-yyyy']]]&lt;=X$4),IF(ISBLANK(Tbl_ResidentData[[#This Row],[Discharge '[mmm-yyyy']]]),TRUE,(Tbl_ResidentData[[#This Row],[Discharge '[mmm-yyyy']]]&gt;=X$4)))))</f>
        <v>-</v>
      </c>
      <c r="Y125" s="121" t="str">
        <f ca="1">IF(Y$4&gt;NOW(),"-",IF(ISBLANK(Tbl_ResidentData[[#This Row],[Enrollment '[mmm-yyyy']]]),"-",AND((Tbl_ResidentData[[#This Row],[Enrollment '[mmm-yyyy']]]&lt;=Y$4),IF(ISBLANK(Tbl_ResidentData[[#This Row],[Discharge '[mmm-yyyy']]]),TRUE,(Tbl_ResidentData[[#This Row],[Discharge '[mmm-yyyy']]]&gt;=Y$4)))))</f>
        <v>-</v>
      </c>
      <c r="Z125" s="121" t="str">
        <f ca="1">IF(Z$4&gt;NOW(),"-",IF(ISBLANK(Tbl_ResidentData[[#This Row],[Enrollment '[mmm-yyyy']]]),"-",AND((Tbl_ResidentData[[#This Row],[Enrollment '[mmm-yyyy']]]&lt;=Z$4),IF(ISBLANK(Tbl_ResidentData[[#This Row],[Discharge '[mmm-yyyy']]]),TRUE,(Tbl_ResidentData[[#This Row],[Discharge '[mmm-yyyy']]]&gt;=Z$4)))))</f>
        <v>-</v>
      </c>
      <c r="AA125" s="121" t="str">
        <f ca="1">IF(AA$4&gt;NOW(),"-",IF(ISBLANK(Tbl_ResidentData[[#This Row],[Enrollment '[mmm-yyyy']]]),"-",AND((Tbl_ResidentData[[#This Row],[Enrollment '[mmm-yyyy']]]&lt;=AA$4),IF(ISBLANK(Tbl_ResidentData[[#This Row],[Discharge '[mmm-yyyy']]]),TRUE,(Tbl_ResidentData[[#This Row],[Discharge '[mmm-yyyy']]]&gt;=AA$4)))))</f>
        <v>-</v>
      </c>
      <c r="AB125" s="121" t="str">
        <f ca="1">IF(AB$4&gt;NOW(),"-",IF(ISBLANK(Tbl_ResidentData[[#This Row],[Enrollment '[mmm-yyyy']]]),"-",AND((Tbl_ResidentData[[#This Row],[Enrollment '[mmm-yyyy']]]&lt;=AB$4),IF(ISBLANK(Tbl_ResidentData[[#This Row],[Discharge '[mmm-yyyy']]]),TRUE,(Tbl_ResidentData[[#This Row],[Discharge '[mmm-yyyy']]]&gt;=AB$4)))))</f>
        <v>-</v>
      </c>
      <c r="AC125" s="121" t="str">
        <f ca="1">IF(AC$4&gt;NOW(),"-",IF(ISBLANK(Tbl_ResidentData[[#This Row],[Enrollment '[mmm-yyyy']]]),"-",AND((Tbl_ResidentData[[#This Row],[Enrollment '[mmm-yyyy']]]&lt;=AC$4),IF(ISBLANK(Tbl_ResidentData[[#This Row],[Discharge '[mmm-yyyy']]]),TRUE,(Tbl_ResidentData[[#This Row],[Discharge '[mmm-yyyy']]]&gt;=AC$4)))))</f>
        <v>-</v>
      </c>
      <c r="AD125" s="121" t="str">
        <f ca="1">IF(AD$4&gt;NOW(),"-",IF(ISBLANK(Tbl_ResidentData[[#This Row],[Enrollment '[mmm-yyyy']]]),"-",AND((Tbl_ResidentData[[#This Row],[Enrollment '[mmm-yyyy']]]&lt;=AD$4),IF(ISBLANK(Tbl_ResidentData[[#This Row],[Discharge '[mmm-yyyy']]]),TRUE,(Tbl_ResidentData[[#This Row],[Discharge '[mmm-yyyy']]]&gt;=AD$4)))))</f>
        <v>-</v>
      </c>
      <c r="AE125" s="121" t="str">
        <f ca="1">IF(AE$4&gt;NOW(),"-",IF(ISBLANK(Tbl_ResidentData[[#This Row],[Enrollment '[mmm-yyyy']]]),"-",AND((Tbl_ResidentData[[#This Row],[Enrollment '[mmm-yyyy']]]&lt;=AE$4),IF(ISBLANK(Tbl_ResidentData[[#This Row],[Discharge '[mmm-yyyy']]]),TRUE,(Tbl_ResidentData[[#This Row],[Discharge '[mmm-yyyy']]]&gt;=AE$4)))))</f>
        <v>-</v>
      </c>
      <c r="AF125" s="121" t="str">
        <f ca="1">IF(AF$4&gt;NOW(),"-",IF(ISBLANK(Tbl_ResidentData[[#This Row],[Enrollment '[mmm-yyyy']]]),"-",AND((Tbl_ResidentData[[#This Row],[Enrollment '[mmm-yyyy']]]&lt;=AF$4),IF(ISBLANK(Tbl_ResidentData[[#This Row],[Discharge '[mmm-yyyy']]]),TRUE,(Tbl_ResidentData[[#This Row],[Discharge '[mmm-yyyy']]]&gt;=AF$4)))))</f>
        <v>-</v>
      </c>
      <c r="AG125" s="121" t="str">
        <f ca="1">IF(AG$4&gt;NOW(),"-",IF(ISBLANK(Tbl_ResidentData[[#This Row],[Enrollment '[mmm-yyyy']]]),"-",AND((Tbl_ResidentData[[#This Row],[Enrollment '[mmm-yyyy']]]&lt;=AG$4),IF(ISBLANK(Tbl_ResidentData[[#This Row],[Discharge '[mmm-yyyy']]]),TRUE,(Tbl_ResidentData[[#This Row],[Discharge '[mmm-yyyy']]]&gt;=AG$4)))))</f>
        <v>-</v>
      </c>
      <c r="AH125" s="121" t="str">
        <f ca="1">IF(AH$4&gt;NOW(),"-",IF(ISBLANK(Tbl_ResidentData[[#This Row],[Enrollment '[mmm-yyyy']]]),"-",AND((Tbl_ResidentData[[#This Row],[Enrollment '[mmm-yyyy']]]&lt;=AH$4),IF(ISBLANK(Tbl_ResidentData[[#This Row],[Discharge '[mmm-yyyy']]]),TRUE,(Tbl_ResidentData[[#This Row],[Discharge '[mmm-yyyy']]]&gt;=AH$4)))))</f>
        <v>-</v>
      </c>
      <c r="AI125" s="121" t="str">
        <f ca="1">IF(AI$4&gt;NOW(),"-",IF(ISBLANK(Tbl_ResidentData[[#This Row],[Enrollment '[mmm-yyyy']]]),"-",AND((Tbl_ResidentData[[#This Row],[Enrollment '[mmm-yyyy']]]&lt;=AI$4),IF(ISBLANK(Tbl_ResidentData[[#This Row],[Discharge '[mmm-yyyy']]]),TRUE,(Tbl_ResidentData[[#This Row],[Discharge '[mmm-yyyy']]]&gt;=AI$4)))))</f>
        <v>-</v>
      </c>
      <c r="AJ125" s="121" t="str">
        <f ca="1">IF(AJ$4&gt;NOW(),"-",IF(ISBLANK(Tbl_ResidentData[[#This Row],[Enrollment '[mmm-yyyy']]]),"-",AND((Tbl_ResidentData[[#This Row],[Enrollment '[mmm-yyyy']]]&lt;=AJ$4),IF(ISBLANK(Tbl_ResidentData[[#This Row],[Discharge '[mmm-yyyy']]]),TRUE,(Tbl_ResidentData[[#This Row],[Discharge '[mmm-yyyy']]]&gt;=AJ$4)))))</f>
        <v>-</v>
      </c>
      <c r="AK125" s="121" t="str">
        <f ca="1">IF(AK$4&gt;NOW(),"-",IF(ISBLANK(Tbl_ResidentData[[#This Row],[Enrollment '[mmm-yyyy']]]),"-",AND((Tbl_ResidentData[[#This Row],[Enrollment '[mmm-yyyy']]]&lt;=AK$4),IF(ISBLANK(Tbl_ResidentData[[#This Row],[Discharge '[mmm-yyyy']]]),TRUE,(Tbl_ResidentData[[#This Row],[Discharge '[mmm-yyyy']]]&gt;=AK$4)))))</f>
        <v>-</v>
      </c>
      <c r="AL125" s="121" t="str">
        <f ca="1">IF(AL$4&gt;NOW(),"-",IF(ISBLANK(Tbl_ResidentData[[#This Row],[Enrollment '[mmm-yyyy']]]),"-",AND((Tbl_ResidentData[[#This Row],[Enrollment '[mmm-yyyy']]]&lt;=AL$4),IF(ISBLANK(Tbl_ResidentData[[#This Row],[Discharge '[mmm-yyyy']]]),TRUE,(Tbl_ResidentData[[#This Row],[Discharge '[mmm-yyyy']]]&gt;=AL$4)))))</f>
        <v>-</v>
      </c>
      <c r="AM125" s="121" t="str">
        <f ca="1">IF(AM$4&gt;NOW(),"-",IF(ISBLANK(Tbl_ResidentData[[#This Row],[Enrollment '[mmm-yyyy']]]),"-",AND((Tbl_ResidentData[[#This Row],[Enrollment '[mmm-yyyy']]]&lt;=AM$4),IF(ISBLANK(Tbl_ResidentData[[#This Row],[Discharge '[mmm-yyyy']]]),TRUE,(Tbl_ResidentData[[#This Row],[Discharge '[mmm-yyyy']]]&gt;=AM$4)))))</f>
        <v>-</v>
      </c>
      <c r="AN125" s="121" t="str">
        <f ca="1">IF(AN$4&gt;NOW(),"-",IF(ISBLANK(Tbl_ResidentData[[#This Row],[Enrollment '[mmm-yyyy']]]),"-",AND((Tbl_ResidentData[[#This Row],[Enrollment '[mmm-yyyy']]]&lt;=AN$4),IF(ISBLANK(Tbl_ResidentData[[#This Row],[Discharge '[mmm-yyyy']]]),TRUE,(Tbl_ResidentData[[#This Row],[Discharge '[mmm-yyyy']]]&gt;=AN$4)))))</f>
        <v>-</v>
      </c>
      <c r="AO125" s="121" t="str">
        <f ca="1">IF(AO$4&gt;NOW(),"-",IF(ISBLANK(Tbl_ResidentData[[#This Row],[Enrollment '[mmm-yyyy']]]),"-",AND((Tbl_ResidentData[[#This Row],[Enrollment '[mmm-yyyy']]]&lt;=AO$4),IF(ISBLANK(Tbl_ResidentData[[#This Row],[Discharge '[mmm-yyyy']]]),TRUE,(Tbl_ResidentData[[#This Row],[Discharge '[mmm-yyyy']]]&gt;=AO$4)))))</f>
        <v>-</v>
      </c>
      <c r="AP125" s="121" t="str">
        <f ca="1">IF(AP$4&gt;NOW(),"-",IF(ISBLANK(Tbl_ResidentData[[#This Row],[Enrollment '[mmm-yyyy']]]),"-",AND((Tbl_ResidentData[[#This Row],[Enrollment '[mmm-yyyy']]]&lt;=AP$4),IF(ISBLANK(Tbl_ResidentData[[#This Row],[Discharge '[mmm-yyyy']]]),TRUE,(Tbl_ResidentData[[#This Row],[Discharge '[mmm-yyyy']]]&gt;=AP$4)))))</f>
        <v>-</v>
      </c>
      <c r="AQ125" s="121" t="str">
        <f ca="1">IF(AQ$4&gt;NOW(),"-",IF(ISBLANK(Tbl_ResidentData[[#This Row],[Enrollment '[mmm-yyyy']]]),"-",AND((Tbl_ResidentData[[#This Row],[Enrollment '[mmm-yyyy']]]&lt;=AQ$4),IF(ISBLANK(Tbl_ResidentData[[#This Row],[Discharge '[mmm-yyyy']]]),TRUE,(Tbl_ResidentData[[#This Row],[Discharge '[mmm-yyyy']]]&gt;=AQ$4)))))</f>
        <v>-</v>
      </c>
      <c r="AR125" s="122" t="str">
        <f ca="1">IF(AR$4&gt;NOW(),"-",IF(ISBLANK(Tbl_ResidentData[[#This Row],[Enrollment '[mmm-yyyy']]]),"-",AND((Tbl_ResidentData[[#This Row],[Enrollment '[mmm-yyyy']]]&lt;=AR$4),IF(ISBLANK(Tbl_ResidentData[[#This Row],[Discharge '[mmm-yyyy']]]),TRUE,(Tbl_ResidentData[[#This Row],[Discharge '[mmm-yyyy']]]&gt;=AR$4)))))</f>
        <v>-</v>
      </c>
      <c r="AS12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5" s="120" t="b">
        <f ca="1">AND(Tbl_ResidentData[[#This Row],[PRN Med Started]]&lt;&gt;"",Tbl_ResidentData[[#This Row],[PRN Med Started]]&lt;=NOW(),Tbl_ResidentData[[#This Row],[PRN Med Started]]&lt;=AS$4,OR(Tbl_ResidentData[[#This Row],[PRN Med Discontinued]]&gt;AS$4,ISBLANK(Tbl_ResidentData[[#This Row],[PRN Med Discontinued]])))</f>
        <v>0</v>
      </c>
      <c r="BR125" s="121" t="b">
        <f ca="1">AND(Tbl_ResidentData[[#This Row],[PRN Med Started]]&lt;&gt;"",Tbl_ResidentData[[#This Row],[PRN Med Started]]&lt;=NOW(),Tbl_ResidentData[[#This Row],[PRN Med Started]]&lt;=AT$4,OR(Tbl_ResidentData[[#This Row],[PRN Med Discontinued]]&gt;AT$4,ISBLANK(Tbl_ResidentData[[#This Row],[PRN Med Discontinued]])))</f>
        <v>0</v>
      </c>
      <c r="BS125" s="121" t="b">
        <f ca="1">AND(Tbl_ResidentData[[#This Row],[PRN Med Started]]&lt;&gt;"",Tbl_ResidentData[[#This Row],[PRN Med Started]]&lt;=NOW(),Tbl_ResidentData[[#This Row],[PRN Med Started]]&lt;=AU$4,OR(Tbl_ResidentData[[#This Row],[PRN Med Discontinued]]&gt;AU$4,ISBLANK(Tbl_ResidentData[[#This Row],[PRN Med Discontinued]])))</f>
        <v>0</v>
      </c>
      <c r="BT125" s="121" t="b">
        <f ca="1">AND(Tbl_ResidentData[[#This Row],[PRN Med Started]]&lt;&gt;"",Tbl_ResidentData[[#This Row],[PRN Med Started]]&lt;=NOW(),Tbl_ResidentData[[#This Row],[PRN Med Started]]&lt;=AV$4,OR(Tbl_ResidentData[[#This Row],[PRN Med Discontinued]]&gt;AV$4,ISBLANK(Tbl_ResidentData[[#This Row],[PRN Med Discontinued]])))</f>
        <v>0</v>
      </c>
      <c r="BU125" s="121" t="b">
        <f ca="1">AND(Tbl_ResidentData[[#This Row],[PRN Med Started]]&lt;&gt;"",Tbl_ResidentData[[#This Row],[PRN Med Started]]&lt;=NOW(),Tbl_ResidentData[[#This Row],[PRN Med Started]]&lt;=AW$4,OR(Tbl_ResidentData[[#This Row],[PRN Med Discontinued]]&gt;AW$4,ISBLANK(Tbl_ResidentData[[#This Row],[PRN Med Discontinued]])))</f>
        <v>0</v>
      </c>
      <c r="BV125" s="121" t="b">
        <f ca="1">AND(Tbl_ResidentData[[#This Row],[PRN Med Started]]&lt;&gt;"",Tbl_ResidentData[[#This Row],[PRN Med Started]]&lt;=NOW(),Tbl_ResidentData[[#This Row],[PRN Med Started]]&lt;=AX$4,OR(Tbl_ResidentData[[#This Row],[PRN Med Discontinued]]&gt;AX$4,ISBLANK(Tbl_ResidentData[[#This Row],[PRN Med Discontinued]])))</f>
        <v>0</v>
      </c>
      <c r="BW125" s="121" t="b">
        <f ca="1">AND(Tbl_ResidentData[[#This Row],[PRN Med Started]]&lt;&gt;"",Tbl_ResidentData[[#This Row],[PRN Med Started]]&lt;=NOW(),Tbl_ResidentData[[#This Row],[PRN Med Started]]&lt;=AY$4,OR(Tbl_ResidentData[[#This Row],[PRN Med Discontinued]]&gt;AY$4,ISBLANK(Tbl_ResidentData[[#This Row],[PRN Med Discontinued]])))</f>
        <v>0</v>
      </c>
      <c r="BX125" s="121" t="b">
        <f ca="1">AND(Tbl_ResidentData[[#This Row],[PRN Med Started]]&lt;&gt;"",Tbl_ResidentData[[#This Row],[PRN Med Started]]&lt;=NOW(),Tbl_ResidentData[[#This Row],[PRN Med Started]]&lt;=AZ$4,OR(Tbl_ResidentData[[#This Row],[PRN Med Discontinued]]&gt;AZ$4,ISBLANK(Tbl_ResidentData[[#This Row],[PRN Med Discontinued]])))</f>
        <v>0</v>
      </c>
      <c r="BY125" s="121" t="b">
        <f ca="1">AND(Tbl_ResidentData[[#This Row],[PRN Med Started]]&lt;&gt;"",Tbl_ResidentData[[#This Row],[PRN Med Started]]&lt;=NOW(),Tbl_ResidentData[[#This Row],[PRN Med Started]]&lt;=BA$4,OR(Tbl_ResidentData[[#This Row],[PRN Med Discontinued]]&gt;BA$4,ISBLANK(Tbl_ResidentData[[#This Row],[PRN Med Discontinued]])))</f>
        <v>0</v>
      </c>
      <c r="BZ125" s="121" t="b">
        <f ca="1">AND(Tbl_ResidentData[[#This Row],[PRN Med Started]]&lt;&gt;"",Tbl_ResidentData[[#This Row],[PRN Med Started]]&lt;=NOW(),Tbl_ResidentData[[#This Row],[PRN Med Started]]&lt;=BB$4,OR(Tbl_ResidentData[[#This Row],[PRN Med Discontinued]]&gt;BB$4,ISBLANK(Tbl_ResidentData[[#This Row],[PRN Med Discontinued]])))</f>
        <v>0</v>
      </c>
      <c r="CA125" s="121" t="b">
        <f ca="1">AND(Tbl_ResidentData[[#This Row],[PRN Med Started]]&lt;&gt;"",Tbl_ResidentData[[#This Row],[PRN Med Started]]&lt;=NOW(),Tbl_ResidentData[[#This Row],[PRN Med Started]]&lt;=BC$4,OR(Tbl_ResidentData[[#This Row],[PRN Med Discontinued]]&gt;BC$4,ISBLANK(Tbl_ResidentData[[#This Row],[PRN Med Discontinued]])))</f>
        <v>0</v>
      </c>
      <c r="CB125" s="121" t="b">
        <f ca="1">AND(Tbl_ResidentData[[#This Row],[PRN Med Started]]&lt;&gt;"",Tbl_ResidentData[[#This Row],[PRN Med Started]]&lt;=NOW(),Tbl_ResidentData[[#This Row],[PRN Med Started]]&lt;=BD$4,OR(Tbl_ResidentData[[#This Row],[PRN Med Discontinued]]&gt;BD$4,ISBLANK(Tbl_ResidentData[[#This Row],[PRN Med Discontinued]])))</f>
        <v>0</v>
      </c>
      <c r="CC125" s="121" t="b">
        <f ca="1">AND(Tbl_ResidentData[[#This Row],[PRN Med Started]]&lt;&gt;"",Tbl_ResidentData[[#This Row],[PRN Med Started]]&lt;=NOW(),Tbl_ResidentData[[#This Row],[PRN Med Started]]&lt;=BE$4,OR(Tbl_ResidentData[[#This Row],[PRN Med Discontinued]]&gt;BE$4,ISBLANK(Tbl_ResidentData[[#This Row],[PRN Med Discontinued]])))</f>
        <v>0</v>
      </c>
      <c r="CD125" s="121" t="b">
        <f ca="1">AND(Tbl_ResidentData[[#This Row],[PRN Med Started]]&lt;&gt;"",Tbl_ResidentData[[#This Row],[PRN Med Started]]&lt;=NOW(),Tbl_ResidentData[[#This Row],[PRN Med Started]]&lt;=BF$4,OR(Tbl_ResidentData[[#This Row],[PRN Med Discontinued]]&gt;BF$4,ISBLANK(Tbl_ResidentData[[#This Row],[PRN Med Discontinued]])))</f>
        <v>0</v>
      </c>
      <c r="CE125" s="121" t="b">
        <f ca="1">AND(Tbl_ResidentData[[#This Row],[PRN Med Started]]&lt;&gt;"",Tbl_ResidentData[[#This Row],[PRN Med Started]]&lt;=NOW(),Tbl_ResidentData[[#This Row],[PRN Med Started]]&lt;=BG$4,OR(Tbl_ResidentData[[#This Row],[PRN Med Discontinued]]&gt;BG$4,ISBLANK(Tbl_ResidentData[[#This Row],[PRN Med Discontinued]])))</f>
        <v>0</v>
      </c>
      <c r="CF125" s="121" t="b">
        <f ca="1">AND(Tbl_ResidentData[[#This Row],[PRN Med Started]]&lt;&gt;"",Tbl_ResidentData[[#This Row],[PRN Med Started]]&lt;=NOW(),Tbl_ResidentData[[#This Row],[PRN Med Started]]&lt;=BH$4,OR(Tbl_ResidentData[[#This Row],[PRN Med Discontinued]]&gt;BH$4,ISBLANK(Tbl_ResidentData[[#This Row],[PRN Med Discontinued]])))</f>
        <v>0</v>
      </c>
      <c r="CG125" s="121" t="b">
        <f ca="1">AND(Tbl_ResidentData[[#This Row],[PRN Med Started]]&lt;&gt;"",Tbl_ResidentData[[#This Row],[PRN Med Started]]&lt;=NOW(),Tbl_ResidentData[[#This Row],[PRN Med Started]]&lt;=BI$4,OR(Tbl_ResidentData[[#This Row],[PRN Med Discontinued]]&gt;BI$4,ISBLANK(Tbl_ResidentData[[#This Row],[PRN Med Discontinued]])))</f>
        <v>0</v>
      </c>
      <c r="CH125" s="121" t="b">
        <f ca="1">AND(Tbl_ResidentData[[#This Row],[PRN Med Started]]&lt;&gt;"",Tbl_ResidentData[[#This Row],[PRN Med Started]]&lt;=NOW(),Tbl_ResidentData[[#This Row],[PRN Med Started]]&lt;=BJ$4,OR(Tbl_ResidentData[[#This Row],[PRN Med Discontinued]]&gt;BJ$4,ISBLANK(Tbl_ResidentData[[#This Row],[PRN Med Discontinued]])))</f>
        <v>0</v>
      </c>
      <c r="CI125" s="121" t="b">
        <f ca="1">AND(Tbl_ResidentData[[#This Row],[PRN Med Started]]&lt;&gt;"",Tbl_ResidentData[[#This Row],[PRN Med Started]]&lt;=NOW(),Tbl_ResidentData[[#This Row],[PRN Med Started]]&lt;=BK$4,OR(Tbl_ResidentData[[#This Row],[PRN Med Discontinued]]&gt;BK$4,ISBLANK(Tbl_ResidentData[[#This Row],[PRN Med Discontinued]])))</f>
        <v>0</v>
      </c>
      <c r="CJ125" s="121" t="b">
        <f ca="1">AND(Tbl_ResidentData[[#This Row],[PRN Med Started]]&lt;&gt;"",Tbl_ResidentData[[#This Row],[PRN Med Started]]&lt;=NOW(),Tbl_ResidentData[[#This Row],[PRN Med Started]]&lt;=BL$4,OR(Tbl_ResidentData[[#This Row],[PRN Med Discontinued]]&gt;BL$4,ISBLANK(Tbl_ResidentData[[#This Row],[PRN Med Discontinued]])))</f>
        <v>0</v>
      </c>
      <c r="CK125" s="121" t="b">
        <f ca="1">AND(Tbl_ResidentData[[#This Row],[PRN Med Started]]&lt;&gt;"",Tbl_ResidentData[[#This Row],[PRN Med Started]]&lt;=NOW(),Tbl_ResidentData[[#This Row],[PRN Med Started]]&lt;=BM$4,OR(Tbl_ResidentData[[#This Row],[PRN Med Discontinued]]&gt;BM$4,ISBLANK(Tbl_ResidentData[[#This Row],[PRN Med Discontinued]])))</f>
        <v>0</v>
      </c>
      <c r="CL125" s="121" t="b">
        <f ca="1">AND(Tbl_ResidentData[[#This Row],[PRN Med Started]]&lt;&gt;"",Tbl_ResidentData[[#This Row],[PRN Med Started]]&lt;=NOW(),Tbl_ResidentData[[#This Row],[PRN Med Started]]&lt;=BN$4,OR(Tbl_ResidentData[[#This Row],[PRN Med Discontinued]]&gt;BN$4,ISBLANK(Tbl_ResidentData[[#This Row],[PRN Med Discontinued]])))</f>
        <v>0</v>
      </c>
      <c r="CM125" s="121" t="b">
        <f ca="1">AND(Tbl_ResidentData[[#This Row],[PRN Med Started]]&lt;&gt;"",Tbl_ResidentData[[#This Row],[PRN Med Started]]&lt;=NOW(),Tbl_ResidentData[[#This Row],[PRN Med Started]]&lt;=BO$4,OR(Tbl_ResidentData[[#This Row],[PRN Med Discontinued]]&gt;BO$4,ISBLANK(Tbl_ResidentData[[#This Row],[PRN Med Discontinued]])))</f>
        <v>0</v>
      </c>
      <c r="CN125" s="122" t="b">
        <f ca="1">AND(Tbl_ResidentData[[#This Row],[PRN Med Started]]&lt;&gt;"",Tbl_ResidentData[[#This Row],[PRN Med Started]]&lt;=NOW(),Tbl_ResidentData[[#This Row],[PRN Med Started]]&lt;=BP$4,OR(Tbl_ResidentData[[#This Row],[PRN Med Discontinued]]&gt;BP$4,ISBLANK(Tbl_ResidentData[[#This Row],[PRN Med Discontinued]])))</f>
        <v>0</v>
      </c>
      <c r="CO125" s="120">
        <f ca="1">IF(OR(Tbl_ResidentData[[#This Row],[S1]]=TRUE,Tbl_ResidentData[[#This Row],[P1]]=TRUE),1,0)</f>
        <v>0</v>
      </c>
      <c r="CP125" s="121">
        <f ca="1">IF(OR(Tbl_ResidentData[[#This Row],[S2]]=TRUE,Tbl_ResidentData[[#This Row],[P2]]=TRUE),1,0)</f>
        <v>0</v>
      </c>
      <c r="CQ125" s="121">
        <f ca="1">IF(OR(Tbl_ResidentData[[#This Row],[S3]]=TRUE,Tbl_ResidentData[[#This Row],[P3]]=TRUE),1,0)</f>
        <v>0</v>
      </c>
      <c r="CR125" s="120">
        <f ca="1">IF(OR(Tbl_ResidentData[[#This Row],[S4]]=TRUE,Tbl_ResidentData[[#This Row],[P4]]=TRUE),1,0)</f>
        <v>0</v>
      </c>
      <c r="CS125" s="120">
        <f ca="1">IF(OR(Tbl_ResidentData[[#This Row],[S5]]=TRUE,Tbl_ResidentData[[#This Row],[P5]]=TRUE),1,0)</f>
        <v>0</v>
      </c>
      <c r="CT125" s="120">
        <f ca="1">IF(OR(Tbl_ResidentData[[#This Row],[S6]]=TRUE,Tbl_ResidentData[[#This Row],[P6]]=TRUE),1,0)</f>
        <v>0</v>
      </c>
      <c r="CU125" s="120">
        <f ca="1">IF(OR(Tbl_ResidentData[[#This Row],[S7]]=TRUE,Tbl_ResidentData[[#This Row],[P7]]=TRUE),1,0)</f>
        <v>0</v>
      </c>
      <c r="CV125" s="120">
        <f ca="1">IF(OR(Tbl_ResidentData[[#This Row],[S8]]=TRUE,Tbl_ResidentData[[#This Row],[P8]]=TRUE),1,0)</f>
        <v>0</v>
      </c>
      <c r="CW125" s="120">
        <f ca="1">IF(OR(Tbl_ResidentData[[#This Row],[S9]]=TRUE,Tbl_ResidentData[[#This Row],[P9]]=TRUE),1,0)</f>
        <v>0</v>
      </c>
      <c r="CX125" s="120">
        <f ca="1">IF(OR(Tbl_ResidentData[[#This Row],[S10]]=TRUE,Tbl_ResidentData[[#This Row],[P10]]=TRUE),1,0)</f>
        <v>0</v>
      </c>
      <c r="CY125" s="120">
        <f ca="1">IF(OR(Tbl_ResidentData[[#This Row],[S11]]=TRUE,Tbl_ResidentData[[#This Row],[P11]]=TRUE),1,0)</f>
        <v>0</v>
      </c>
      <c r="CZ125" s="120">
        <f ca="1">IF(OR(Tbl_ResidentData[[#This Row],[S12]]=TRUE,Tbl_ResidentData[[#This Row],[P12]]=TRUE),1,0)</f>
        <v>0</v>
      </c>
      <c r="DA125" s="120">
        <f ca="1">IF(OR(Tbl_ResidentData[[#This Row],[S13]]=TRUE,Tbl_ResidentData[[#This Row],[P13]]=TRUE),1,0)</f>
        <v>0</v>
      </c>
      <c r="DB125" s="120">
        <f ca="1">IF(OR(Tbl_ResidentData[[#This Row],[S14]]=TRUE,Tbl_ResidentData[[#This Row],[P14]]=TRUE),1,0)</f>
        <v>0</v>
      </c>
      <c r="DC125" s="120">
        <f ca="1">IF(OR(Tbl_ResidentData[[#This Row],[S15]]=TRUE,Tbl_ResidentData[[#This Row],[P15]]=TRUE),1,0)</f>
        <v>0</v>
      </c>
      <c r="DD125" s="120">
        <f ca="1">IF(OR(Tbl_ResidentData[[#This Row],[S16]]=TRUE,Tbl_ResidentData[[#This Row],[P16]]=TRUE),1,0)</f>
        <v>0</v>
      </c>
      <c r="DE125" s="120">
        <f ca="1">IF(OR(Tbl_ResidentData[[#This Row],[S17]]=TRUE,Tbl_ResidentData[[#This Row],[P17]]=TRUE),1,0)</f>
        <v>0</v>
      </c>
      <c r="DF125" s="120">
        <f ca="1">IF(OR(Tbl_ResidentData[[#This Row],[S18]]=TRUE,Tbl_ResidentData[[#This Row],[P18]]=TRUE),1,0)</f>
        <v>0</v>
      </c>
      <c r="DG125" s="120">
        <f ca="1">IF(OR(Tbl_ResidentData[[#This Row],[S19]]=TRUE,Tbl_ResidentData[[#This Row],[P19]]=TRUE),1,0)</f>
        <v>0</v>
      </c>
      <c r="DH125" s="120">
        <f ca="1">IF(OR(Tbl_ResidentData[[#This Row],[S20]]=TRUE,Tbl_ResidentData[[#This Row],[P20]]=TRUE),1,0)</f>
        <v>0</v>
      </c>
      <c r="DI125" s="120">
        <f ca="1">IF(OR(Tbl_ResidentData[[#This Row],[S21]]=TRUE,Tbl_ResidentData[[#This Row],[P21]]=TRUE),1,0)</f>
        <v>0</v>
      </c>
      <c r="DJ125" s="120">
        <f ca="1">IF(OR(Tbl_ResidentData[[#This Row],[S22]]=TRUE,Tbl_ResidentData[[#This Row],[P22]]=TRUE),1,0)</f>
        <v>0</v>
      </c>
      <c r="DK125" s="120">
        <f ca="1">IF(OR(Tbl_ResidentData[[#This Row],[S23]]=TRUE,Tbl_ResidentData[[#This Row],[P23]]=TRUE),1,0)</f>
        <v>0</v>
      </c>
      <c r="DL125" s="120">
        <f ca="1">IF(OR(Tbl_ResidentData[[#This Row],[S24]]=TRUE,Tbl_ResidentData[[#This Row],[P24]]=TRUE),1,0)</f>
        <v>0</v>
      </c>
      <c r="DM125" s="123" t="str">
        <f ca="1">IFERROR(INDEX($CO$4:$DL$4,MATCH(TRUE,INDEX((Tbl_ResidentData[[#This Row],[Over1]:[Over24]]&lt;&gt;0),0),0)),"")</f>
        <v/>
      </c>
      <c r="DN125" s="133" t="str">
        <f>IFERROR(INDEX(Tbl_PDSAData[Last DRT],MATCH(Tbl_ResidentData[Resident Name '[last, first']],Tbl_PDSAData[Resident Name (last, first)],0)),"")</f>
        <v/>
      </c>
      <c r="DO125" s="222" t="str">
        <f>IFERROR(INDEX(Tbl_PDSAData[Last MR],MATCH(Tbl_ResidentData[Resident Name '[last, first']],Tbl_PDSAData[Resident Name (last, first)],0)),"")</f>
        <v/>
      </c>
    </row>
    <row r="126" spans="1:119" x14ac:dyDescent="0.25">
      <c r="A126" s="179"/>
      <c r="B126" s="180"/>
      <c r="C126" s="180"/>
      <c r="D126" s="218"/>
      <c r="E126" s="179"/>
      <c r="F126" s="181"/>
      <c r="G126" s="181"/>
      <c r="H126" s="182"/>
      <c r="I126" s="185"/>
      <c r="J126" s="387"/>
      <c r="K126" s="178"/>
      <c r="L126" s="388"/>
      <c r="M126" s="185"/>
      <c r="N126" s="386"/>
      <c r="O126" s="178"/>
      <c r="P126" s="388"/>
      <c r="Q126" s="394"/>
      <c r="R126" s="388"/>
      <c r="S126" s="131" t="str">
        <f>IF(ISBLANK(Tbl_ResidentData[[#This Row],[Discharge '[mmm-yyyy']]]),IF(ISBLANK(Tbl_ResidentData[[#This Row],[Enrollment '[mmm-yyyy']]]),"","In Care Home"),"Discharged")</f>
        <v/>
      </c>
      <c r="T126" s="119" t="str">
        <f>IF(ISBLANK(Tbl_ResidentData[[#This Row],[Diagnosis (RAI)]]),IF(ISBLANK(Tbl_ResidentData[[#This Row],[Resident Name '[last, first']]]),"",0),IF(Tbl_ResidentData[[#This Row],[Diagnosis (RAI)]]="Other (see clinical notes)",0,1))</f>
        <v/>
      </c>
      <c r="U126" s="120" t="str">
        <f ca="1">IF(U$4&gt;NOW(),"-",IF(ISBLANK(Tbl_ResidentData[[#This Row],[Enrollment '[mmm-yyyy']]]),"-",AND((Tbl_ResidentData[[#This Row],[Enrollment '[mmm-yyyy']]]&lt;=U$4),IF(ISBLANK(Tbl_ResidentData[[#This Row],[Discharge '[mmm-yyyy']]]),TRUE,(Tbl_ResidentData[[#This Row],[Discharge '[mmm-yyyy']]]&gt;=U$4)))))</f>
        <v>-</v>
      </c>
      <c r="V126" s="121" t="str">
        <f ca="1">IF(V$4&gt;NOW(),"-",IF(ISBLANK(Tbl_ResidentData[[#This Row],[Enrollment '[mmm-yyyy']]]),"-",AND((Tbl_ResidentData[[#This Row],[Enrollment '[mmm-yyyy']]]&lt;=V$4),IF(ISBLANK(Tbl_ResidentData[[#This Row],[Discharge '[mmm-yyyy']]]),TRUE,(Tbl_ResidentData[[#This Row],[Discharge '[mmm-yyyy']]]&gt;=V$4)))))</f>
        <v>-</v>
      </c>
      <c r="W126" s="121" t="str">
        <f ca="1">IF(W$4&gt;NOW(),"-",IF(ISBLANK(Tbl_ResidentData[[#This Row],[Enrollment '[mmm-yyyy']]]),"-",AND((Tbl_ResidentData[[#This Row],[Enrollment '[mmm-yyyy']]]&lt;=W$4),IF(ISBLANK(Tbl_ResidentData[[#This Row],[Discharge '[mmm-yyyy']]]),TRUE,(Tbl_ResidentData[[#This Row],[Discharge '[mmm-yyyy']]]&gt;=W$4)))))</f>
        <v>-</v>
      </c>
      <c r="X126" s="121" t="str">
        <f ca="1">IF(X$4&gt;NOW(),"-",IF(ISBLANK(Tbl_ResidentData[[#This Row],[Enrollment '[mmm-yyyy']]]),"-",AND((Tbl_ResidentData[[#This Row],[Enrollment '[mmm-yyyy']]]&lt;=X$4),IF(ISBLANK(Tbl_ResidentData[[#This Row],[Discharge '[mmm-yyyy']]]),TRUE,(Tbl_ResidentData[[#This Row],[Discharge '[mmm-yyyy']]]&gt;=X$4)))))</f>
        <v>-</v>
      </c>
      <c r="Y126" s="121" t="str">
        <f ca="1">IF(Y$4&gt;NOW(),"-",IF(ISBLANK(Tbl_ResidentData[[#This Row],[Enrollment '[mmm-yyyy']]]),"-",AND((Tbl_ResidentData[[#This Row],[Enrollment '[mmm-yyyy']]]&lt;=Y$4),IF(ISBLANK(Tbl_ResidentData[[#This Row],[Discharge '[mmm-yyyy']]]),TRUE,(Tbl_ResidentData[[#This Row],[Discharge '[mmm-yyyy']]]&gt;=Y$4)))))</f>
        <v>-</v>
      </c>
      <c r="Z126" s="121" t="str">
        <f ca="1">IF(Z$4&gt;NOW(),"-",IF(ISBLANK(Tbl_ResidentData[[#This Row],[Enrollment '[mmm-yyyy']]]),"-",AND((Tbl_ResidentData[[#This Row],[Enrollment '[mmm-yyyy']]]&lt;=Z$4),IF(ISBLANK(Tbl_ResidentData[[#This Row],[Discharge '[mmm-yyyy']]]),TRUE,(Tbl_ResidentData[[#This Row],[Discharge '[mmm-yyyy']]]&gt;=Z$4)))))</f>
        <v>-</v>
      </c>
      <c r="AA126" s="121" t="str">
        <f ca="1">IF(AA$4&gt;NOW(),"-",IF(ISBLANK(Tbl_ResidentData[[#This Row],[Enrollment '[mmm-yyyy']]]),"-",AND((Tbl_ResidentData[[#This Row],[Enrollment '[mmm-yyyy']]]&lt;=AA$4),IF(ISBLANK(Tbl_ResidentData[[#This Row],[Discharge '[mmm-yyyy']]]),TRUE,(Tbl_ResidentData[[#This Row],[Discharge '[mmm-yyyy']]]&gt;=AA$4)))))</f>
        <v>-</v>
      </c>
      <c r="AB126" s="121" t="str">
        <f ca="1">IF(AB$4&gt;NOW(),"-",IF(ISBLANK(Tbl_ResidentData[[#This Row],[Enrollment '[mmm-yyyy']]]),"-",AND((Tbl_ResidentData[[#This Row],[Enrollment '[mmm-yyyy']]]&lt;=AB$4),IF(ISBLANK(Tbl_ResidentData[[#This Row],[Discharge '[mmm-yyyy']]]),TRUE,(Tbl_ResidentData[[#This Row],[Discharge '[mmm-yyyy']]]&gt;=AB$4)))))</f>
        <v>-</v>
      </c>
      <c r="AC126" s="121" t="str">
        <f ca="1">IF(AC$4&gt;NOW(),"-",IF(ISBLANK(Tbl_ResidentData[[#This Row],[Enrollment '[mmm-yyyy']]]),"-",AND((Tbl_ResidentData[[#This Row],[Enrollment '[mmm-yyyy']]]&lt;=AC$4),IF(ISBLANK(Tbl_ResidentData[[#This Row],[Discharge '[mmm-yyyy']]]),TRUE,(Tbl_ResidentData[[#This Row],[Discharge '[mmm-yyyy']]]&gt;=AC$4)))))</f>
        <v>-</v>
      </c>
      <c r="AD126" s="121" t="str">
        <f ca="1">IF(AD$4&gt;NOW(),"-",IF(ISBLANK(Tbl_ResidentData[[#This Row],[Enrollment '[mmm-yyyy']]]),"-",AND((Tbl_ResidentData[[#This Row],[Enrollment '[mmm-yyyy']]]&lt;=AD$4),IF(ISBLANK(Tbl_ResidentData[[#This Row],[Discharge '[mmm-yyyy']]]),TRUE,(Tbl_ResidentData[[#This Row],[Discharge '[mmm-yyyy']]]&gt;=AD$4)))))</f>
        <v>-</v>
      </c>
      <c r="AE126" s="121" t="str">
        <f ca="1">IF(AE$4&gt;NOW(),"-",IF(ISBLANK(Tbl_ResidentData[[#This Row],[Enrollment '[mmm-yyyy']]]),"-",AND((Tbl_ResidentData[[#This Row],[Enrollment '[mmm-yyyy']]]&lt;=AE$4),IF(ISBLANK(Tbl_ResidentData[[#This Row],[Discharge '[mmm-yyyy']]]),TRUE,(Tbl_ResidentData[[#This Row],[Discharge '[mmm-yyyy']]]&gt;=AE$4)))))</f>
        <v>-</v>
      </c>
      <c r="AF126" s="121" t="str">
        <f ca="1">IF(AF$4&gt;NOW(),"-",IF(ISBLANK(Tbl_ResidentData[[#This Row],[Enrollment '[mmm-yyyy']]]),"-",AND((Tbl_ResidentData[[#This Row],[Enrollment '[mmm-yyyy']]]&lt;=AF$4),IF(ISBLANK(Tbl_ResidentData[[#This Row],[Discharge '[mmm-yyyy']]]),TRUE,(Tbl_ResidentData[[#This Row],[Discharge '[mmm-yyyy']]]&gt;=AF$4)))))</f>
        <v>-</v>
      </c>
      <c r="AG126" s="121" t="str">
        <f ca="1">IF(AG$4&gt;NOW(),"-",IF(ISBLANK(Tbl_ResidentData[[#This Row],[Enrollment '[mmm-yyyy']]]),"-",AND((Tbl_ResidentData[[#This Row],[Enrollment '[mmm-yyyy']]]&lt;=AG$4),IF(ISBLANK(Tbl_ResidentData[[#This Row],[Discharge '[mmm-yyyy']]]),TRUE,(Tbl_ResidentData[[#This Row],[Discharge '[mmm-yyyy']]]&gt;=AG$4)))))</f>
        <v>-</v>
      </c>
      <c r="AH126" s="121" t="str">
        <f ca="1">IF(AH$4&gt;NOW(),"-",IF(ISBLANK(Tbl_ResidentData[[#This Row],[Enrollment '[mmm-yyyy']]]),"-",AND((Tbl_ResidentData[[#This Row],[Enrollment '[mmm-yyyy']]]&lt;=AH$4),IF(ISBLANK(Tbl_ResidentData[[#This Row],[Discharge '[mmm-yyyy']]]),TRUE,(Tbl_ResidentData[[#This Row],[Discharge '[mmm-yyyy']]]&gt;=AH$4)))))</f>
        <v>-</v>
      </c>
      <c r="AI126" s="121" t="str">
        <f ca="1">IF(AI$4&gt;NOW(),"-",IF(ISBLANK(Tbl_ResidentData[[#This Row],[Enrollment '[mmm-yyyy']]]),"-",AND((Tbl_ResidentData[[#This Row],[Enrollment '[mmm-yyyy']]]&lt;=AI$4),IF(ISBLANK(Tbl_ResidentData[[#This Row],[Discharge '[mmm-yyyy']]]),TRUE,(Tbl_ResidentData[[#This Row],[Discharge '[mmm-yyyy']]]&gt;=AI$4)))))</f>
        <v>-</v>
      </c>
      <c r="AJ126" s="121" t="str">
        <f ca="1">IF(AJ$4&gt;NOW(),"-",IF(ISBLANK(Tbl_ResidentData[[#This Row],[Enrollment '[mmm-yyyy']]]),"-",AND((Tbl_ResidentData[[#This Row],[Enrollment '[mmm-yyyy']]]&lt;=AJ$4),IF(ISBLANK(Tbl_ResidentData[[#This Row],[Discharge '[mmm-yyyy']]]),TRUE,(Tbl_ResidentData[[#This Row],[Discharge '[mmm-yyyy']]]&gt;=AJ$4)))))</f>
        <v>-</v>
      </c>
      <c r="AK126" s="121" t="str">
        <f ca="1">IF(AK$4&gt;NOW(),"-",IF(ISBLANK(Tbl_ResidentData[[#This Row],[Enrollment '[mmm-yyyy']]]),"-",AND((Tbl_ResidentData[[#This Row],[Enrollment '[mmm-yyyy']]]&lt;=AK$4),IF(ISBLANK(Tbl_ResidentData[[#This Row],[Discharge '[mmm-yyyy']]]),TRUE,(Tbl_ResidentData[[#This Row],[Discharge '[mmm-yyyy']]]&gt;=AK$4)))))</f>
        <v>-</v>
      </c>
      <c r="AL126" s="121" t="str">
        <f ca="1">IF(AL$4&gt;NOW(),"-",IF(ISBLANK(Tbl_ResidentData[[#This Row],[Enrollment '[mmm-yyyy']]]),"-",AND((Tbl_ResidentData[[#This Row],[Enrollment '[mmm-yyyy']]]&lt;=AL$4),IF(ISBLANK(Tbl_ResidentData[[#This Row],[Discharge '[mmm-yyyy']]]),TRUE,(Tbl_ResidentData[[#This Row],[Discharge '[mmm-yyyy']]]&gt;=AL$4)))))</f>
        <v>-</v>
      </c>
      <c r="AM126" s="121" t="str">
        <f ca="1">IF(AM$4&gt;NOW(),"-",IF(ISBLANK(Tbl_ResidentData[[#This Row],[Enrollment '[mmm-yyyy']]]),"-",AND((Tbl_ResidentData[[#This Row],[Enrollment '[mmm-yyyy']]]&lt;=AM$4),IF(ISBLANK(Tbl_ResidentData[[#This Row],[Discharge '[mmm-yyyy']]]),TRUE,(Tbl_ResidentData[[#This Row],[Discharge '[mmm-yyyy']]]&gt;=AM$4)))))</f>
        <v>-</v>
      </c>
      <c r="AN126" s="121" t="str">
        <f ca="1">IF(AN$4&gt;NOW(),"-",IF(ISBLANK(Tbl_ResidentData[[#This Row],[Enrollment '[mmm-yyyy']]]),"-",AND((Tbl_ResidentData[[#This Row],[Enrollment '[mmm-yyyy']]]&lt;=AN$4),IF(ISBLANK(Tbl_ResidentData[[#This Row],[Discharge '[mmm-yyyy']]]),TRUE,(Tbl_ResidentData[[#This Row],[Discharge '[mmm-yyyy']]]&gt;=AN$4)))))</f>
        <v>-</v>
      </c>
      <c r="AO126" s="121" t="str">
        <f ca="1">IF(AO$4&gt;NOW(),"-",IF(ISBLANK(Tbl_ResidentData[[#This Row],[Enrollment '[mmm-yyyy']]]),"-",AND((Tbl_ResidentData[[#This Row],[Enrollment '[mmm-yyyy']]]&lt;=AO$4),IF(ISBLANK(Tbl_ResidentData[[#This Row],[Discharge '[mmm-yyyy']]]),TRUE,(Tbl_ResidentData[[#This Row],[Discharge '[mmm-yyyy']]]&gt;=AO$4)))))</f>
        <v>-</v>
      </c>
      <c r="AP126" s="121" t="str">
        <f ca="1">IF(AP$4&gt;NOW(),"-",IF(ISBLANK(Tbl_ResidentData[[#This Row],[Enrollment '[mmm-yyyy']]]),"-",AND((Tbl_ResidentData[[#This Row],[Enrollment '[mmm-yyyy']]]&lt;=AP$4),IF(ISBLANK(Tbl_ResidentData[[#This Row],[Discharge '[mmm-yyyy']]]),TRUE,(Tbl_ResidentData[[#This Row],[Discharge '[mmm-yyyy']]]&gt;=AP$4)))))</f>
        <v>-</v>
      </c>
      <c r="AQ126" s="121" t="str">
        <f ca="1">IF(AQ$4&gt;NOW(),"-",IF(ISBLANK(Tbl_ResidentData[[#This Row],[Enrollment '[mmm-yyyy']]]),"-",AND((Tbl_ResidentData[[#This Row],[Enrollment '[mmm-yyyy']]]&lt;=AQ$4),IF(ISBLANK(Tbl_ResidentData[[#This Row],[Discharge '[mmm-yyyy']]]),TRUE,(Tbl_ResidentData[[#This Row],[Discharge '[mmm-yyyy']]]&gt;=AQ$4)))))</f>
        <v>-</v>
      </c>
      <c r="AR126" s="122" t="str">
        <f ca="1">IF(AR$4&gt;NOW(),"-",IF(ISBLANK(Tbl_ResidentData[[#This Row],[Enrollment '[mmm-yyyy']]]),"-",AND((Tbl_ResidentData[[#This Row],[Enrollment '[mmm-yyyy']]]&lt;=AR$4),IF(ISBLANK(Tbl_ResidentData[[#This Row],[Discharge '[mmm-yyyy']]]),TRUE,(Tbl_ResidentData[[#This Row],[Discharge '[mmm-yyyy']]]&gt;=AR$4)))))</f>
        <v>-</v>
      </c>
      <c r="AS12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6" s="120" t="b">
        <f ca="1">AND(Tbl_ResidentData[[#This Row],[PRN Med Started]]&lt;&gt;"",Tbl_ResidentData[[#This Row],[PRN Med Started]]&lt;=NOW(),Tbl_ResidentData[[#This Row],[PRN Med Started]]&lt;=AS$4,OR(Tbl_ResidentData[[#This Row],[PRN Med Discontinued]]&gt;AS$4,ISBLANK(Tbl_ResidentData[[#This Row],[PRN Med Discontinued]])))</f>
        <v>0</v>
      </c>
      <c r="BR126" s="121" t="b">
        <f ca="1">AND(Tbl_ResidentData[[#This Row],[PRN Med Started]]&lt;&gt;"",Tbl_ResidentData[[#This Row],[PRN Med Started]]&lt;=NOW(),Tbl_ResidentData[[#This Row],[PRN Med Started]]&lt;=AT$4,OR(Tbl_ResidentData[[#This Row],[PRN Med Discontinued]]&gt;AT$4,ISBLANK(Tbl_ResidentData[[#This Row],[PRN Med Discontinued]])))</f>
        <v>0</v>
      </c>
      <c r="BS126" s="121" t="b">
        <f ca="1">AND(Tbl_ResidentData[[#This Row],[PRN Med Started]]&lt;&gt;"",Tbl_ResidentData[[#This Row],[PRN Med Started]]&lt;=NOW(),Tbl_ResidentData[[#This Row],[PRN Med Started]]&lt;=AU$4,OR(Tbl_ResidentData[[#This Row],[PRN Med Discontinued]]&gt;AU$4,ISBLANK(Tbl_ResidentData[[#This Row],[PRN Med Discontinued]])))</f>
        <v>0</v>
      </c>
      <c r="BT126" s="121" t="b">
        <f ca="1">AND(Tbl_ResidentData[[#This Row],[PRN Med Started]]&lt;&gt;"",Tbl_ResidentData[[#This Row],[PRN Med Started]]&lt;=NOW(),Tbl_ResidentData[[#This Row],[PRN Med Started]]&lt;=AV$4,OR(Tbl_ResidentData[[#This Row],[PRN Med Discontinued]]&gt;AV$4,ISBLANK(Tbl_ResidentData[[#This Row],[PRN Med Discontinued]])))</f>
        <v>0</v>
      </c>
      <c r="BU126" s="121" t="b">
        <f ca="1">AND(Tbl_ResidentData[[#This Row],[PRN Med Started]]&lt;&gt;"",Tbl_ResidentData[[#This Row],[PRN Med Started]]&lt;=NOW(),Tbl_ResidentData[[#This Row],[PRN Med Started]]&lt;=AW$4,OR(Tbl_ResidentData[[#This Row],[PRN Med Discontinued]]&gt;AW$4,ISBLANK(Tbl_ResidentData[[#This Row],[PRN Med Discontinued]])))</f>
        <v>0</v>
      </c>
      <c r="BV126" s="121" t="b">
        <f ca="1">AND(Tbl_ResidentData[[#This Row],[PRN Med Started]]&lt;&gt;"",Tbl_ResidentData[[#This Row],[PRN Med Started]]&lt;=NOW(),Tbl_ResidentData[[#This Row],[PRN Med Started]]&lt;=AX$4,OR(Tbl_ResidentData[[#This Row],[PRN Med Discontinued]]&gt;AX$4,ISBLANK(Tbl_ResidentData[[#This Row],[PRN Med Discontinued]])))</f>
        <v>0</v>
      </c>
      <c r="BW126" s="121" t="b">
        <f ca="1">AND(Tbl_ResidentData[[#This Row],[PRN Med Started]]&lt;&gt;"",Tbl_ResidentData[[#This Row],[PRN Med Started]]&lt;=NOW(),Tbl_ResidentData[[#This Row],[PRN Med Started]]&lt;=AY$4,OR(Tbl_ResidentData[[#This Row],[PRN Med Discontinued]]&gt;AY$4,ISBLANK(Tbl_ResidentData[[#This Row],[PRN Med Discontinued]])))</f>
        <v>0</v>
      </c>
      <c r="BX126" s="121" t="b">
        <f ca="1">AND(Tbl_ResidentData[[#This Row],[PRN Med Started]]&lt;&gt;"",Tbl_ResidentData[[#This Row],[PRN Med Started]]&lt;=NOW(),Tbl_ResidentData[[#This Row],[PRN Med Started]]&lt;=AZ$4,OR(Tbl_ResidentData[[#This Row],[PRN Med Discontinued]]&gt;AZ$4,ISBLANK(Tbl_ResidentData[[#This Row],[PRN Med Discontinued]])))</f>
        <v>0</v>
      </c>
      <c r="BY126" s="121" t="b">
        <f ca="1">AND(Tbl_ResidentData[[#This Row],[PRN Med Started]]&lt;&gt;"",Tbl_ResidentData[[#This Row],[PRN Med Started]]&lt;=NOW(),Tbl_ResidentData[[#This Row],[PRN Med Started]]&lt;=BA$4,OR(Tbl_ResidentData[[#This Row],[PRN Med Discontinued]]&gt;BA$4,ISBLANK(Tbl_ResidentData[[#This Row],[PRN Med Discontinued]])))</f>
        <v>0</v>
      </c>
      <c r="BZ126" s="121" t="b">
        <f ca="1">AND(Tbl_ResidentData[[#This Row],[PRN Med Started]]&lt;&gt;"",Tbl_ResidentData[[#This Row],[PRN Med Started]]&lt;=NOW(),Tbl_ResidentData[[#This Row],[PRN Med Started]]&lt;=BB$4,OR(Tbl_ResidentData[[#This Row],[PRN Med Discontinued]]&gt;BB$4,ISBLANK(Tbl_ResidentData[[#This Row],[PRN Med Discontinued]])))</f>
        <v>0</v>
      </c>
      <c r="CA126" s="121" t="b">
        <f ca="1">AND(Tbl_ResidentData[[#This Row],[PRN Med Started]]&lt;&gt;"",Tbl_ResidentData[[#This Row],[PRN Med Started]]&lt;=NOW(),Tbl_ResidentData[[#This Row],[PRN Med Started]]&lt;=BC$4,OR(Tbl_ResidentData[[#This Row],[PRN Med Discontinued]]&gt;BC$4,ISBLANK(Tbl_ResidentData[[#This Row],[PRN Med Discontinued]])))</f>
        <v>0</v>
      </c>
      <c r="CB126" s="121" t="b">
        <f ca="1">AND(Tbl_ResidentData[[#This Row],[PRN Med Started]]&lt;&gt;"",Tbl_ResidentData[[#This Row],[PRN Med Started]]&lt;=NOW(),Tbl_ResidentData[[#This Row],[PRN Med Started]]&lt;=BD$4,OR(Tbl_ResidentData[[#This Row],[PRN Med Discontinued]]&gt;BD$4,ISBLANK(Tbl_ResidentData[[#This Row],[PRN Med Discontinued]])))</f>
        <v>0</v>
      </c>
      <c r="CC126" s="121" t="b">
        <f ca="1">AND(Tbl_ResidentData[[#This Row],[PRN Med Started]]&lt;&gt;"",Tbl_ResidentData[[#This Row],[PRN Med Started]]&lt;=NOW(),Tbl_ResidentData[[#This Row],[PRN Med Started]]&lt;=BE$4,OR(Tbl_ResidentData[[#This Row],[PRN Med Discontinued]]&gt;BE$4,ISBLANK(Tbl_ResidentData[[#This Row],[PRN Med Discontinued]])))</f>
        <v>0</v>
      </c>
      <c r="CD126" s="121" t="b">
        <f ca="1">AND(Tbl_ResidentData[[#This Row],[PRN Med Started]]&lt;&gt;"",Tbl_ResidentData[[#This Row],[PRN Med Started]]&lt;=NOW(),Tbl_ResidentData[[#This Row],[PRN Med Started]]&lt;=BF$4,OR(Tbl_ResidentData[[#This Row],[PRN Med Discontinued]]&gt;BF$4,ISBLANK(Tbl_ResidentData[[#This Row],[PRN Med Discontinued]])))</f>
        <v>0</v>
      </c>
      <c r="CE126" s="121" t="b">
        <f ca="1">AND(Tbl_ResidentData[[#This Row],[PRN Med Started]]&lt;&gt;"",Tbl_ResidentData[[#This Row],[PRN Med Started]]&lt;=NOW(),Tbl_ResidentData[[#This Row],[PRN Med Started]]&lt;=BG$4,OR(Tbl_ResidentData[[#This Row],[PRN Med Discontinued]]&gt;BG$4,ISBLANK(Tbl_ResidentData[[#This Row],[PRN Med Discontinued]])))</f>
        <v>0</v>
      </c>
      <c r="CF126" s="121" t="b">
        <f ca="1">AND(Tbl_ResidentData[[#This Row],[PRN Med Started]]&lt;&gt;"",Tbl_ResidentData[[#This Row],[PRN Med Started]]&lt;=NOW(),Tbl_ResidentData[[#This Row],[PRN Med Started]]&lt;=BH$4,OR(Tbl_ResidentData[[#This Row],[PRN Med Discontinued]]&gt;BH$4,ISBLANK(Tbl_ResidentData[[#This Row],[PRN Med Discontinued]])))</f>
        <v>0</v>
      </c>
      <c r="CG126" s="121" t="b">
        <f ca="1">AND(Tbl_ResidentData[[#This Row],[PRN Med Started]]&lt;&gt;"",Tbl_ResidentData[[#This Row],[PRN Med Started]]&lt;=NOW(),Tbl_ResidentData[[#This Row],[PRN Med Started]]&lt;=BI$4,OR(Tbl_ResidentData[[#This Row],[PRN Med Discontinued]]&gt;BI$4,ISBLANK(Tbl_ResidentData[[#This Row],[PRN Med Discontinued]])))</f>
        <v>0</v>
      </c>
      <c r="CH126" s="121" t="b">
        <f ca="1">AND(Tbl_ResidentData[[#This Row],[PRN Med Started]]&lt;&gt;"",Tbl_ResidentData[[#This Row],[PRN Med Started]]&lt;=NOW(),Tbl_ResidentData[[#This Row],[PRN Med Started]]&lt;=BJ$4,OR(Tbl_ResidentData[[#This Row],[PRN Med Discontinued]]&gt;BJ$4,ISBLANK(Tbl_ResidentData[[#This Row],[PRN Med Discontinued]])))</f>
        <v>0</v>
      </c>
      <c r="CI126" s="121" t="b">
        <f ca="1">AND(Tbl_ResidentData[[#This Row],[PRN Med Started]]&lt;&gt;"",Tbl_ResidentData[[#This Row],[PRN Med Started]]&lt;=NOW(),Tbl_ResidentData[[#This Row],[PRN Med Started]]&lt;=BK$4,OR(Tbl_ResidentData[[#This Row],[PRN Med Discontinued]]&gt;BK$4,ISBLANK(Tbl_ResidentData[[#This Row],[PRN Med Discontinued]])))</f>
        <v>0</v>
      </c>
      <c r="CJ126" s="121" t="b">
        <f ca="1">AND(Tbl_ResidentData[[#This Row],[PRN Med Started]]&lt;&gt;"",Tbl_ResidentData[[#This Row],[PRN Med Started]]&lt;=NOW(),Tbl_ResidentData[[#This Row],[PRN Med Started]]&lt;=BL$4,OR(Tbl_ResidentData[[#This Row],[PRN Med Discontinued]]&gt;BL$4,ISBLANK(Tbl_ResidentData[[#This Row],[PRN Med Discontinued]])))</f>
        <v>0</v>
      </c>
      <c r="CK126" s="121" t="b">
        <f ca="1">AND(Tbl_ResidentData[[#This Row],[PRN Med Started]]&lt;&gt;"",Tbl_ResidentData[[#This Row],[PRN Med Started]]&lt;=NOW(),Tbl_ResidentData[[#This Row],[PRN Med Started]]&lt;=BM$4,OR(Tbl_ResidentData[[#This Row],[PRN Med Discontinued]]&gt;BM$4,ISBLANK(Tbl_ResidentData[[#This Row],[PRN Med Discontinued]])))</f>
        <v>0</v>
      </c>
      <c r="CL126" s="121" t="b">
        <f ca="1">AND(Tbl_ResidentData[[#This Row],[PRN Med Started]]&lt;&gt;"",Tbl_ResidentData[[#This Row],[PRN Med Started]]&lt;=NOW(),Tbl_ResidentData[[#This Row],[PRN Med Started]]&lt;=BN$4,OR(Tbl_ResidentData[[#This Row],[PRN Med Discontinued]]&gt;BN$4,ISBLANK(Tbl_ResidentData[[#This Row],[PRN Med Discontinued]])))</f>
        <v>0</v>
      </c>
      <c r="CM126" s="121" t="b">
        <f ca="1">AND(Tbl_ResidentData[[#This Row],[PRN Med Started]]&lt;&gt;"",Tbl_ResidentData[[#This Row],[PRN Med Started]]&lt;=NOW(),Tbl_ResidentData[[#This Row],[PRN Med Started]]&lt;=BO$4,OR(Tbl_ResidentData[[#This Row],[PRN Med Discontinued]]&gt;BO$4,ISBLANK(Tbl_ResidentData[[#This Row],[PRN Med Discontinued]])))</f>
        <v>0</v>
      </c>
      <c r="CN126" s="122" t="b">
        <f ca="1">AND(Tbl_ResidentData[[#This Row],[PRN Med Started]]&lt;&gt;"",Tbl_ResidentData[[#This Row],[PRN Med Started]]&lt;=NOW(),Tbl_ResidentData[[#This Row],[PRN Med Started]]&lt;=BP$4,OR(Tbl_ResidentData[[#This Row],[PRN Med Discontinued]]&gt;BP$4,ISBLANK(Tbl_ResidentData[[#This Row],[PRN Med Discontinued]])))</f>
        <v>0</v>
      </c>
      <c r="CO126" s="120">
        <f ca="1">IF(OR(Tbl_ResidentData[[#This Row],[S1]]=TRUE,Tbl_ResidentData[[#This Row],[P1]]=TRUE),1,0)</f>
        <v>0</v>
      </c>
      <c r="CP126" s="121">
        <f ca="1">IF(OR(Tbl_ResidentData[[#This Row],[S2]]=TRUE,Tbl_ResidentData[[#This Row],[P2]]=TRUE),1,0)</f>
        <v>0</v>
      </c>
      <c r="CQ126" s="121">
        <f ca="1">IF(OR(Tbl_ResidentData[[#This Row],[S3]]=TRUE,Tbl_ResidentData[[#This Row],[P3]]=TRUE),1,0)</f>
        <v>0</v>
      </c>
      <c r="CR126" s="120">
        <f ca="1">IF(OR(Tbl_ResidentData[[#This Row],[S4]]=TRUE,Tbl_ResidentData[[#This Row],[P4]]=TRUE),1,0)</f>
        <v>0</v>
      </c>
      <c r="CS126" s="120">
        <f ca="1">IF(OR(Tbl_ResidentData[[#This Row],[S5]]=TRUE,Tbl_ResidentData[[#This Row],[P5]]=TRUE),1,0)</f>
        <v>0</v>
      </c>
      <c r="CT126" s="120">
        <f ca="1">IF(OR(Tbl_ResidentData[[#This Row],[S6]]=TRUE,Tbl_ResidentData[[#This Row],[P6]]=TRUE),1,0)</f>
        <v>0</v>
      </c>
      <c r="CU126" s="120">
        <f ca="1">IF(OR(Tbl_ResidentData[[#This Row],[S7]]=TRUE,Tbl_ResidentData[[#This Row],[P7]]=TRUE),1,0)</f>
        <v>0</v>
      </c>
      <c r="CV126" s="120">
        <f ca="1">IF(OR(Tbl_ResidentData[[#This Row],[S8]]=TRUE,Tbl_ResidentData[[#This Row],[P8]]=TRUE),1,0)</f>
        <v>0</v>
      </c>
      <c r="CW126" s="120">
        <f ca="1">IF(OR(Tbl_ResidentData[[#This Row],[S9]]=TRUE,Tbl_ResidentData[[#This Row],[P9]]=TRUE),1,0)</f>
        <v>0</v>
      </c>
      <c r="CX126" s="120">
        <f ca="1">IF(OR(Tbl_ResidentData[[#This Row],[S10]]=TRUE,Tbl_ResidentData[[#This Row],[P10]]=TRUE),1,0)</f>
        <v>0</v>
      </c>
      <c r="CY126" s="120">
        <f ca="1">IF(OR(Tbl_ResidentData[[#This Row],[S11]]=TRUE,Tbl_ResidentData[[#This Row],[P11]]=TRUE),1,0)</f>
        <v>0</v>
      </c>
      <c r="CZ126" s="120">
        <f ca="1">IF(OR(Tbl_ResidentData[[#This Row],[S12]]=TRUE,Tbl_ResidentData[[#This Row],[P12]]=TRUE),1,0)</f>
        <v>0</v>
      </c>
      <c r="DA126" s="120">
        <f ca="1">IF(OR(Tbl_ResidentData[[#This Row],[S13]]=TRUE,Tbl_ResidentData[[#This Row],[P13]]=TRUE),1,0)</f>
        <v>0</v>
      </c>
      <c r="DB126" s="120">
        <f ca="1">IF(OR(Tbl_ResidentData[[#This Row],[S14]]=TRUE,Tbl_ResidentData[[#This Row],[P14]]=TRUE),1,0)</f>
        <v>0</v>
      </c>
      <c r="DC126" s="120">
        <f ca="1">IF(OR(Tbl_ResidentData[[#This Row],[S15]]=TRUE,Tbl_ResidentData[[#This Row],[P15]]=TRUE),1,0)</f>
        <v>0</v>
      </c>
      <c r="DD126" s="120">
        <f ca="1">IF(OR(Tbl_ResidentData[[#This Row],[S16]]=TRUE,Tbl_ResidentData[[#This Row],[P16]]=TRUE),1,0)</f>
        <v>0</v>
      </c>
      <c r="DE126" s="120">
        <f ca="1">IF(OR(Tbl_ResidentData[[#This Row],[S17]]=TRUE,Tbl_ResidentData[[#This Row],[P17]]=TRUE),1,0)</f>
        <v>0</v>
      </c>
      <c r="DF126" s="120">
        <f ca="1">IF(OR(Tbl_ResidentData[[#This Row],[S18]]=TRUE,Tbl_ResidentData[[#This Row],[P18]]=TRUE),1,0)</f>
        <v>0</v>
      </c>
      <c r="DG126" s="120">
        <f ca="1">IF(OR(Tbl_ResidentData[[#This Row],[S19]]=TRUE,Tbl_ResidentData[[#This Row],[P19]]=TRUE),1,0)</f>
        <v>0</v>
      </c>
      <c r="DH126" s="120">
        <f ca="1">IF(OR(Tbl_ResidentData[[#This Row],[S20]]=TRUE,Tbl_ResidentData[[#This Row],[P20]]=TRUE),1,0)</f>
        <v>0</v>
      </c>
      <c r="DI126" s="120">
        <f ca="1">IF(OR(Tbl_ResidentData[[#This Row],[S21]]=TRUE,Tbl_ResidentData[[#This Row],[P21]]=TRUE),1,0)</f>
        <v>0</v>
      </c>
      <c r="DJ126" s="120">
        <f ca="1">IF(OR(Tbl_ResidentData[[#This Row],[S22]]=TRUE,Tbl_ResidentData[[#This Row],[P22]]=TRUE),1,0)</f>
        <v>0</v>
      </c>
      <c r="DK126" s="120">
        <f ca="1">IF(OR(Tbl_ResidentData[[#This Row],[S23]]=TRUE,Tbl_ResidentData[[#This Row],[P23]]=TRUE),1,0)</f>
        <v>0</v>
      </c>
      <c r="DL126" s="120">
        <f ca="1">IF(OR(Tbl_ResidentData[[#This Row],[S24]]=TRUE,Tbl_ResidentData[[#This Row],[P24]]=TRUE),1,0)</f>
        <v>0</v>
      </c>
      <c r="DM126" s="123" t="str">
        <f ca="1">IFERROR(INDEX($CO$4:$DL$4,MATCH(TRUE,INDEX((Tbl_ResidentData[[#This Row],[Over1]:[Over24]]&lt;&gt;0),0),0)),"")</f>
        <v/>
      </c>
      <c r="DN126" s="133" t="str">
        <f>IFERROR(INDEX(Tbl_PDSAData[Last DRT],MATCH(Tbl_ResidentData[Resident Name '[last, first']],Tbl_PDSAData[Resident Name (last, first)],0)),"")</f>
        <v/>
      </c>
      <c r="DO126" s="222" t="str">
        <f>IFERROR(INDEX(Tbl_PDSAData[Last MR],MATCH(Tbl_ResidentData[Resident Name '[last, first']],Tbl_PDSAData[Resident Name (last, first)],0)),"")</f>
        <v/>
      </c>
    </row>
    <row r="127" spans="1:119" x14ac:dyDescent="0.25">
      <c r="A127" s="179"/>
      <c r="B127" s="180"/>
      <c r="C127" s="180"/>
      <c r="D127" s="217"/>
      <c r="E127" s="179"/>
      <c r="F127" s="181"/>
      <c r="G127" s="181"/>
      <c r="H127" s="375"/>
      <c r="I127" s="185"/>
      <c r="J127" s="387"/>
      <c r="K127" s="178"/>
      <c r="L127" s="388"/>
      <c r="M127" s="185"/>
      <c r="N127" s="386"/>
      <c r="O127" s="178"/>
      <c r="P127" s="388"/>
      <c r="Q127" s="395"/>
      <c r="R127" s="396"/>
      <c r="S127" s="131" t="str">
        <f>IF(ISBLANK(Tbl_ResidentData[[#This Row],[Discharge '[mmm-yyyy']]]),IF(ISBLANK(Tbl_ResidentData[[#This Row],[Enrollment '[mmm-yyyy']]]),"","In Care Home"),"Discharged")</f>
        <v/>
      </c>
      <c r="T127" s="119" t="str">
        <f>IF(ISBLANK(Tbl_ResidentData[[#This Row],[Diagnosis (RAI)]]),IF(ISBLANK(Tbl_ResidentData[[#This Row],[Resident Name '[last, first']]]),"",0),IF(Tbl_ResidentData[[#This Row],[Diagnosis (RAI)]]="Other (see clinical notes)",0,1))</f>
        <v/>
      </c>
      <c r="U127" s="120" t="str">
        <f ca="1">IF(U$4&gt;NOW(),"-",IF(ISBLANK(Tbl_ResidentData[[#This Row],[Enrollment '[mmm-yyyy']]]),"-",AND((Tbl_ResidentData[[#This Row],[Enrollment '[mmm-yyyy']]]&lt;=U$4),IF(ISBLANK(Tbl_ResidentData[[#This Row],[Discharge '[mmm-yyyy']]]),TRUE,(Tbl_ResidentData[[#This Row],[Discharge '[mmm-yyyy']]]&gt;=U$4)))))</f>
        <v>-</v>
      </c>
      <c r="V127" s="121" t="str">
        <f ca="1">IF(V$4&gt;NOW(),"-",IF(ISBLANK(Tbl_ResidentData[[#This Row],[Enrollment '[mmm-yyyy']]]),"-",AND((Tbl_ResidentData[[#This Row],[Enrollment '[mmm-yyyy']]]&lt;=V$4),IF(ISBLANK(Tbl_ResidentData[[#This Row],[Discharge '[mmm-yyyy']]]),TRUE,(Tbl_ResidentData[[#This Row],[Discharge '[mmm-yyyy']]]&gt;=V$4)))))</f>
        <v>-</v>
      </c>
      <c r="W127" s="121" t="str">
        <f ca="1">IF(W$4&gt;NOW(),"-",IF(ISBLANK(Tbl_ResidentData[[#This Row],[Enrollment '[mmm-yyyy']]]),"-",AND((Tbl_ResidentData[[#This Row],[Enrollment '[mmm-yyyy']]]&lt;=W$4),IF(ISBLANK(Tbl_ResidentData[[#This Row],[Discharge '[mmm-yyyy']]]),TRUE,(Tbl_ResidentData[[#This Row],[Discharge '[mmm-yyyy']]]&gt;=W$4)))))</f>
        <v>-</v>
      </c>
      <c r="X127" s="121" t="str">
        <f ca="1">IF(X$4&gt;NOW(),"-",IF(ISBLANK(Tbl_ResidentData[[#This Row],[Enrollment '[mmm-yyyy']]]),"-",AND((Tbl_ResidentData[[#This Row],[Enrollment '[mmm-yyyy']]]&lt;=X$4),IF(ISBLANK(Tbl_ResidentData[[#This Row],[Discharge '[mmm-yyyy']]]),TRUE,(Tbl_ResidentData[[#This Row],[Discharge '[mmm-yyyy']]]&gt;=X$4)))))</f>
        <v>-</v>
      </c>
      <c r="Y127" s="121" t="str">
        <f ca="1">IF(Y$4&gt;NOW(),"-",IF(ISBLANK(Tbl_ResidentData[[#This Row],[Enrollment '[mmm-yyyy']]]),"-",AND((Tbl_ResidentData[[#This Row],[Enrollment '[mmm-yyyy']]]&lt;=Y$4),IF(ISBLANK(Tbl_ResidentData[[#This Row],[Discharge '[mmm-yyyy']]]),TRUE,(Tbl_ResidentData[[#This Row],[Discharge '[mmm-yyyy']]]&gt;=Y$4)))))</f>
        <v>-</v>
      </c>
      <c r="Z127" s="121" t="str">
        <f ca="1">IF(Z$4&gt;NOW(),"-",IF(ISBLANK(Tbl_ResidentData[[#This Row],[Enrollment '[mmm-yyyy']]]),"-",AND((Tbl_ResidentData[[#This Row],[Enrollment '[mmm-yyyy']]]&lt;=Z$4),IF(ISBLANK(Tbl_ResidentData[[#This Row],[Discharge '[mmm-yyyy']]]),TRUE,(Tbl_ResidentData[[#This Row],[Discharge '[mmm-yyyy']]]&gt;=Z$4)))))</f>
        <v>-</v>
      </c>
      <c r="AA127" s="121" t="str">
        <f ca="1">IF(AA$4&gt;NOW(),"-",IF(ISBLANK(Tbl_ResidentData[[#This Row],[Enrollment '[mmm-yyyy']]]),"-",AND((Tbl_ResidentData[[#This Row],[Enrollment '[mmm-yyyy']]]&lt;=AA$4),IF(ISBLANK(Tbl_ResidentData[[#This Row],[Discharge '[mmm-yyyy']]]),TRUE,(Tbl_ResidentData[[#This Row],[Discharge '[mmm-yyyy']]]&gt;=AA$4)))))</f>
        <v>-</v>
      </c>
      <c r="AB127" s="121" t="str">
        <f ca="1">IF(AB$4&gt;NOW(),"-",IF(ISBLANK(Tbl_ResidentData[[#This Row],[Enrollment '[mmm-yyyy']]]),"-",AND((Tbl_ResidentData[[#This Row],[Enrollment '[mmm-yyyy']]]&lt;=AB$4),IF(ISBLANK(Tbl_ResidentData[[#This Row],[Discharge '[mmm-yyyy']]]),TRUE,(Tbl_ResidentData[[#This Row],[Discharge '[mmm-yyyy']]]&gt;=AB$4)))))</f>
        <v>-</v>
      </c>
      <c r="AC127" s="121" t="str">
        <f ca="1">IF(AC$4&gt;NOW(),"-",IF(ISBLANK(Tbl_ResidentData[[#This Row],[Enrollment '[mmm-yyyy']]]),"-",AND((Tbl_ResidentData[[#This Row],[Enrollment '[mmm-yyyy']]]&lt;=AC$4),IF(ISBLANK(Tbl_ResidentData[[#This Row],[Discharge '[mmm-yyyy']]]),TRUE,(Tbl_ResidentData[[#This Row],[Discharge '[mmm-yyyy']]]&gt;=AC$4)))))</f>
        <v>-</v>
      </c>
      <c r="AD127" s="121" t="str">
        <f ca="1">IF(AD$4&gt;NOW(),"-",IF(ISBLANK(Tbl_ResidentData[[#This Row],[Enrollment '[mmm-yyyy']]]),"-",AND((Tbl_ResidentData[[#This Row],[Enrollment '[mmm-yyyy']]]&lt;=AD$4),IF(ISBLANK(Tbl_ResidentData[[#This Row],[Discharge '[mmm-yyyy']]]),TRUE,(Tbl_ResidentData[[#This Row],[Discharge '[mmm-yyyy']]]&gt;=AD$4)))))</f>
        <v>-</v>
      </c>
      <c r="AE127" s="121" t="str">
        <f ca="1">IF(AE$4&gt;NOW(),"-",IF(ISBLANK(Tbl_ResidentData[[#This Row],[Enrollment '[mmm-yyyy']]]),"-",AND((Tbl_ResidentData[[#This Row],[Enrollment '[mmm-yyyy']]]&lt;=AE$4),IF(ISBLANK(Tbl_ResidentData[[#This Row],[Discharge '[mmm-yyyy']]]),TRUE,(Tbl_ResidentData[[#This Row],[Discharge '[mmm-yyyy']]]&gt;=AE$4)))))</f>
        <v>-</v>
      </c>
      <c r="AF127" s="121" t="str">
        <f ca="1">IF(AF$4&gt;NOW(),"-",IF(ISBLANK(Tbl_ResidentData[[#This Row],[Enrollment '[mmm-yyyy']]]),"-",AND((Tbl_ResidentData[[#This Row],[Enrollment '[mmm-yyyy']]]&lt;=AF$4),IF(ISBLANK(Tbl_ResidentData[[#This Row],[Discharge '[mmm-yyyy']]]),TRUE,(Tbl_ResidentData[[#This Row],[Discharge '[mmm-yyyy']]]&gt;=AF$4)))))</f>
        <v>-</v>
      </c>
      <c r="AG127" s="121" t="str">
        <f ca="1">IF(AG$4&gt;NOW(),"-",IF(ISBLANK(Tbl_ResidentData[[#This Row],[Enrollment '[mmm-yyyy']]]),"-",AND((Tbl_ResidentData[[#This Row],[Enrollment '[mmm-yyyy']]]&lt;=AG$4),IF(ISBLANK(Tbl_ResidentData[[#This Row],[Discharge '[mmm-yyyy']]]),TRUE,(Tbl_ResidentData[[#This Row],[Discharge '[mmm-yyyy']]]&gt;=AG$4)))))</f>
        <v>-</v>
      </c>
      <c r="AH127" s="121" t="str">
        <f ca="1">IF(AH$4&gt;NOW(),"-",IF(ISBLANK(Tbl_ResidentData[[#This Row],[Enrollment '[mmm-yyyy']]]),"-",AND((Tbl_ResidentData[[#This Row],[Enrollment '[mmm-yyyy']]]&lt;=AH$4),IF(ISBLANK(Tbl_ResidentData[[#This Row],[Discharge '[mmm-yyyy']]]),TRUE,(Tbl_ResidentData[[#This Row],[Discharge '[mmm-yyyy']]]&gt;=AH$4)))))</f>
        <v>-</v>
      </c>
      <c r="AI127" s="121" t="str">
        <f ca="1">IF(AI$4&gt;NOW(),"-",IF(ISBLANK(Tbl_ResidentData[[#This Row],[Enrollment '[mmm-yyyy']]]),"-",AND((Tbl_ResidentData[[#This Row],[Enrollment '[mmm-yyyy']]]&lt;=AI$4),IF(ISBLANK(Tbl_ResidentData[[#This Row],[Discharge '[mmm-yyyy']]]),TRUE,(Tbl_ResidentData[[#This Row],[Discharge '[mmm-yyyy']]]&gt;=AI$4)))))</f>
        <v>-</v>
      </c>
      <c r="AJ127" s="121" t="str">
        <f ca="1">IF(AJ$4&gt;NOW(),"-",IF(ISBLANK(Tbl_ResidentData[[#This Row],[Enrollment '[mmm-yyyy']]]),"-",AND((Tbl_ResidentData[[#This Row],[Enrollment '[mmm-yyyy']]]&lt;=AJ$4),IF(ISBLANK(Tbl_ResidentData[[#This Row],[Discharge '[mmm-yyyy']]]),TRUE,(Tbl_ResidentData[[#This Row],[Discharge '[mmm-yyyy']]]&gt;=AJ$4)))))</f>
        <v>-</v>
      </c>
      <c r="AK127" s="121" t="str">
        <f ca="1">IF(AK$4&gt;NOW(),"-",IF(ISBLANK(Tbl_ResidentData[[#This Row],[Enrollment '[mmm-yyyy']]]),"-",AND((Tbl_ResidentData[[#This Row],[Enrollment '[mmm-yyyy']]]&lt;=AK$4),IF(ISBLANK(Tbl_ResidentData[[#This Row],[Discharge '[mmm-yyyy']]]),TRUE,(Tbl_ResidentData[[#This Row],[Discharge '[mmm-yyyy']]]&gt;=AK$4)))))</f>
        <v>-</v>
      </c>
      <c r="AL127" s="121" t="str">
        <f ca="1">IF(AL$4&gt;NOW(),"-",IF(ISBLANK(Tbl_ResidentData[[#This Row],[Enrollment '[mmm-yyyy']]]),"-",AND((Tbl_ResidentData[[#This Row],[Enrollment '[mmm-yyyy']]]&lt;=AL$4),IF(ISBLANK(Tbl_ResidentData[[#This Row],[Discharge '[mmm-yyyy']]]),TRUE,(Tbl_ResidentData[[#This Row],[Discharge '[mmm-yyyy']]]&gt;=AL$4)))))</f>
        <v>-</v>
      </c>
      <c r="AM127" s="121" t="str">
        <f ca="1">IF(AM$4&gt;NOW(),"-",IF(ISBLANK(Tbl_ResidentData[[#This Row],[Enrollment '[mmm-yyyy']]]),"-",AND((Tbl_ResidentData[[#This Row],[Enrollment '[mmm-yyyy']]]&lt;=AM$4),IF(ISBLANK(Tbl_ResidentData[[#This Row],[Discharge '[mmm-yyyy']]]),TRUE,(Tbl_ResidentData[[#This Row],[Discharge '[mmm-yyyy']]]&gt;=AM$4)))))</f>
        <v>-</v>
      </c>
      <c r="AN127" s="121" t="str">
        <f ca="1">IF(AN$4&gt;NOW(),"-",IF(ISBLANK(Tbl_ResidentData[[#This Row],[Enrollment '[mmm-yyyy']]]),"-",AND((Tbl_ResidentData[[#This Row],[Enrollment '[mmm-yyyy']]]&lt;=AN$4),IF(ISBLANK(Tbl_ResidentData[[#This Row],[Discharge '[mmm-yyyy']]]),TRUE,(Tbl_ResidentData[[#This Row],[Discharge '[mmm-yyyy']]]&gt;=AN$4)))))</f>
        <v>-</v>
      </c>
      <c r="AO127" s="121" t="str">
        <f ca="1">IF(AO$4&gt;NOW(),"-",IF(ISBLANK(Tbl_ResidentData[[#This Row],[Enrollment '[mmm-yyyy']]]),"-",AND((Tbl_ResidentData[[#This Row],[Enrollment '[mmm-yyyy']]]&lt;=AO$4),IF(ISBLANK(Tbl_ResidentData[[#This Row],[Discharge '[mmm-yyyy']]]),TRUE,(Tbl_ResidentData[[#This Row],[Discharge '[mmm-yyyy']]]&gt;=AO$4)))))</f>
        <v>-</v>
      </c>
      <c r="AP127" s="121" t="str">
        <f ca="1">IF(AP$4&gt;NOW(),"-",IF(ISBLANK(Tbl_ResidentData[[#This Row],[Enrollment '[mmm-yyyy']]]),"-",AND((Tbl_ResidentData[[#This Row],[Enrollment '[mmm-yyyy']]]&lt;=AP$4),IF(ISBLANK(Tbl_ResidentData[[#This Row],[Discharge '[mmm-yyyy']]]),TRUE,(Tbl_ResidentData[[#This Row],[Discharge '[mmm-yyyy']]]&gt;=AP$4)))))</f>
        <v>-</v>
      </c>
      <c r="AQ127" s="121" t="str">
        <f ca="1">IF(AQ$4&gt;NOW(),"-",IF(ISBLANK(Tbl_ResidentData[[#This Row],[Enrollment '[mmm-yyyy']]]),"-",AND((Tbl_ResidentData[[#This Row],[Enrollment '[mmm-yyyy']]]&lt;=AQ$4),IF(ISBLANK(Tbl_ResidentData[[#This Row],[Discharge '[mmm-yyyy']]]),TRUE,(Tbl_ResidentData[[#This Row],[Discharge '[mmm-yyyy']]]&gt;=AQ$4)))))</f>
        <v>-</v>
      </c>
      <c r="AR127" s="122" t="str">
        <f ca="1">IF(AR$4&gt;NOW(),"-",IF(ISBLANK(Tbl_ResidentData[[#This Row],[Enrollment '[mmm-yyyy']]]),"-",AND((Tbl_ResidentData[[#This Row],[Enrollment '[mmm-yyyy']]]&lt;=AR$4),IF(ISBLANK(Tbl_ResidentData[[#This Row],[Discharge '[mmm-yyyy']]]),TRUE,(Tbl_ResidentData[[#This Row],[Discharge '[mmm-yyyy']]]&gt;=AR$4)))))</f>
        <v>-</v>
      </c>
      <c r="AS12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7" s="120" t="b">
        <f ca="1">AND(Tbl_ResidentData[[#This Row],[PRN Med Started]]&lt;&gt;"",Tbl_ResidentData[[#This Row],[PRN Med Started]]&lt;=NOW(),Tbl_ResidentData[[#This Row],[PRN Med Started]]&lt;=AS$4,OR(Tbl_ResidentData[[#This Row],[PRN Med Discontinued]]&gt;AS$4,ISBLANK(Tbl_ResidentData[[#This Row],[PRN Med Discontinued]])))</f>
        <v>0</v>
      </c>
      <c r="BR127" s="121" t="b">
        <f ca="1">AND(Tbl_ResidentData[[#This Row],[PRN Med Started]]&lt;&gt;"",Tbl_ResidentData[[#This Row],[PRN Med Started]]&lt;=NOW(),Tbl_ResidentData[[#This Row],[PRN Med Started]]&lt;=AT$4,OR(Tbl_ResidentData[[#This Row],[PRN Med Discontinued]]&gt;AT$4,ISBLANK(Tbl_ResidentData[[#This Row],[PRN Med Discontinued]])))</f>
        <v>0</v>
      </c>
      <c r="BS127" s="121" t="b">
        <f ca="1">AND(Tbl_ResidentData[[#This Row],[PRN Med Started]]&lt;&gt;"",Tbl_ResidentData[[#This Row],[PRN Med Started]]&lt;=NOW(),Tbl_ResidentData[[#This Row],[PRN Med Started]]&lt;=AU$4,OR(Tbl_ResidentData[[#This Row],[PRN Med Discontinued]]&gt;AU$4,ISBLANK(Tbl_ResidentData[[#This Row],[PRN Med Discontinued]])))</f>
        <v>0</v>
      </c>
      <c r="BT127" s="121" t="b">
        <f ca="1">AND(Tbl_ResidentData[[#This Row],[PRN Med Started]]&lt;&gt;"",Tbl_ResidentData[[#This Row],[PRN Med Started]]&lt;=NOW(),Tbl_ResidentData[[#This Row],[PRN Med Started]]&lt;=AV$4,OR(Tbl_ResidentData[[#This Row],[PRN Med Discontinued]]&gt;AV$4,ISBLANK(Tbl_ResidentData[[#This Row],[PRN Med Discontinued]])))</f>
        <v>0</v>
      </c>
      <c r="BU127" s="121" t="b">
        <f ca="1">AND(Tbl_ResidentData[[#This Row],[PRN Med Started]]&lt;&gt;"",Tbl_ResidentData[[#This Row],[PRN Med Started]]&lt;=NOW(),Tbl_ResidentData[[#This Row],[PRN Med Started]]&lt;=AW$4,OR(Tbl_ResidentData[[#This Row],[PRN Med Discontinued]]&gt;AW$4,ISBLANK(Tbl_ResidentData[[#This Row],[PRN Med Discontinued]])))</f>
        <v>0</v>
      </c>
      <c r="BV127" s="121" t="b">
        <f ca="1">AND(Tbl_ResidentData[[#This Row],[PRN Med Started]]&lt;&gt;"",Tbl_ResidentData[[#This Row],[PRN Med Started]]&lt;=NOW(),Tbl_ResidentData[[#This Row],[PRN Med Started]]&lt;=AX$4,OR(Tbl_ResidentData[[#This Row],[PRN Med Discontinued]]&gt;AX$4,ISBLANK(Tbl_ResidentData[[#This Row],[PRN Med Discontinued]])))</f>
        <v>0</v>
      </c>
      <c r="BW127" s="121" t="b">
        <f ca="1">AND(Tbl_ResidentData[[#This Row],[PRN Med Started]]&lt;&gt;"",Tbl_ResidentData[[#This Row],[PRN Med Started]]&lt;=NOW(),Tbl_ResidentData[[#This Row],[PRN Med Started]]&lt;=AY$4,OR(Tbl_ResidentData[[#This Row],[PRN Med Discontinued]]&gt;AY$4,ISBLANK(Tbl_ResidentData[[#This Row],[PRN Med Discontinued]])))</f>
        <v>0</v>
      </c>
      <c r="BX127" s="121" t="b">
        <f ca="1">AND(Tbl_ResidentData[[#This Row],[PRN Med Started]]&lt;&gt;"",Tbl_ResidentData[[#This Row],[PRN Med Started]]&lt;=NOW(),Tbl_ResidentData[[#This Row],[PRN Med Started]]&lt;=AZ$4,OR(Tbl_ResidentData[[#This Row],[PRN Med Discontinued]]&gt;AZ$4,ISBLANK(Tbl_ResidentData[[#This Row],[PRN Med Discontinued]])))</f>
        <v>0</v>
      </c>
      <c r="BY127" s="121" t="b">
        <f ca="1">AND(Tbl_ResidentData[[#This Row],[PRN Med Started]]&lt;&gt;"",Tbl_ResidentData[[#This Row],[PRN Med Started]]&lt;=NOW(),Tbl_ResidentData[[#This Row],[PRN Med Started]]&lt;=BA$4,OR(Tbl_ResidentData[[#This Row],[PRN Med Discontinued]]&gt;BA$4,ISBLANK(Tbl_ResidentData[[#This Row],[PRN Med Discontinued]])))</f>
        <v>0</v>
      </c>
      <c r="BZ127" s="121" t="b">
        <f ca="1">AND(Tbl_ResidentData[[#This Row],[PRN Med Started]]&lt;&gt;"",Tbl_ResidentData[[#This Row],[PRN Med Started]]&lt;=NOW(),Tbl_ResidentData[[#This Row],[PRN Med Started]]&lt;=BB$4,OR(Tbl_ResidentData[[#This Row],[PRN Med Discontinued]]&gt;BB$4,ISBLANK(Tbl_ResidentData[[#This Row],[PRN Med Discontinued]])))</f>
        <v>0</v>
      </c>
      <c r="CA127" s="121" t="b">
        <f ca="1">AND(Tbl_ResidentData[[#This Row],[PRN Med Started]]&lt;&gt;"",Tbl_ResidentData[[#This Row],[PRN Med Started]]&lt;=NOW(),Tbl_ResidentData[[#This Row],[PRN Med Started]]&lt;=BC$4,OR(Tbl_ResidentData[[#This Row],[PRN Med Discontinued]]&gt;BC$4,ISBLANK(Tbl_ResidentData[[#This Row],[PRN Med Discontinued]])))</f>
        <v>0</v>
      </c>
      <c r="CB127" s="121" t="b">
        <f ca="1">AND(Tbl_ResidentData[[#This Row],[PRN Med Started]]&lt;&gt;"",Tbl_ResidentData[[#This Row],[PRN Med Started]]&lt;=NOW(),Tbl_ResidentData[[#This Row],[PRN Med Started]]&lt;=BD$4,OR(Tbl_ResidentData[[#This Row],[PRN Med Discontinued]]&gt;BD$4,ISBLANK(Tbl_ResidentData[[#This Row],[PRN Med Discontinued]])))</f>
        <v>0</v>
      </c>
      <c r="CC127" s="121" t="b">
        <f ca="1">AND(Tbl_ResidentData[[#This Row],[PRN Med Started]]&lt;&gt;"",Tbl_ResidentData[[#This Row],[PRN Med Started]]&lt;=NOW(),Tbl_ResidentData[[#This Row],[PRN Med Started]]&lt;=BE$4,OR(Tbl_ResidentData[[#This Row],[PRN Med Discontinued]]&gt;BE$4,ISBLANK(Tbl_ResidentData[[#This Row],[PRN Med Discontinued]])))</f>
        <v>0</v>
      </c>
      <c r="CD127" s="121" t="b">
        <f ca="1">AND(Tbl_ResidentData[[#This Row],[PRN Med Started]]&lt;&gt;"",Tbl_ResidentData[[#This Row],[PRN Med Started]]&lt;=NOW(),Tbl_ResidentData[[#This Row],[PRN Med Started]]&lt;=BF$4,OR(Tbl_ResidentData[[#This Row],[PRN Med Discontinued]]&gt;BF$4,ISBLANK(Tbl_ResidentData[[#This Row],[PRN Med Discontinued]])))</f>
        <v>0</v>
      </c>
      <c r="CE127" s="121" t="b">
        <f ca="1">AND(Tbl_ResidentData[[#This Row],[PRN Med Started]]&lt;&gt;"",Tbl_ResidentData[[#This Row],[PRN Med Started]]&lt;=NOW(),Tbl_ResidentData[[#This Row],[PRN Med Started]]&lt;=BG$4,OR(Tbl_ResidentData[[#This Row],[PRN Med Discontinued]]&gt;BG$4,ISBLANK(Tbl_ResidentData[[#This Row],[PRN Med Discontinued]])))</f>
        <v>0</v>
      </c>
      <c r="CF127" s="121" t="b">
        <f ca="1">AND(Tbl_ResidentData[[#This Row],[PRN Med Started]]&lt;&gt;"",Tbl_ResidentData[[#This Row],[PRN Med Started]]&lt;=NOW(),Tbl_ResidentData[[#This Row],[PRN Med Started]]&lt;=BH$4,OR(Tbl_ResidentData[[#This Row],[PRN Med Discontinued]]&gt;BH$4,ISBLANK(Tbl_ResidentData[[#This Row],[PRN Med Discontinued]])))</f>
        <v>0</v>
      </c>
      <c r="CG127" s="121" t="b">
        <f ca="1">AND(Tbl_ResidentData[[#This Row],[PRN Med Started]]&lt;&gt;"",Tbl_ResidentData[[#This Row],[PRN Med Started]]&lt;=NOW(),Tbl_ResidentData[[#This Row],[PRN Med Started]]&lt;=BI$4,OR(Tbl_ResidentData[[#This Row],[PRN Med Discontinued]]&gt;BI$4,ISBLANK(Tbl_ResidentData[[#This Row],[PRN Med Discontinued]])))</f>
        <v>0</v>
      </c>
      <c r="CH127" s="121" t="b">
        <f ca="1">AND(Tbl_ResidentData[[#This Row],[PRN Med Started]]&lt;&gt;"",Tbl_ResidentData[[#This Row],[PRN Med Started]]&lt;=NOW(),Tbl_ResidentData[[#This Row],[PRN Med Started]]&lt;=BJ$4,OR(Tbl_ResidentData[[#This Row],[PRN Med Discontinued]]&gt;BJ$4,ISBLANK(Tbl_ResidentData[[#This Row],[PRN Med Discontinued]])))</f>
        <v>0</v>
      </c>
      <c r="CI127" s="121" t="b">
        <f ca="1">AND(Tbl_ResidentData[[#This Row],[PRN Med Started]]&lt;&gt;"",Tbl_ResidentData[[#This Row],[PRN Med Started]]&lt;=NOW(),Tbl_ResidentData[[#This Row],[PRN Med Started]]&lt;=BK$4,OR(Tbl_ResidentData[[#This Row],[PRN Med Discontinued]]&gt;BK$4,ISBLANK(Tbl_ResidentData[[#This Row],[PRN Med Discontinued]])))</f>
        <v>0</v>
      </c>
      <c r="CJ127" s="121" t="b">
        <f ca="1">AND(Tbl_ResidentData[[#This Row],[PRN Med Started]]&lt;&gt;"",Tbl_ResidentData[[#This Row],[PRN Med Started]]&lt;=NOW(),Tbl_ResidentData[[#This Row],[PRN Med Started]]&lt;=BL$4,OR(Tbl_ResidentData[[#This Row],[PRN Med Discontinued]]&gt;BL$4,ISBLANK(Tbl_ResidentData[[#This Row],[PRN Med Discontinued]])))</f>
        <v>0</v>
      </c>
      <c r="CK127" s="121" t="b">
        <f ca="1">AND(Tbl_ResidentData[[#This Row],[PRN Med Started]]&lt;&gt;"",Tbl_ResidentData[[#This Row],[PRN Med Started]]&lt;=NOW(),Tbl_ResidentData[[#This Row],[PRN Med Started]]&lt;=BM$4,OR(Tbl_ResidentData[[#This Row],[PRN Med Discontinued]]&gt;BM$4,ISBLANK(Tbl_ResidentData[[#This Row],[PRN Med Discontinued]])))</f>
        <v>0</v>
      </c>
      <c r="CL127" s="121" t="b">
        <f ca="1">AND(Tbl_ResidentData[[#This Row],[PRN Med Started]]&lt;&gt;"",Tbl_ResidentData[[#This Row],[PRN Med Started]]&lt;=NOW(),Tbl_ResidentData[[#This Row],[PRN Med Started]]&lt;=BN$4,OR(Tbl_ResidentData[[#This Row],[PRN Med Discontinued]]&gt;BN$4,ISBLANK(Tbl_ResidentData[[#This Row],[PRN Med Discontinued]])))</f>
        <v>0</v>
      </c>
      <c r="CM127" s="121" t="b">
        <f ca="1">AND(Tbl_ResidentData[[#This Row],[PRN Med Started]]&lt;&gt;"",Tbl_ResidentData[[#This Row],[PRN Med Started]]&lt;=NOW(),Tbl_ResidentData[[#This Row],[PRN Med Started]]&lt;=BO$4,OR(Tbl_ResidentData[[#This Row],[PRN Med Discontinued]]&gt;BO$4,ISBLANK(Tbl_ResidentData[[#This Row],[PRN Med Discontinued]])))</f>
        <v>0</v>
      </c>
      <c r="CN127" s="122" t="b">
        <f ca="1">AND(Tbl_ResidentData[[#This Row],[PRN Med Started]]&lt;&gt;"",Tbl_ResidentData[[#This Row],[PRN Med Started]]&lt;=NOW(),Tbl_ResidentData[[#This Row],[PRN Med Started]]&lt;=BP$4,OR(Tbl_ResidentData[[#This Row],[PRN Med Discontinued]]&gt;BP$4,ISBLANK(Tbl_ResidentData[[#This Row],[PRN Med Discontinued]])))</f>
        <v>0</v>
      </c>
      <c r="CO127" s="120">
        <f ca="1">IF(OR(Tbl_ResidentData[[#This Row],[S1]]=TRUE,Tbl_ResidentData[[#This Row],[P1]]=TRUE),1,0)</f>
        <v>0</v>
      </c>
      <c r="CP127" s="121">
        <f ca="1">IF(OR(Tbl_ResidentData[[#This Row],[S2]]=TRUE,Tbl_ResidentData[[#This Row],[P2]]=TRUE),1,0)</f>
        <v>0</v>
      </c>
      <c r="CQ127" s="121">
        <f ca="1">IF(OR(Tbl_ResidentData[[#This Row],[S3]]=TRUE,Tbl_ResidentData[[#This Row],[P3]]=TRUE),1,0)</f>
        <v>0</v>
      </c>
      <c r="CR127" s="120">
        <f ca="1">IF(OR(Tbl_ResidentData[[#This Row],[S4]]=TRUE,Tbl_ResidentData[[#This Row],[P4]]=TRUE),1,0)</f>
        <v>0</v>
      </c>
      <c r="CS127" s="120">
        <f ca="1">IF(OR(Tbl_ResidentData[[#This Row],[S5]]=TRUE,Tbl_ResidentData[[#This Row],[P5]]=TRUE),1,0)</f>
        <v>0</v>
      </c>
      <c r="CT127" s="120">
        <f ca="1">IF(OR(Tbl_ResidentData[[#This Row],[S6]]=TRUE,Tbl_ResidentData[[#This Row],[P6]]=TRUE),1,0)</f>
        <v>0</v>
      </c>
      <c r="CU127" s="120">
        <f ca="1">IF(OR(Tbl_ResidentData[[#This Row],[S7]]=TRUE,Tbl_ResidentData[[#This Row],[P7]]=TRUE),1,0)</f>
        <v>0</v>
      </c>
      <c r="CV127" s="120">
        <f ca="1">IF(OR(Tbl_ResidentData[[#This Row],[S8]]=TRUE,Tbl_ResidentData[[#This Row],[P8]]=TRUE),1,0)</f>
        <v>0</v>
      </c>
      <c r="CW127" s="120">
        <f ca="1">IF(OR(Tbl_ResidentData[[#This Row],[S9]]=TRUE,Tbl_ResidentData[[#This Row],[P9]]=TRUE),1,0)</f>
        <v>0</v>
      </c>
      <c r="CX127" s="120">
        <f ca="1">IF(OR(Tbl_ResidentData[[#This Row],[S10]]=TRUE,Tbl_ResidentData[[#This Row],[P10]]=TRUE),1,0)</f>
        <v>0</v>
      </c>
      <c r="CY127" s="120">
        <f ca="1">IF(OR(Tbl_ResidentData[[#This Row],[S11]]=TRUE,Tbl_ResidentData[[#This Row],[P11]]=TRUE),1,0)</f>
        <v>0</v>
      </c>
      <c r="CZ127" s="120">
        <f ca="1">IF(OR(Tbl_ResidentData[[#This Row],[S12]]=TRUE,Tbl_ResidentData[[#This Row],[P12]]=TRUE),1,0)</f>
        <v>0</v>
      </c>
      <c r="DA127" s="120">
        <f ca="1">IF(OR(Tbl_ResidentData[[#This Row],[S13]]=TRUE,Tbl_ResidentData[[#This Row],[P13]]=TRUE),1,0)</f>
        <v>0</v>
      </c>
      <c r="DB127" s="120">
        <f ca="1">IF(OR(Tbl_ResidentData[[#This Row],[S14]]=TRUE,Tbl_ResidentData[[#This Row],[P14]]=TRUE),1,0)</f>
        <v>0</v>
      </c>
      <c r="DC127" s="120">
        <f ca="1">IF(OR(Tbl_ResidentData[[#This Row],[S15]]=TRUE,Tbl_ResidentData[[#This Row],[P15]]=TRUE),1,0)</f>
        <v>0</v>
      </c>
      <c r="DD127" s="120">
        <f ca="1">IF(OR(Tbl_ResidentData[[#This Row],[S16]]=TRUE,Tbl_ResidentData[[#This Row],[P16]]=TRUE),1,0)</f>
        <v>0</v>
      </c>
      <c r="DE127" s="120">
        <f ca="1">IF(OR(Tbl_ResidentData[[#This Row],[S17]]=TRUE,Tbl_ResidentData[[#This Row],[P17]]=TRUE),1,0)</f>
        <v>0</v>
      </c>
      <c r="DF127" s="120">
        <f ca="1">IF(OR(Tbl_ResidentData[[#This Row],[S18]]=TRUE,Tbl_ResidentData[[#This Row],[P18]]=TRUE),1,0)</f>
        <v>0</v>
      </c>
      <c r="DG127" s="120">
        <f ca="1">IF(OR(Tbl_ResidentData[[#This Row],[S19]]=TRUE,Tbl_ResidentData[[#This Row],[P19]]=TRUE),1,0)</f>
        <v>0</v>
      </c>
      <c r="DH127" s="120">
        <f ca="1">IF(OR(Tbl_ResidentData[[#This Row],[S20]]=TRUE,Tbl_ResidentData[[#This Row],[P20]]=TRUE),1,0)</f>
        <v>0</v>
      </c>
      <c r="DI127" s="120">
        <f ca="1">IF(OR(Tbl_ResidentData[[#This Row],[S21]]=TRUE,Tbl_ResidentData[[#This Row],[P21]]=TRUE),1,0)</f>
        <v>0</v>
      </c>
      <c r="DJ127" s="120">
        <f ca="1">IF(OR(Tbl_ResidentData[[#This Row],[S22]]=TRUE,Tbl_ResidentData[[#This Row],[P22]]=TRUE),1,0)</f>
        <v>0</v>
      </c>
      <c r="DK127" s="120">
        <f ca="1">IF(OR(Tbl_ResidentData[[#This Row],[S23]]=TRUE,Tbl_ResidentData[[#This Row],[P23]]=TRUE),1,0)</f>
        <v>0</v>
      </c>
      <c r="DL127" s="120">
        <f ca="1">IF(OR(Tbl_ResidentData[[#This Row],[S24]]=TRUE,Tbl_ResidentData[[#This Row],[P24]]=TRUE),1,0)</f>
        <v>0</v>
      </c>
      <c r="DM127" s="123" t="str">
        <f ca="1">IFERROR(INDEX($CO$4:$DL$4,MATCH(TRUE,INDEX((Tbl_ResidentData[[#This Row],[Over1]:[Over24]]&lt;&gt;0),0),0)),"")</f>
        <v/>
      </c>
      <c r="DN127" s="133" t="str">
        <f>IFERROR(INDEX(Tbl_PDSAData[Last DRT],MATCH(Tbl_ResidentData[Resident Name '[last, first']],Tbl_PDSAData[Resident Name (last, first)],0)),"")</f>
        <v/>
      </c>
      <c r="DO127" s="222" t="str">
        <f>IFERROR(INDEX(Tbl_PDSAData[Last MR],MATCH(Tbl_ResidentData[Resident Name '[last, first']],Tbl_PDSAData[Resident Name (last, first)],0)),"")</f>
        <v/>
      </c>
    </row>
    <row r="128" spans="1:119" x14ac:dyDescent="0.25">
      <c r="A128" s="179"/>
      <c r="B128" s="180"/>
      <c r="C128" s="180"/>
      <c r="D128" s="218"/>
      <c r="E128" s="179"/>
      <c r="F128" s="181"/>
      <c r="G128" s="181"/>
      <c r="H128" s="375"/>
      <c r="I128" s="185"/>
      <c r="J128" s="387"/>
      <c r="K128" s="178"/>
      <c r="L128" s="388"/>
      <c r="M128" s="185"/>
      <c r="N128" s="386"/>
      <c r="O128" s="178"/>
      <c r="P128" s="388"/>
      <c r="Q128" s="394"/>
      <c r="R128" s="388"/>
      <c r="S128" s="131" t="str">
        <f>IF(ISBLANK(Tbl_ResidentData[[#This Row],[Discharge '[mmm-yyyy']]]),IF(ISBLANK(Tbl_ResidentData[[#This Row],[Enrollment '[mmm-yyyy']]]),"","In Care Home"),"Discharged")</f>
        <v/>
      </c>
      <c r="T128" s="119" t="str">
        <f>IF(ISBLANK(Tbl_ResidentData[[#This Row],[Diagnosis (RAI)]]),IF(ISBLANK(Tbl_ResidentData[[#This Row],[Resident Name '[last, first']]]),"",0),IF(Tbl_ResidentData[[#This Row],[Diagnosis (RAI)]]="Other (see clinical notes)",0,1))</f>
        <v/>
      </c>
      <c r="U128" s="120" t="str">
        <f ca="1">IF(U$4&gt;NOW(),"-",IF(ISBLANK(Tbl_ResidentData[[#This Row],[Enrollment '[mmm-yyyy']]]),"-",AND((Tbl_ResidentData[[#This Row],[Enrollment '[mmm-yyyy']]]&lt;=U$4),IF(ISBLANK(Tbl_ResidentData[[#This Row],[Discharge '[mmm-yyyy']]]),TRUE,(Tbl_ResidentData[[#This Row],[Discharge '[mmm-yyyy']]]&gt;=U$4)))))</f>
        <v>-</v>
      </c>
      <c r="V128" s="121" t="str">
        <f ca="1">IF(V$4&gt;NOW(),"-",IF(ISBLANK(Tbl_ResidentData[[#This Row],[Enrollment '[mmm-yyyy']]]),"-",AND((Tbl_ResidentData[[#This Row],[Enrollment '[mmm-yyyy']]]&lt;=V$4),IF(ISBLANK(Tbl_ResidentData[[#This Row],[Discharge '[mmm-yyyy']]]),TRUE,(Tbl_ResidentData[[#This Row],[Discharge '[mmm-yyyy']]]&gt;=V$4)))))</f>
        <v>-</v>
      </c>
      <c r="W128" s="121" t="str">
        <f ca="1">IF(W$4&gt;NOW(),"-",IF(ISBLANK(Tbl_ResidentData[[#This Row],[Enrollment '[mmm-yyyy']]]),"-",AND((Tbl_ResidentData[[#This Row],[Enrollment '[mmm-yyyy']]]&lt;=W$4),IF(ISBLANK(Tbl_ResidentData[[#This Row],[Discharge '[mmm-yyyy']]]),TRUE,(Tbl_ResidentData[[#This Row],[Discharge '[mmm-yyyy']]]&gt;=W$4)))))</f>
        <v>-</v>
      </c>
      <c r="X128" s="121" t="str">
        <f ca="1">IF(X$4&gt;NOW(),"-",IF(ISBLANK(Tbl_ResidentData[[#This Row],[Enrollment '[mmm-yyyy']]]),"-",AND((Tbl_ResidentData[[#This Row],[Enrollment '[mmm-yyyy']]]&lt;=X$4),IF(ISBLANK(Tbl_ResidentData[[#This Row],[Discharge '[mmm-yyyy']]]),TRUE,(Tbl_ResidentData[[#This Row],[Discharge '[mmm-yyyy']]]&gt;=X$4)))))</f>
        <v>-</v>
      </c>
      <c r="Y128" s="121" t="str">
        <f ca="1">IF(Y$4&gt;NOW(),"-",IF(ISBLANK(Tbl_ResidentData[[#This Row],[Enrollment '[mmm-yyyy']]]),"-",AND((Tbl_ResidentData[[#This Row],[Enrollment '[mmm-yyyy']]]&lt;=Y$4),IF(ISBLANK(Tbl_ResidentData[[#This Row],[Discharge '[mmm-yyyy']]]),TRUE,(Tbl_ResidentData[[#This Row],[Discharge '[mmm-yyyy']]]&gt;=Y$4)))))</f>
        <v>-</v>
      </c>
      <c r="Z128" s="121" t="str">
        <f ca="1">IF(Z$4&gt;NOW(),"-",IF(ISBLANK(Tbl_ResidentData[[#This Row],[Enrollment '[mmm-yyyy']]]),"-",AND((Tbl_ResidentData[[#This Row],[Enrollment '[mmm-yyyy']]]&lt;=Z$4),IF(ISBLANK(Tbl_ResidentData[[#This Row],[Discharge '[mmm-yyyy']]]),TRUE,(Tbl_ResidentData[[#This Row],[Discharge '[mmm-yyyy']]]&gt;=Z$4)))))</f>
        <v>-</v>
      </c>
      <c r="AA128" s="121" t="str">
        <f ca="1">IF(AA$4&gt;NOW(),"-",IF(ISBLANK(Tbl_ResidentData[[#This Row],[Enrollment '[mmm-yyyy']]]),"-",AND((Tbl_ResidentData[[#This Row],[Enrollment '[mmm-yyyy']]]&lt;=AA$4),IF(ISBLANK(Tbl_ResidentData[[#This Row],[Discharge '[mmm-yyyy']]]),TRUE,(Tbl_ResidentData[[#This Row],[Discharge '[mmm-yyyy']]]&gt;=AA$4)))))</f>
        <v>-</v>
      </c>
      <c r="AB128" s="121" t="str">
        <f ca="1">IF(AB$4&gt;NOW(),"-",IF(ISBLANK(Tbl_ResidentData[[#This Row],[Enrollment '[mmm-yyyy']]]),"-",AND((Tbl_ResidentData[[#This Row],[Enrollment '[mmm-yyyy']]]&lt;=AB$4),IF(ISBLANK(Tbl_ResidentData[[#This Row],[Discharge '[mmm-yyyy']]]),TRUE,(Tbl_ResidentData[[#This Row],[Discharge '[mmm-yyyy']]]&gt;=AB$4)))))</f>
        <v>-</v>
      </c>
      <c r="AC128" s="121" t="str">
        <f ca="1">IF(AC$4&gt;NOW(),"-",IF(ISBLANK(Tbl_ResidentData[[#This Row],[Enrollment '[mmm-yyyy']]]),"-",AND((Tbl_ResidentData[[#This Row],[Enrollment '[mmm-yyyy']]]&lt;=AC$4),IF(ISBLANK(Tbl_ResidentData[[#This Row],[Discharge '[mmm-yyyy']]]),TRUE,(Tbl_ResidentData[[#This Row],[Discharge '[mmm-yyyy']]]&gt;=AC$4)))))</f>
        <v>-</v>
      </c>
      <c r="AD128" s="121" t="str">
        <f ca="1">IF(AD$4&gt;NOW(),"-",IF(ISBLANK(Tbl_ResidentData[[#This Row],[Enrollment '[mmm-yyyy']]]),"-",AND((Tbl_ResidentData[[#This Row],[Enrollment '[mmm-yyyy']]]&lt;=AD$4),IF(ISBLANK(Tbl_ResidentData[[#This Row],[Discharge '[mmm-yyyy']]]),TRUE,(Tbl_ResidentData[[#This Row],[Discharge '[mmm-yyyy']]]&gt;=AD$4)))))</f>
        <v>-</v>
      </c>
      <c r="AE128" s="121" t="str">
        <f ca="1">IF(AE$4&gt;NOW(),"-",IF(ISBLANK(Tbl_ResidentData[[#This Row],[Enrollment '[mmm-yyyy']]]),"-",AND((Tbl_ResidentData[[#This Row],[Enrollment '[mmm-yyyy']]]&lt;=AE$4),IF(ISBLANK(Tbl_ResidentData[[#This Row],[Discharge '[mmm-yyyy']]]),TRUE,(Tbl_ResidentData[[#This Row],[Discharge '[mmm-yyyy']]]&gt;=AE$4)))))</f>
        <v>-</v>
      </c>
      <c r="AF128" s="121" t="str">
        <f ca="1">IF(AF$4&gt;NOW(),"-",IF(ISBLANK(Tbl_ResidentData[[#This Row],[Enrollment '[mmm-yyyy']]]),"-",AND((Tbl_ResidentData[[#This Row],[Enrollment '[mmm-yyyy']]]&lt;=AF$4),IF(ISBLANK(Tbl_ResidentData[[#This Row],[Discharge '[mmm-yyyy']]]),TRUE,(Tbl_ResidentData[[#This Row],[Discharge '[mmm-yyyy']]]&gt;=AF$4)))))</f>
        <v>-</v>
      </c>
      <c r="AG128" s="121" t="str">
        <f ca="1">IF(AG$4&gt;NOW(),"-",IF(ISBLANK(Tbl_ResidentData[[#This Row],[Enrollment '[mmm-yyyy']]]),"-",AND((Tbl_ResidentData[[#This Row],[Enrollment '[mmm-yyyy']]]&lt;=AG$4),IF(ISBLANK(Tbl_ResidentData[[#This Row],[Discharge '[mmm-yyyy']]]),TRUE,(Tbl_ResidentData[[#This Row],[Discharge '[mmm-yyyy']]]&gt;=AG$4)))))</f>
        <v>-</v>
      </c>
      <c r="AH128" s="121" t="str">
        <f ca="1">IF(AH$4&gt;NOW(),"-",IF(ISBLANK(Tbl_ResidentData[[#This Row],[Enrollment '[mmm-yyyy']]]),"-",AND((Tbl_ResidentData[[#This Row],[Enrollment '[mmm-yyyy']]]&lt;=AH$4),IF(ISBLANK(Tbl_ResidentData[[#This Row],[Discharge '[mmm-yyyy']]]),TRUE,(Tbl_ResidentData[[#This Row],[Discharge '[mmm-yyyy']]]&gt;=AH$4)))))</f>
        <v>-</v>
      </c>
      <c r="AI128" s="121" t="str">
        <f ca="1">IF(AI$4&gt;NOW(),"-",IF(ISBLANK(Tbl_ResidentData[[#This Row],[Enrollment '[mmm-yyyy']]]),"-",AND((Tbl_ResidentData[[#This Row],[Enrollment '[mmm-yyyy']]]&lt;=AI$4),IF(ISBLANK(Tbl_ResidentData[[#This Row],[Discharge '[mmm-yyyy']]]),TRUE,(Tbl_ResidentData[[#This Row],[Discharge '[mmm-yyyy']]]&gt;=AI$4)))))</f>
        <v>-</v>
      </c>
      <c r="AJ128" s="121" t="str">
        <f ca="1">IF(AJ$4&gt;NOW(),"-",IF(ISBLANK(Tbl_ResidentData[[#This Row],[Enrollment '[mmm-yyyy']]]),"-",AND((Tbl_ResidentData[[#This Row],[Enrollment '[mmm-yyyy']]]&lt;=AJ$4),IF(ISBLANK(Tbl_ResidentData[[#This Row],[Discharge '[mmm-yyyy']]]),TRUE,(Tbl_ResidentData[[#This Row],[Discharge '[mmm-yyyy']]]&gt;=AJ$4)))))</f>
        <v>-</v>
      </c>
      <c r="AK128" s="121" t="str">
        <f ca="1">IF(AK$4&gt;NOW(),"-",IF(ISBLANK(Tbl_ResidentData[[#This Row],[Enrollment '[mmm-yyyy']]]),"-",AND((Tbl_ResidentData[[#This Row],[Enrollment '[mmm-yyyy']]]&lt;=AK$4),IF(ISBLANK(Tbl_ResidentData[[#This Row],[Discharge '[mmm-yyyy']]]),TRUE,(Tbl_ResidentData[[#This Row],[Discharge '[mmm-yyyy']]]&gt;=AK$4)))))</f>
        <v>-</v>
      </c>
      <c r="AL128" s="121" t="str">
        <f ca="1">IF(AL$4&gt;NOW(),"-",IF(ISBLANK(Tbl_ResidentData[[#This Row],[Enrollment '[mmm-yyyy']]]),"-",AND((Tbl_ResidentData[[#This Row],[Enrollment '[mmm-yyyy']]]&lt;=AL$4),IF(ISBLANK(Tbl_ResidentData[[#This Row],[Discharge '[mmm-yyyy']]]),TRUE,(Tbl_ResidentData[[#This Row],[Discharge '[mmm-yyyy']]]&gt;=AL$4)))))</f>
        <v>-</v>
      </c>
      <c r="AM128" s="121" t="str">
        <f ca="1">IF(AM$4&gt;NOW(),"-",IF(ISBLANK(Tbl_ResidentData[[#This Row],[Enrollment '[mmm-yyyy']]]),"-",AND((Tbl_ResidentData[[#This Row],[Enrollment '[mmm-yyyy']]]&lt;=AM$4),IF(ISBLANK(Tbl_ResidentData[[#This Row],[Discharge '[mmm-yyyy']]]),TRUE,(Tbl_ResidentData[[#This Row],[Discharge '[mmm-yyyy']]]&gt;=AM$4)))))</f>
        <v>-</v>
      </c>
      <c r="AN128" s="121" t="str">
        <f ca="1">IF(AN$4&gt;NOW(),"-",IF(ISBLANK(Tbl_ResidentData[[#This Row],[Enrollment '[mmm-yyyy']]]),"-",AND((Tbl_ResidentData[[#This Row],[Enrollment '[mmm-yyyy']]]&lt;=AN$4),IF(ISBLANK(Tbl_ResidentData[[#This Row],[Discharge '[mmm-yyyy']]]),TRUE,(Tbl_ResidentData[[#This Row],[Discharge '[mmm-yyyy']]]&gt;=AN$4)))))</f>
        <v>-</v>
      </c>
      <c r="AO128" s="121" t="str">
        <f ca="1">IF(AO$4&gt;NOW(),"-",IF(ISBLANK(Tbl_ResidentData[[#This Row],[Enrollment '[mmm-yyyy']]]),"-",AND((Tbl_ResidentData[[#This Row],[Enrollment '[mmm-yyyy']]]&lt;=AO$4),IF(ISBLANK(Tbl_ResidentData[[#This Row],[Discharge '[mmm-yyyy']]]),TRUE,(Tbl_ResidentData[[#This Row],[Discharge '[mmm-yyyy']]]&gt;=AO$4)))))</f>
        <v>-</v>
      </c>
      <c r="AP128" s="121" t="str">
        <f ca="1">IF(AP$4&gt;NOW(),"-",IF(ISBLANK(Tbl_ResidentData[[#This Row],[Enrollment '[mmm-yyyy']]]),"-",AND((Tbl_ResidentData[[#This Row],[Enrollment '[mmm-yyyy']]]&lt;=AP$4),IF(ISBLANK(Tbl_ResidentData[[#This Row],[Discharge '[mmm-yyyy']]]),TRUE,(Tbl_ResidentData[[#This Row],[Discharge '[mmm-yyyy']]]&gt;=AP$4)))))</f>
        <v>-</v>
      </c>
      <c r="AQ128" s="121" t="str">
        <f ca="1">IF(AQ$4&gt;NOW(),"-",IF(ISBLANK(Tbl_ResidentData[[#This Row],[Enrollment '[mmm-yyyy']]]),"-",AND((Tbl_ResidentData[[#This Row],[Enrollment '[mmm-yyyy']]]&lt;=AQ$4),IF(ISBLANK(Tbl_ResidentData[[#This Row],[Discharge '[mmm-yyyy']]]),TRUE,(Tbl_ResidentData[[#This Row],[Discharge '[mmm-yyyy']]]&gt;=AQ$4)))))</f>
        <v>-</v>
      </c>
      <c r="AR128" s="122" t="str">
        <f ca="1">IF(AR$4&gt;NOW(),"-",IF(ISBLANK(Tbl_ResidentData[[#This Row],[Enrollment '[mmm-yyyy']]]),"-",AND((Tbl_ResidentData[[#This Row],[Enrollment '[mmm-yyyy']]]&lt;=AR$4),IF(ISBLANK(Tbl_ResidentData[[#This Row],[Discharge '[mmm-yyyy']]]),TRUE,(Tbl_ResidentData[[#This Row],[Discharge '[mmm-yyyy']]]&gt;=AR$4)))))</f>
        <v>-</v>
      </c>
      <c r="AS12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8" s="120" t="b">
        <f ca="1">AND(Tbl_ResidentData[[#This Row],[PRN Med Started]]&lt;&gt;"",Tbl_ResidentData[[#This Row],[PRN Med Started]]&lt;=NOW(),Tbl_ResidentData[[#This Row],[PRN Med Started]]&lt;=AS$4,OR(Tbl_ResidentData[[#This Row],[PRN Med Discontinued]]&gt;AS$4,ISBLANK(Tbl_ResidentData[[#This Row],[PRN Med Discontinued]])))</f>
        <v>0</v>
      </c>
      <c r="BR128" s="121" t="b">
        <f ca="1">AND(Tbl_ResidentData[[#This Row],[PRN Med Started]]&lt;&gt;"",Tbl_ResidentData[[#This Row],[PRN Med Started]]&lt;=NOW(),Tbl_ResidentData[[#This Row],[PRN Med Started]]&lt;=AT$4,OR(Tbl_ResidentData[[#This Row],[PRN Med Discontinued]]&gt;AT$4,ISBLANK(Tbl_ResidentData[[#This Row],[PRN Med Discontinued]])))</f>
        <v>0</v>
      </c>
      <c r="BS128" s="121" t="b">
        <f ca="1">AND(Tbl_ResidentData[[#This Row],[PRN Med Started]]&lt;&gt;"",Tbl_ResidentData[[#This Row],[PRN Med Started]]&lt;=NOW(),Tbl_ResidentData[[#This Row],[PRN Med Started]]&lt;=AU$4,OR(Tbl_ResidentData[[#This Row],[PRN Med Discontinued]]&gt;AU$4,ISBLANK(Tbl_ResidentData[[#This Row],[PRN Med Discontinued]])))</f>
        <v>0</v>
      </c>
      <c r="BT128" s="121" t="b">
        <f ca="1">AND(Tbl_ResidentData[[#This Row],[PRN Med Started]]&lt;&gt;"",Tbl_ResidentData[[#This Row],[PRN Med Started]]&lt;=NOW(),Tbl_ResidentData[[#This Row],[PRN Med Started]]&lt;=AV$4,OR(Tbl_ResidentData[[#This Row],[PRN Med Discontinued]]&gt;AV$4,ISBLANK(Tbl_ResidentData[[#This Row],[PRN Med Discontinued]])))</f>
        <v>0</v>
      </c>
      <c r="BU128" s="121" t="b">
        <f ca="1">AND(Tbl_ResidentData[[#This Row],[PRN Med Started]]&lt;&gt;"",Tbl_ResidentData[[#This Row],[PRN Med Started]]&lt;=NOW(),Tbl_ResidentData[[#This Row],[PRN Med Started]]&lt;=AW$4,OR(Tbl_ResidentData[[#This Row],[PRN Med Discontinued]]&gt;AW$4,ISBLANK(Tbl_ResidentData[[#This Row],[PRN Med Discontinued]])))</f>
        <v>0</v>
      </c>
      <c r="BV128" s="121" t="b">
        <f ca="1">AND(Tbl_ResidentData[[#This Row],[PRN Med Started]]&lt;&gt;"",Tbl_ResidentData[[#This Row],[PRN Med Started]]&lt;=NOW(),Tbl_ResidentData[[#This Row],[PRN Med Started]]&lt;=AX$4,OR(Tbl_ResidentData[[#This Row],[PRN Med Discontinued]]&gt;AX$4,ISBLANK(Tbl_ResidentData[[#This Row],[PRN Med Discontinued]])))</f>
        <v>0</v>
      </c>
      <c r="BW128" s="121" t="b">
        <f ca="1">AND(Tbl_ResidentData[[#This Row],[PRN Med Started]]&lt;&gt;"",Tbl_ResidentData[[#This Row],[PRN Med Started]]&lt;=NOW(),Tbl_ResidentData[[#This Row],[PRN Med Started]]&lt;=AY$4,OR(Tbl_ResidentData[[#This Row],[PRN Med Discontinued]]&gt;AY$4,ISBLANK(Tbl_ResidentData[[#This Row],[PRN Med Discontinued]])))</f>
        <v>0</v>
      </c>
      <c r="BX128" s="121" t="b">
        <f ca="1">AND(Tbl_ResidentData[[#This Row],[PRN Med Started]]&lt;&gt;"",Tbl_ResidentData[[#This Row],[PRN Med Started]]&lt;=NOW(),Tbl_ResidentData[[#This Row],[PRN Med Started]]&lt;=AZ$4,OR(Tbl_ResidentData[[#This Row],[PRN Med Discontinued]]&gt;AZ$4,ISBLANK(Tbl_ResidentData[[#This Row],[PRN Med Discontinued]])))</f>
        <v>0</v>
      </c>
      <c r="BY128" s="121" t="b">
        <f ca="1">AND(Tbl_ResidentData[[#This Row],[PRN Med Started]]&lt;&gt;"",Tbl_ResidentData[[#This Row],[PRN Med Started]]&lt;=NOW(),Tbl_ResidentData[[#This Row],[PRN Med Started]]&lt;=BA$4,OR(Tbl_ResidentData[[#This Row],[PRN Med Discontinued]]&gt;BA$4,ISBLANK(Tbl_ResidentData[[#This Row],[PRN Med Discontinued]])))</f>
        <v>0</v>
      </c>
      <c r="BZ128" s="121" t="b">
        <f ca="1">AND(Tbl_ResidentData[[#This Row],[PRN Med Started]]&lt;&gt;"",Tbl_ResidentData[[#This Row],[PRN Med Started]]&lt;=NOW(),Tbl_ResidentData[[#This Row],[PRN Med Started]]&lt;=BB$4,OR(Tbl_ResidentData[[#This Row],[PRN Med Discontinued]]&gt;BB$4,ISBLANK(Tbl_ResidentData[[#This Row],[PRN Med Discontinued]])))</f>
        <v>0</v>
      </c>
      <c r="CA128" s="121" t="b">
        <f ca="1">AND(Tbl_ResidentData[[#This Row],[PRN Med Started]]&lt;&gt;"",Tbl_ResidentData[[#This Row],[PRN Med Started]]&lt;=NOW(),Tbl_ResidentData[[#This Row],[PRN Med Started]]&lt;=BC$4,OR(Tbl_ResidentData[[#This Row],[PRN Med Discontinued]]&gt;BC$4,ISBLANK(Tbl_ResidentData[[#This Row],[PRN Med Discontinued]])))</f>
        <v>0</v>
      </c>
      <c r="CB128" s="121" t="b">
        <f ca="1">AND(Tbl_ResidentData[[#This Row],[PRN Med Started]]&lt;&gt;"",Tbl_ResidentData[[#This Row],[PRN Med Started]]&lt;=NOW(),Tbl_ResidentData[[#This Row],[PRN Med Started]]&lt;=BD$4,OR(Tbl_ResidentData[[#This Row],[PRN Med Discontinued]]&gt;BD$4,ISBLANK(Tbl_ResidentData[[#This Row],[PRN Med Discontinued]])))</f>
        <v>0</v>
      </c>
      <c r="CC128" s="121" t="b">
        <f ca="1">AND(Tbl_ResidentData[[#This Row],[PRN Med Started]]&lt;&gt;"",Tbl_ResidentData[[#This Row],[PRN Med Started]]&lt;=NOW(),Tbl_ResidentData[[#This Row],[PRN Med Started]]&lt;=BE$4,OR(Tbl_ResidentData[[#This Row],[PRN Med Discontinued]]&gt;BE$4,ISBLANK(Tbl_ResidentData[[#This Row],[PRN Med Discontinued]])))</f>
        <v>0</v>
      </c>
      <c r="CD128" s="121" t="b">
        <f ca="1">AND(Tbl_ResidentData[[#This Row],[PRN Med Started]]&lt;&gt;"",Tbl_ResidentData[[#This Row],[PRN Med Started]]&lt;=NOW(),Tbl_ResidentData[[#This Row],[PRN Med Started]]&lt;=BF$4,OR(Tbl_ResidentData[[#This Row],[PRN Med Discontinued]]&gt;BF$4,ISBLANK(Tbl_ResidentData[[#This Row],[PRN Med Discontinued]])))</f>
        <v>0</v>
      </c>
      <c r="CE128" s="121" t="b">
        <f ca="1">AND(Tbl_ResidentData[[#This Row],[PRN Med Started]]&lt;&gt;"",Tbl_ResidentData[[#This Row],[PRN Med Started]]&lt;=NOW(),Tbl_ResidentData[[#This Row],[PRN Med Started]]&lt;=BG$4,OR(Tbl_ResidentData[[#This Row],[PRN Med Discontinued]]&gt;BG$4,ISBLANK(Tbl_ResidentData[[#This Row],[PRN Med Discontinued]])))</f>
        <v>0</v>
      </c>
      <c r="CF128" s="121" t="b">
        <f ca="1">AND(Tbl_ResidentData[[#This Row],[PRN Med Started]]&lt;&gt;"",Tbl_ResidentData[[#This Row],[PRN Med Started]]&lt;=NOW(),Tbl_ResidentData[[#This Row],[PRN Med Started]]&lt;=BH$4,OR(Tbl_ResidentData[[#This Row],[PRN Med Discontinued]]&gt;BH$4,ISBLANK(Tbl_ResidentData[[#This Row],[PRN Med Discontinued]])))</f>
        <v>0</v>
      </c>
      <c r="CG128" s="121" t="b">
        <f ca="1">AND(Tbl_ResidentData[[#This Row],[PRN Med Started]]&lt;&gt;"",Tbl_ResidentData[[#This Row],[PRN Med Started]]&lt;=NOW(),Tbl_ResidentData[[#This Row],[PRN Med Started]]&lt;=BI$4,OR(Tbl_ResidentData[[#This Row],[PRN Med Discontinued]]&gt;BI$4,ISBLANK(Tbl_ResidentData[[#This Row],[PRN Med Discontinued]])))</f>
        <v>0</v>
      </c>
      <c r="CH128" s="121" t="b">
        <f ca="1">AND(Tbl_ResidentData[[#This Row],[PRN Med Started]]&lt;&gt;"",Tbl_ResidentData[[#This Row],[PRN Med Started]]&lt;=NOW(),Tbl_ResidentData[[#This Row],[PRN Med Started]]&lt;=BJ$4,OR(Tbl_ResidentData[[#This Row],[PRN Med Discontinued]]&gt;BJ$4,ISBLANK(Tbl_ResidentData[[#This Row],[PRN Med Discontinued]])))</f>
        <v>0</v>
      </c>
      <c r="CI128" s="121" t="b">
        <f ca="1">AND(Tbl_ResidentData[[#This Row],[PRN Med Started]]&lt;&gt;"",Tbl_ResidentData[[#This Row],[PRN Med Started]]&lt;=NOW(),Tbl_ResidentData[[#This Row],[PRN Med Started]]&lt;=BK$4,OR(Tbl_ResidentData[[#This Row],[PRN Med Discontinued]]&gt;BK$4,ISBLANK(Tbl_ResidentData[[#This Row],[PRN Med Discontinued]])))</f>
        <v>0</v>
      </c>
      <c r="CJ128" s="121" t="b">
        <f ca="1">AND(Tbl_ResidentData[[#This Row],[PRN Med Started]]&lt;&gt;"",Tbl_ResidentData[[#This Row],[PRN Med Started]]&lt;=NOW(),Tbl_ResidentData[[#This Row],[PRN Med Started]]&lt;=BL$4,OR(Tbl_ResidentData[[#This Row],[PRN Med Discontinued]]&gt;BL$4,ISBLANK(Tbl_ResidentData[[#This Row],[PRN Med Discontinued]])))</f>
        <v>0</v>
      </c>
      <c r="CK128" s="121" t="b">
        <f ca="1">AND(Tbl_ResidentData[[#This Row],[PRN Med Started]]&lt;&gt;"",Tbl_ResidentData[[#This Row],[PRN Med Started]]&lt;=NOW(),Tbl_ResidentData[[#This Row],[PRN Med Started]]&lt;=BM$4,OR(Tbl_ResidentData[[#This Row],[PRN Med Discontinued]]&gt;BM$4,ISBLANK(Tbl_ResidentData[[#This Row],[PRN Med Discontinued]])))</f>
        <v>0</v>
      </c>
      <c r="CL128" s="121" t="b">
        <f ca="1">AND(Tbl_ResidentData[[#This Row],[PRN Med Started]]&lt;&gt;"",Tbl_ResidentData[[#This Row],[PRN Med Started]]&lt;=NOW(),Tbl_ResidentData[[#This Row],[PRN Med Started]]&lt;=BN$4,OR(Tbl_ResidentData[[#This Row],[PRN Med Discontinued]]&gt;BN$4,ISBLANK(Tbl_ResidentData[[#This Row],[PRN Med Discontinued]])))</f>
        <v>0</v>
      </c>
      <c r="CM128" s="121" t="b">
        <f ca="1">AND(Tbl_ResidentData[[#This Row],[PRN Med Started]]&lt;&gt;"",Tbl_ResidentData[[#This Row],[PRN Med Started]]&lt;=NOW(),Tbl_ResidentData[[#This Row],[PRN Med Started]]&lt;=BO$4,OR(Tbl_ResidentData[[#This Row],[PRN Med Discontinued]]&gt;BO$4,ISBLANK(Tbl_ResidentData[[#This Row],[PRN Med Discontinued]])))</f>
        <v>0</v>
      </c>
      <c r="CN128" s="122" t="b">
        <f ca="1">AND(Tbl_ResidentData[[#This Row],[PRN Med Started]]&lt;&gt;"",Tbl_ResidentData[[#This Row],[PRN Med Started]]&lt;=NOW(),Tbl_ResidentData[[#This Row],[PRN Med Started]]&lt;=BP$4,OR(Tbl_ResidentData[[#This Row],[PRN Med Discontinued]]&gt;BP$4,ISBLANK(Tbl_ResidentData[[#This Row],[PRN Med Discontinued]])))</f>
        <v>0</v>
      </c>
      <c r="CO128" s="120">
        <f ca="1">IF(OR(Tbl_ResidentData[[#This Row],[S1]]=TRUE,Tbl_ResidentData[[#This Row],[P1]]=TRUE),1,0)</f>
        <v>0</v>
      </c>
      <c r="CP128" s="121">
        <f ca="1">IF(OR(Tbl_ResidentData[[#This Row],[S2]]=TRUE,Tbl_ResidentData[[#This Row],[P2]]=TRUE),1,0)</f>
        <v>0</v>
      </c>
      <c r="CQ128" s="121">
        <f ca="1">IF(OR(Tbl_ResidentData[[#This Row],[S3]]=TRUE,Tbl_ResidentData[[#This Row],[P3]]=TRUE),1,0)</f>
        <v>0</v>
      </c>
      <c r="CR128" s="120">
        <f ca="1">IF(OR(Tbl_ResidentData[[#This Row],[S4]]=TRUE,Tbl_ResidentData[[#This Row],[P4]]=TRUE),1,0)</f>
        <v>0</v>
      </c>
      <c r="CS128" s="120">
        <f ca="1">IF(OR(Tbl_ResidentData[[#This Row],[S5]]=TRUE,Tbl_ResidentData[[#This Row],[P5]]=TRUE),1,0)</f>
        <v>0</v>
      </c>
      <c r="CT128" s="120">
        <f ca="1">IF(OR(Tbl_ResidentData[[#This Row],[S6]]=TRUE,Tbl_ResidentData[[#This Row],[P6]]=TRUE),1,0)</f>
        <v>0</v>
      </c>
      <c r="CU128" s="120">
        <f ca="1">IF(OR(Tbl_ResidentData[[#This Row],[S7]]=TRUE,Tbl_ResidentData[[#This Row],[P7]]=TRUE),1,0)</f>
        <v>0</v>
      </c>
      <c r="CV128" s="120">
        <f ca="1">IF(OR(Tbl_ResidentData[[#This Row],[S8]]=TRUE,Tbl_ResidentData[[#This Row],[P8]]=TRUE),1,0)</f>
        <v>0</v>
      </c>
      <c r="CW128" s="120">
        <f ca="1">IF(OR(Tbl_ResidentData[[#This Row],[S9]]=TRUE,Tbl_ResidentData[[#This Row],[P9]]=TRUE),1,0)</f>
        <v>0</v>
      </c>
      <c r="CX128" s="120">
        <f ca="1">IF(OR(Tbl_ResidentData[[#This Row],[S10]]=TRUE,Tbl_ResidentData[[#This Row],[P10]]=TRUE),1,0)</f>
        <v>0</v>
      </c>
      <c r="CY128" s="120">
        <f ca="1">IF(OR(Tbl_ResidentData[[#This Row],[S11]]=TRUE,Tbl_ResidentData[[#This Row],[P11]]=TRUE),1,0)</f>
        <v>0</v>
      </c>
      <c r="CZ128" s="120">
        <f ca="1">IF(OR(Tbl_ResidentData[[#This Row],[S12]]=TRUE,Tbl_ResidentData[[#This Row],[P12]]=TRUE),1,0)</f>
        <v>0</v>
      </c>
      <c r="DA128" s="120">
        <f ca="1">IF(OR(Tbl_ResidentData[[#This Row],[S13]]=TRUE,Tbl_ResidentData[[#This Row],[P13]]=TRUE),1,0)</f>
        <v>0</v>
      </c>
      <c r="DB128" s="120">
        <f ca="1">IF(OR(Tbl_ResidentData[[#This Row],[S14]]=TRUE,Tbl_ResidentData[[#This Row],[P14]]=TRUE),1,0)</f>
        <v>0</v>
      </c>
      <c r="DC128" s="120">
        <f ca="1">IF(OR(Tbl_ResidentData[[#This Row],[S15]]=TRUE,Tbl_ResidentData[[#This Row],[P15]]=TRUE),1,0)</f>
        <v>0</v>
      </c>
      <c r="DD128" s="120">
        <f ca="1">IF(OR(Tbl_ResidentData[[#This Row],[S16]]=TRUE,Tbl_ResidentData[[#This Row],[P16]]=TRUE),1,0)</f>
        <v>0</v>
      </c>
      <c r="DE128" s="120">
        <f ca="1">IF(OR(Tbl_ResidentData[[#This Row],[S17]]=TRUE,Tbl_ResidentData[[#This Row],[P17]]=TRUE),1,0)</f>
        <v>0</v>
      </c>
      <c r="DF128" s="120">
        <f ca="1">IF(OR(Tbl_ResidentData[[#This Row],[S18]]=TRUE,Tbl_ResidentData[[#This Row],[P18]]=TRUE),1,0)</f>
        <v>0</v>
      </c>
      <c r="DG128" s="120">
        <f ca="1">IF(OR(Tbl_ResidentData[[#This Row],[S19]]=TRUE,Tbl_ResidentData[[#This Row],[P19]]=TRUE),1,0)</f>
        <v>0</v>
      </c>
      <c r="DH128" s="120">
        <f ca="1">IF(OR(Tbl_ResidentData[[#This Row],[S20]]=TRUE,Tbl_ResidentData[[#This Row],[P20]]=TRUE),1,0)</f>
        <v>0</v>
      </c>
      <c r="DI128" s="120">
        <f ca="1">IF(OR(Tbl_ResidentData[[#This Row],[S21]]=TRUE,Tbl_ResidentData[[#This Row],[P21]]=TRUE),1,0)</f>
        <v>0</v>
      </c>
      <c r="DJ128" s="120">
        <f ca="1">IF(OR(Tbl_ResidentData[[#This Row],[S22]]=TRUE,Tbl_ResidentData[[#This Row],[P22]]=TRUE),1,0)</f>
        <v>0</v>
      </c>
      <c r="DK128" s="120">
        <f ca="1">IF(OR(Tbl_ResidentData[[#This Row],[S23]]=TRUE,Tbl_ResidentData[[#This Row],[P23]]=TRUE),1,0)</f>
        <v>0</v>
      </c>
      <c r="DL128" s="120">
        <f ca="1">IF(OR(Tbl_ResidentData[[#This Row],[S24]]=TRUE,Tbl_ResidentData[[#This Row],[P24]]=TRUE),1,0)</f>
        <v>0</v>
      </c>
      <c r="DM128" s="123" t="str">
        <f ca="1">IFERROR(INDEX($CO$4:$DL$4,MATCH(TRUE,INDEX((Tbl_ResidentData[[#This Row],[Over1]:[Over24]]&lt;&gt;0),0),0)),"")</f>
        <v/>
      </c>
      <c r="DN128" s="133" t="str">
        <f>IFERROR(INDEX(Tbl_PDSAData[Last DRT],MATCH(Tbl_ResidentData[Resident Name '[last, first']],Tbl_PDSAData[Resident Name (last, first)],0)),"")</f>
        <v/>
      </c>
      <c r="DO128" s="222" t="str">
        <f>IFERROR(INDEX(Tbl_PDSAData[Last MR],MATCH(Tbl_ResidentData[Resident Name '[last, first']],Tbl_PDSAData[Resident Name (last, first)],0)),"")</f>
        <v/>
      </c>
    </row>
    <row r="129" spans="1:119" x14ac:dyDescent="0.25">
      <c r="A129" s="179"/>
      <c r="B129" s="180"/>
      <c r="C129" s="180"/>
      <c r="D129" s="218"/>
      <c r="E129" s="179"/>
      <c r="F129" s="179"/>
      <c r="G129" s="181"/>
      <c r="H129" s="182"/>
      <c r="I129" s="185"/>
      <c r="J129" s="387"/>
      <c r="K129" s="178"/>
      <c r="L129" s="388"/>
      <c r="M129" s="185"/>
      <c r="N129" s="386"/>
      <c r="O129" s="178"/>
      <c r="P129" s="388"/>
      <c r="Q129" s="395"/>
      <c r="R129" s="396"/>
      <c r="S129" s="131" t="str">
        <f>IF(ISBLANK(Tbl_ResidentData[[#This Row],[Discharge '[mmm-yyyy']]]),IF(ISBLANK(Tbl_ResidentData[[#This Row],[Enrollment '[mmm-yyyy']]]),"","In Care Home"),"Discharged")</f>
        <v/>
      </c>
      <c r="T129" s="119" t="str">
        <f>IF(ISBLANK(Tbl_ResidentData[[#This Row],[Diagnosis (RAI)]]),IF(ISBLANK(Tbl_ResidentData[[#This Row],[Resident Name '[last, first']]]),"",0),IF(Tbl_ResidentData[[#This Row],[Diagnosis (RAI)]]="Other (see clinical notes)",0,1))</f>
        <v/>
      </c>
      <c r="U129" s="120" t="str">
        <f ca="1">IF(U$4&gt;NOW(),"-",IF(ISBLANK(Tbl_ResidentData[[#This Row],[Enrollment '[mmm-yyyy']]]),"-",AND((Tbl_ResidentData[[#This Row],[Enrollment '[mmm-yyyy']]]&lt;=U$4),IF(ISBLANK(Tbl_ResidentData[[#This Row],[Discharge '[mmm-yyyy']]]),TRUE,(Tbl_ResidentData[[#This Row],[Discharge '[mmm-yyyy']]]&gt;=U$4)))))</f>
        <v>-</v>
      </c>
      <c r="V129" s="121" t="str">
        <f ca="1">IF(V$4&gt;NOW(),"-",IF(ISBLANK(Tbl_ResidentData[[#This Row],[Enrollment '[mmm-yyyy']]]),"-",AND((Tbl_ResidentData[[#This Row],[Enrollment '[mmm-yyyy']]]&lt;=V$4),IF(ISBLANK(Tbl_ResidentData[[#This Row],[Discharge '[mmm-yyyy']]]),TRUE,(Tbl_ResidentData[[#This Row],[Discharge '[mmm-yyyy']]]&gt;=V$4)))))</f>
        <v>-</v>
      </c>
      <c r="W129" s="121" t="str">
        <f ca="1">IF(W$4&gt;NOW(),"-",IF(ISBLANK(Tbl_ResidentData[[#This Row],[Enrollment '[mmm-yyyy']]]),"-",AND((Tbl_ResidentData[[#This Row],[Enrollment '[mmm-yyyy']]]&lt;=W$4),IF(ISBLANK(Tbl_ResidentData[[#This Row],[Discharge '[mmm-yyyy']]]),TRUE,(Tbl_ResidentData[[#This Row],[Discharge '[mmm-yyyy']]]&gt;=W$4)))))</f>
        <v>-</v>
      </c>
      <c r="X129" s="121" t="str">
        <f ca="1">IF(X$4&gt;NOW(),"-",IF(ISBLANK(Tbl_ResidentData[[#This Row],[Enrollment '[mmm-yyyy']]]),"-",AND((Tbl_ResidentData[[#This Row],[Enrollment '[mmm-yyyy']]]&lt;=X$4),IF(ISBLANK(Tbl_ResidentData[[#This Row],[Discharge '[mmm-yyyy']]]),TRUE,(Tbl_ResidentData[[#This Row],[Discharge '[mmm-yyyy']]]&gt;=X$4)))))</f>
        <v>-</v>
      </c>
      <c r="Y129" s="121" t="str">
        <f ca="1">IF(Y$4&gt;NOW(),"-",IF(ISBLANK(Tbl_ResidentData[[#This Row],[Enrollment '[mmm-yyyy']]]),"-",AND((Tbl_ResidentData[[#This Row],[Enrollment '[mmm-yyyy']]]&lt;=Y$4),IF(ISBLANK(Tbl_ResidentData[[#This Row],[Discharge '[mmm-yyyy']]]),TRUE,(Tbl_ResidentData[[#This Row],[Discharge '[mmm-yyyy']]]&gt;=Y$4)))))</f>
        <v>-</v>
      </c>
      <c r="Z129" s="121" t="str">
        <f ca="1">IF(Z$4&gt;NOW(),"-",IF(ISBLANK(Tbl_ResidentData[[#This Row],[Enrollment '[mmm-yyyy']]]),"-",AND((Tbl_ResidentData[[#This Row],[Enrollment '[mmm-yyyy']]]&lt;=Z$4),IF(ISBLANK(Tbl_ResidentData[[#This Row],[Discharge '[mmm-yyyy']]]),TRUE,(Tbl_ResidentData[[#This Row],[Discharge '[mmm-yyyy']]]&gt;=Z$4)))))</f>
        <v>-</v>
      </c>
      <c r="AA129" s="121" t="str">
        <f ca="1">IF(AA$4&gt;NOW(),"-",IF(ISBLANK(Tbl_ResidentData[[#This Row],[Enrollment '[mmm-yyyy']]]),"-",AND((Tbl_ResidentData[[#This Row],[Enrollment '[mmm-yyyy']]]&lt;=AA$4),IF(ISBLANK(Tbl_ResidentData[[#This Row],[Discharge '[mmm-yyyy']]]),TRUE,(Tbl_ResidentData[[#This Row],[Discharge '[mmm-yyyy']]]&gt;=AA$4)))))</f>
        <v>-</v>
      </c>
      <c r="AB129" s="121" t="str">
        <f ca="1">IF(AB$4&gt;NOW(),"-",IF(ISBLANK(Tbl_ResidentData[[#This Row],[Enrollment '[mmm-yyyy']]]),"-",AND((Tbl_ResidentData[[#This Row],[Enrollment '[mmm-yyyy']]]&lt;=AB$4),IF(ISBLANK(Tbl_ResidentData[[#This Row],[Discharge '[mmm-yyyy']]]),TRUE,(Tbl_ResidentData[[#This Row],[Discharge '[mmm-yyyy']]]&gt;=AB$4)))))</f>
        <v>-</v>
      </c>
      <c r="AC129" s="121" t="str">
        <f ca="1">IF(AC$4&gt;NOW(),"-",IF(ISBLANK(Tbl_ResidentData[[#This Row],[Enrollment '[mmm-yyyy']]]),"-",AND((Tbl_ResidentData[[#This Row],[Enrollment '[mmm-yyyy']]]&lt;=AC$4),IF(ISBLANK(Tbl_ResidentData[[#This Row],[Discharge '[mmm-yyyy']]]),TRUE,(Tbl_ResidentData[[#This Row],[Discharge '[mmm-yyyy']]]&gt;=AC$4)))))</f>
        <v>-</v>
      </c>
      <c r="AD129" s="121" t="str">
        <f ca="1">IF(AD$4&gt;NOW(),"-",IF(ISBLANK(Tbl_ResidentData[[#This Row],[Enrollment '[mmm-yyyy']]]),"-",AND((Tbl_ResidentData[[#This Row],[Enrollment '[mmm-yyyy']]]&lt;=AD$4),IF(ISBLANK(Tbl_ResidentData[[#This Row],[Discharge '[mmm-yyyy']]]),TRUE,(Tbl_ResidentData[[#This Row],[Discharge '[mmm-yyyy']]]&gt;=AD$4)))))</f>
        <v>-</v>
      </c>
      <c r="AE129" s="121" t="str">
        <f ca="1">IF(AE$4&gt;NOW(),"-",IF(ISBLANK(Tbl_ResidentData[[#This Row],[Enrollment '[mmm-yyyy']]]),"-",AND((Tbl_ResidentData[[#This Row],[Enrollment '[mmm-yyyy']]]&lt;=AE$4),IF(ISBLANK(Tbl_ResidentData[[#This Row],[Discharge '[mmm-yyyy']]]),TRUE,(Tbl_ResidentData[[#This Row],[Discharge '[mmm-yyyy']]]&gt;=AE$4)))))</f>
        <v>-</v>
      </c>
      <c r="AF129" s="121" t="str">
        <f ca="1">IF(AF$4&gt;NOW(),"-",IF(ISBLANK(Tbl_ResidentData[[#This Row],[Enrollment '[mmm-yyyy']]]),"-",AND((Tbl_ResidentData[[#This Row],[Enrollment '[mmm-yyyy']]]&lt;=AF$4),IF(ISBLANK(Tbl_ResidentData[[#This Row],[Discharge '[mmm-yyyy']]]),TRUE,(Tbl_ResidentData[[#This Row],[Discharge '[mmm-yyyy']]]&gt;=AF$4)))))</f>
        <v>-</v>
      </c>
      <c r="AG129" s="121" t="str">
        <f ca="1">IF(AG$4&gt;NOW(),"-",IF(ISBLANK(Tbl_ResidentData[[#This Row],[Enrollment '[mmm-yyyy']]]),"-",AND((Tbl_ResidentData[[#This Row],[Enrollment '[mmm-yyyy']]]&lt;=AG$4),IF(ISBLANK(Tbl_ResidentData[[#This Row],[Discharge '[mmm-yyyy']]]),TRUE,(Tbl_ResidentData[[#This Row],[Discharge '[mmm-yyyy']]]&gt;=AG$4)))))</f>
        <v>-</v>
      </c>
      <c r="AH129" s="121" t="str">
        <f ca="1">IF(AH$4&gt;NOW(),"-",IF(ISBLANK(Tbl_ResidentData[[#This Row],[Enrollment '[mmm-yyyy']]]),"-",AND((Tbl_ResidentData[[#This Row],[Enrollment '[mmm-yyyy']]]&lt;=AH$4),IF(ISBLANK(Tbl_ResidentData[[#This Row],[Discharge '[mmm-yyyy']]]),TRUE,(Tbl_ResidentData[[#This Row],[Discharge '[mmm-yyyy']]]&gt;=AH$4)))))</f>
        <v>-</v>
      </c>
      <c r="AI129" s="121" t="str">
        <f ca="1">IF(AI$4&gt;NOW(),"-",IF(ISBLANK(Tbl_ResidentData[[#This Row],[Enrollment '[mmm-yyyy']]]),"-",AND((Tbl_ResidentData[[#This Row],[Enrollment '[mmm-yyyy']]]&lt;=AI$4),IF(ISBLANK(Tbl_ResidentData[[#This Row],[Discharge '[mmm-yyyy']]]),TRUE,(Tbl_ResidentData[[#This Row],[Discharge '[mmm-yyyy']]]&gt;=AI$4)))))</f>
        <v>-</v>
      </c>
      <c r="AJ129" s="121" t="str">
        <f ca="1">IF(AJ$4&gt;NOW(),"-",IF(ISBLANK(Tbl_ResidentData[[#This Row],[Enrollment '[mmm-yyyy']]]),"-",AND((Tbl_ResidentData[[#This Row],[Enrollment '[mmm-yyyy']]]&lt;=AJ$4),IF(ISBLANK(Tbl_ResidentData[[#This Row],[Discharge '[mmm-yyyy']]]),TRUE,(Tbl_ResidentData[[#This Row],[Discharge '[mmm-yyyy']]]&gt;=AJ$4)))))</f>
        <v>-</v>
      </c>
      <c r="AK129" s="121" t="str">
        <f ca="1">IF(AK$4&gt;NOW(),"-",IF(ISBLANK(Tbl_ResidentData[[#This Row],[Enrollment '[mmm-yyyy']]]),"-",AND((Tbl_ResidentData[[#This Row],[Enrollment '[mmm-yyyy']]]&lt;=AK$4),IF(ISBLANK(Tbl_ResidentData[[#This Row],[Discharge '[mmm-yyyy']]]),TRUE,(Tbl_ResidentData[[#This Row],[Discharge '[mmm-yyyy']]]&gt;=AK$4)))))</f>
        <v>-</v>
      </c>
      <c r="AL129" s="121" t="str">
        <f ca="1">IF(AL$4&gt;NOW(),"-",IF(ISBLANK(Tbl_ResidentData[[#This Row],[Enrollment '[mmm-yyyy']]]),"-",AND((Tbl_ResidentData[[#This Row],[Enrollment '[mmm-yyyy']]]&lt;=AL$4),IF(ISBLANK(Tbl_ResidentData[[#This Row],[Discharge '[mmm-yyyy']]]),TRUE,(Tbl_ResidentData[[#This Row],[Discharge '[mmm-yyyy']]]&gt;=AL$4)))))</f>
        <v>-</v>
      </c>
      <c r="AM129" s="121" t="str">
        <f ca="1">IF(AM$4&gt;NOW(),"-",IF(ISBLANK(Tbl_ResidentData[[#This Row],[Enrollment '[mmm-yyyy']]]),"-",AND((Tbl_ResidentData[[#This Row],[Enrollment '[mmm-yyyy']]]&lt;=AM$4),IF(ISBLANK(Tbl_ResidentData[[#This Row],[Discharge '[mmm-yyyy']]]),TRUE,(Tbl_ResidentData[[#This Row],[Discharge '[mmm-yyyy']]]&gt;=AM$4)))))</f>
        <v>-</v>
      </c>
      <c r="AN129" s="121" t="str">
        <f ca="1">IF(AN$4&gt;NOW(),"-",IF(ISBLANK(Tbl_ResidentData[[#This Row],[Enrollment '[mmm-yyyy']]]),"-",AND((Tbl_ResidentData[[#This Row],[Enrollment '[mmm-yyyy']]]&lt;=AN$4),IF(ISBLANK(Tbl_ResidentData[[#This Row],[Discharge '[mmm-yyyy']]]),TRUE,(Tbl_ResidentData[[#This Row],[Discharge '[mmm-yyyy']]]&gt;=AN$4)))))</f>
        <v>-</v>
      </c>
      <c r="AO129" s="121" t="str">
        <f ca="1">IF(AO$4&gt;NOW(),"-",IF(ISBLANK(Tbl_ResidentData[[#This Row],[Enrollment '[mmm-yyyy']]]),"-",AND((Tbl_ResidentData[[#This Row],[Enrollment '[mmm-yyyy']]]&lt;=AO$4),IF(ISBLANK(Tbl_ResidentData[[#This Row],[Discharge '[mmm-yyyy']]]),TRUE,(Tbl_ResidentData[[#This Row],[Discharge '[mmm-yyyy']]]&gt;=AO$4)))))</f>
        <v>-</v>
      </c>
      <c r="AP129" s="121" t="str">
        <f ca="1">IF(AP$4&gt;NOW(),"-",IF(ISBLANK(Tbl_ResidentData[[#This Row],[Enrollment '[mmm-yyyy']]]),"-",AND((Tbl_ResidentData[[#This Row],[Enrollment '[mmm-yyyy']]]&lt;=AP$4),IF(ISBLANK(Tbl_ResidentData[[#This Row],[Discharge '[mmm-yyyy']]]),TRUE,(Tbl_ResidentData[[#This Row],[Discharge '[mmm-yyyy']]]&gt;=AP$4)))))</f>
        <v>-</v>
      </c>
      <c r="AQ129" s="121" t="str">
        <f ca="1">IF(AQ$4&gt;NOW(),"-",IF(ISBLANK(Tbl_ResidentData[[#This Row],[Enrollment '[mmm-yyyy']]]),"-",AND((Tbl_ResidentData[[#This Row],[Enrollment '[mmm-yyyy']]]&lt;=AQ$4),IF(ISBLANK(Tbl_ResidentData[[#This Row],[Discharge '[mmm-yyyy']]]),TRUE,(Tbl_ResidentData[[#This Row],[Discharge '[mmm-yyyy']]]&gt;=AQ$4)))))</f>
        <v>-</v>
      </c>
      <c r="AR129" s="122" t="str">
        <f ca="1">IF(AR$4&gt;NOW(),"-",IF(ISBLANK(Tbl_ResidentData[[#This Row],[Enrollment '[mmm-yyyy']]]),"-",AND((Tbl_ResidentData[[#This Row],[Enrollment '[mmm-yyyy']]]&lt;=AR$4),IF(ISBLANK(Tbl_ResidentData[[#This Row],[Discharge '[mmm-yyyy']]]),TRUE,(Tbl_ResidentData[[#This Row],[Discharge '[mmm-yyyy']]]&gt;=AR$4)))))</f>
        <v>-</v>
      </c>
      <c r="AS12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9" s="120" t="b">
        <f ca="1">AND(Tbl_ResidentData[[#This Row],[PRN Med Started]]&lt;&gt;"",Tbl_ResidentData[[#This Row],[PRN Med Started]]&lt;=NOW(),Tbl_ResidentData[[#This Row],[PRN Med Started]]&lt;=AS$4,OR(Tbl_ResidentData[[#This Row],[PRN Med Discontinued]]&gt;AS$4,ISBLANK(Tbl_ResidentData[[#This Row],[PRN Med Discontinued]])))</f>
        <v>0</v>
      </c>
      <c r="BR129" s="121" t="b">
        <f ca="1">AND(Tbl_ResidentData[[#This Row],[PRN Med Started]]&lt;&gt;"",Tbl_ResidentData[[#This Row],[PRN Med Started]]&lt;=NOW(),Tbl_ResidentData[[#This Row],[PRN Med Started]]&lt;=AT$4,OR(Tbl_ResidentData[[#This Row],[PRN Med Discontinued]]&gt;AT$4,ISBLANK(Tbl_ResidentData[[#This Row],[PRN Med Discontinued]])))</f>
        <v>0</v>
      </c>
      <c r="BS129" s="121" t="b">
        <f ca="1">AND(Tbl_ResidentData[[#This Row],[PRN Med Started]]&lt;&gt;"",Tbl_ResidentData[[#This Row],[PRN Med Started]]&lt;=NOW(),Tbl_ResidentData[[#This Row],[PRN Med Started]]&lt;=AU$4,OR(Tbl_ResidentData[[#This Row],[PRN Med Discontinued]]&gt;AU$4,ISBLANK(Tbl_ResidentData[[#This Row],[PRN Med Discontinued]])))</f>
        <v>0</v>
      </c>
      <c r="BT129" s="121" t="b">
        <f ca="1">AND(Tbl_ResidentData[[#This Row],[PRN Med Started]]&lt;&gt;"",Tbl_ResidentData[[#This Row],[PRN Med Started]]&lt;=NOW(),Tbl_ResidentData[[#This Row],[PRN Med Started]]&lt;=AV$4,OR(Tbl_ResidentData[[#This Row],[PRN Med Discontinued]]&gt;AV$4,ISBLANK(Tbl_ResidentData[[#This Row],[PRN Med Discontinued]])))</f>
        <v>0</v>
      </c>
      <c r="BU129" s="121" t="b">
        <f ca="1">AND(Tbl_ResidentData[[#This Row],[PRN Med Started]]&lt;&gt;"",Tbl_ResidentData[[#This Row],[PRN Med Started]]&lt;=NOW(),Tbl_ResidentData[[#This Row],[PRN Med Started]]&lt;=AW$4,OR(Tbl_ResidentData[[#This Row],[PRN Med Discontinued]]&gt;AW$4,ISBLANK(Tbl_ResidentData[[#This Row],[PRN Med Discontinued]])))</f>
        <v>0</v>
      </c>
      <c r="BV129" s="121" t="b">
        <f ca="1">AND(Tbl_ResidentData[[#This Row],[PRN Med Started]]&lt;&gt;"",Tbl_ResidentData[[#This Row],[PRN Med Started]]&lt;=NOW(),Tbl_ResidentData[[#This Row],[PRN Med Started]]&lt;=AX$4,OR(Tbl_ResidentData[[#This Row],[PRN Med Discontinued]]&gt;AX$4,ISBLANK(Tbl_ResidentData[[#This Row],[PRN Med Discontinued]])))</f>
        <v>0</v>
      </c>
      <c r="BW129" s="121" t="b">
        <f ca="1">AND(Tbl_ResidentData[[#This Row],[PRN Med Started]]&lt;&gt;"",Tbl_ResidentData[[#This Row],[PRN Med Started]]&lt;=NOW(),Tbl_ResidentData[[#This Row],[PRN Med Started]]&lt;=AY$4,OR(Tbl_ResidentData[[#This Row],[PRN Med Discontinued]]&gt;AY$4,ISBLANK(Tbl_ResidentData[[#This Row],[PRN Med Discontinued]])))</f>
        <v>0</v>
      </c>
      <c r="BX129" s="121" t="b">
        <f ca="1">AND(Tbl_ResidentData[[#This Row],[PRN Med Started]]&lt;&gt;"",Tbl_ResidentData[[#This Row],[PRN Med Started]]&lt;=NOW(),Tbl_ResidentData[[#This Row],[PRN Med Started]]&lt;=AZ$4,OR(Tbl_ResidentData[[#This Row],[PRN Med Discontinued]]&gt;AZ$4,ISBLANK(Tbl_ResidentData[[#This Row],[PRN Med Discontinued]])))</f>
        <v>0</v>
      </c>
      <c r="BY129" s="121" t="b">
        <f ca="1">AND(Tbl_ResidentData[[#This Row],[PRN Med Started]]&lt;&gt;"",Tbl_ResidentData[[#This Row],[PRN Med Started]]&lt;=NOW(),Tbl_ResidentData[[#This Row],[PRN Med Started]]&lt;=BA$4,OR(Tbl_ResidentData[[#This Row],[PRN Med Discontinued]]&gt;BA$4,ISBLANK(Tbl_ResidentData[[#This Row],[PRN Med Discontinued]])))</f>
        <v>0</v>
      </c>
      <c r="BZ129" s="121" t="b">
        <f ca="1">AND(Tbl_ResidentData[[#This Row],[PRN Med Started]]&lt;&gt;"",Tbl_ResidentData[[#This Row],[PRN Med Started]]&lt;=NOW(),Tbl_ResidentData[[#This Row],[PRN Med Started]]&lt;=BB$4,OR(Tbl_ResidentData[[#This Row],[PRN Med Discontinued]]&gt;BB$4,ISBLANK(Tbl_ResidentData[[#This Row],[PRN Med Discontinued]])))</f>
        <v>0</v>
      </c>
      <c r="CA129" s="121" t="b">
        <f ca="1">AND(Tbl_ResidentData[[#This Row],[PRN Med Started]]&lt;&gt;"",Tbl_ResidentData[[#This Row],[PRN Med Started]]&lt;=NOW(),Tbl_ResidentData[[#This Row],[PRN Med Started]]&lt;=BC$4,OR(Tbl_ResidentData[[#This Row],[PRN Med Discontinued]]&gt;BC$4,ISBLANK(Tbl_ResidentData[[#This Row],[PRN Med Discontinued]])))</f>
        <v>0</v>
      </c>
      <c r="CB129" s="121" t="b">
        <f ca="1">AND(Tbl_ResidentData[[#This Row],[PRN Med Started]]&lt;&gt;"",Tbl_ResidentData[[#This Row],[PRN Med Started]]&lt;=NOW(),Tbl_ResidentData[[#This Row],[PRN Med Started]]&lt;=BD$4,OR(Tbl_ResidentData[[#This Row],[PRN Med Discontinued]]&gt;BD$4,ISBLANK(Tbl_ResidentData[[#This Row],[PRN Med Discontinued]])))</f>
        <v>0</v>
      </c>
      <c r="CC129" s="121" t="b">
        <f ca="1">AND(Tbl_ResidentData[[#This Row],[PRN Med Started]]&lt;&gt;"",Tbl_ResidentData[[#This Row],[PRN Med Started]]&lt;=NOW(),Tbl_ResidentData[[#This Row],[PRN Med Started]]&lt;=BE$4,OR(Tbl_ResidentData[[#This Row],[PRN Med Discontinued]]&gt;BE$4,ISBLANK(Tbl_ResidentData[[#This Row],[PRN Med Discontinued]])))</f>
        <v>0</v>
      </c>
      <c r="CD129" s="121" t="b">
        <f ca="1">AND(Tbl_ResidentData[[#This Row],[PRN Med Started]]&lt;&gt;"",Tbl_ResidentData[[#This Row],[PRN Med Started]]&lt;=NOW(),Tbl_ResidentData[[#This Row],[PRN Med Started]]&lt;=BF$4,OR(Tbl_ResidentData[[#This Row],[PRN Med Discontinued]]&gt;BF$4,ISBLANK(Tbl_ResidentData[[#This Row],[PRN Med Discontinued]])))</f>
        <v>0</v>
      </c>
      <c r="CE129" s="121" t="b">
        <f ca="1">AND(Tbl_ResidentData[[#This Row],[PRN Med Started]]&lt;&gt;"",Tbl_ResidentData[[#This Row],[PRN Med Started]]&lt;=NOW(),Tbl_ResidentData[[#This Row],[PRN Med Started]]&lt;=BG$4,OR(Tbl_ResidentData[[#This Row],[PRN Med Discontinued]]&gt;BG$4,ISBLANK(Tbl_ResidentData[[#This Row],[PRN Med Discontinued]])))</f>
        <v>0</v>
      </c>
      <c r="CF129" s="121" t="b">
        <f ca="1">AND(Tbl_ResidentData[[#This Row],[PRN Med Started]]&lt;&gt;"",Tbl_ResidentData[[#This Row],[PRN Med Started]]&lt;=NOW(),Tbl_ResidentData[[#This Row],[PRN Med Started]]&lt;=BH$4,OR(Tbl_ResidentData[[#This Row],[PRN Med Discontinued]]&gt;BH$4,ISBLANK(Tbl_ResidentData[[#This Row],[PRN Med Discontinued]])))</f>
        <v>0</v>
      </c>
      <c r="CG129" s="121" t="b">
        <f ca="1">AND(Tbl_ResidentData[[#This Row],[PRN Med Started]]&lt;&gt;"",Tbl_ResidentData[[#This Row],[PRN Med Started]]&lt;=NOW(),Tbl_ResidentData[[#This Row],[PRN Med Started]]&lt;=BI$4,OR(Tbl_ResidentData[[#This Row],[PRN Med Discontinued]]&gt;BI$4,ISBLANK(Tbl_ResidentData[[#This Row],[PRN Med Discontinued]])))</f>
        <v>0</v>
      </c>
      <c r="CH129" s="121" t="b">
        <f ca="1">AND(Tbl_ResidentData[[#This Row],[PRN Med Started]]&lt;&gt;"",Tbl_ResidentData[[#This Row],[PRN Med Started]]&lt;=NOW(),Tbl_ResidentData[[#This Row],[PRN Med Started]]&lt;=BJ$4,OR(Tbl_ResidentData[[#This Row],[PRN Med Discontinued]]&gt;BJ$4,ISBLANK(Tbl_ResidentData[[#This Row],[PRN Med Discontinued]])))</f>
        <v>0</v>
      </c>
      <c r="CI129" s="121" t="b">
        <f ca="1">AND(Tbl_ResidentData[[#This Row],[PRN Med Started]]&lt;&gt;"",Tbl_ResidentData[[#This Row],[PRN Med Started]]&lt;=NOW(),Tbl_ResidentData[[#This Row],[PRN Med Started]]&lt;=BK$4,OR(Tbl_ResidentData[[#This Row],[PRN Med Discontinued]]&gt;BK$4,ISBLANK(Tbl_ResidentData[[#This Row],[PRN Med Discontinued]])))</f>
        <v>0</v>
      </c>
      <c r="CJ129" s="121" t="b">
        <f ca="1">AND(Tbl_ResidentData[[#This Row],[PRN Med Started]]&lt;&gt;"",Tbl_ResidentData[[#This Row],[PRN Med Started]]&lt;=NOW(),Tbl_ResidentData[[#This Row],[PRN Med Started]]&lt;=BL$4,OR(Tbl_ResidentData[[#This Row],[PRN Med Discontinued]]&gt;BL$4,ISBLANK(Tbl_ResidentData[[#This Row],[PRN Med Discontinued]])))</f>
        <v>0</v>
      </c>
      <c r="CK129" s="121" t="b">
        <f ca="1">AND(Tbl_ResidentData[[#This Row],[PRN Med Started]]&lt;&gt;"",Tbl_ResidentData[[#This Row],[PRN Med Started]]&lt;=NOW(),Tbl_ResidentData[[#This Row],[PRN Med Started]]&lt;=BM$4,OR(Tbl_ResidentData[[#This Row],[PRN Med Discontinued]]&gt;BM$4,ISBLANK(Tbl_ResidentData[[#This Row],[PRN Med Discontinued]])))</f>
        <v>0</v>
      </c>
      <c r="CL129" s="121" t="b">
        <f ca="1">AND(Tbl_ResidentData[[#This Row],[PRN Med Started]]&lt;&gt;"",Tbl_ResidentData[[#This Row],[PRN Med Started]]&lt;=NOW(),Tbl_ResidentData[[#This Row],[PRN Med Started]]&lt;=BN$4,OR(Tbl_ResidentData[[#This Row],[PRN Med Discontinued]]&gt;BN$4,ISBLANK(Tbl_ResidentData[[#This Row],[PRN Med Discontinued]])))</f>
        <v>0</v>
      </c>
      <c r="CM129" s="121" t="b">
        <f ca="1">AND(Tbl_ResidentData[[#This Row],[PRN Med Started]]&lt;&gt;"",Tbl_ResidentData[[#This Row],[PRN Med Started]]&lt;=NOW(),Tbl_ResidentData[[#This Row],[PRN Med Started]]&lt;=BO$4,OR(Tbl_ResidentData[[#This Row],[PRN Med Discontinued]]&gt;BO$4,ISBLANK(Tbl_ResidentData[[#This Row],[PRN Med Discontinued]])))</f>
        <v>0</v>
      </c>
      <c r="CN129" s="122" t="b">
        <f ca="1">AND(Tbl_ResidentData[[#This Row],[PRN Med Started]]&lt;&gt;"",Tbl_ResidentData[[#This Row],[PRN Med Started]]&lt;=NOW(),Tbl_ResidentData[[#This Row],[PRN Med Started]]&lt;=BP$4,OR(Tbl_ResidentData[[#This Row],[PRN Med Discontinued]]&gt;BP$4,ISBLANK(Tbl_ResidentData[[#This Row],[PRN Med Discontinued]])))</f>
        <v>0</v>
      </c>
      <c r="CO129" s="120">
        <f ca="1">IF(OR(Tbl_ResidentData[[#This Row],[S1]]=TRUE,Tbl_ResidentData[[#This Row],[P1]]=TRUE),1,0)</f>
        <v>0</v>
      </c>
      <c r="CP129" s="121">
        <f ca="1">IF(OR(Tbl_ResidentData[[#This Row],[S2]]=TRUE,Tbl_ResidentData[[#This Row],[P2]]=TRUE),1,0)</f>
        <v>0</v>
      </c>
      <c r="CQ129" s="121">
        <f ca="1">IF(OR(Tbl_ResidentData[[#This Row],[S3]]=TRUE,Tbl_ResidentData[[#This Row],[P3]]=TRUE),1,0)</f>
        <v>0</v>
      </c>
      <c r="CR129" s="120">
        <f ca="1">IF(OR(Tbl_ResidentData[[#This Row],[S4]]=TRUE,Tbl_ResidentData[[#This Row],[P4]]=TRUE),1,0)</f>
        <v>0</v>
      </c>
      <c r="CS129" s="120">
        <f ca="1">IF(OR(Tbl_ResidentData[[#This Row],[S5]]=TRUE,Tbl_ResidentData[[#This Row],[P5]]=TRUE),1,0)</f>
        <v>0</v>
      </c>
      <c r="CT129" s="120">
        <f ca="1">IF(OR(Tbl_ResidentData[[#This Row],[S6]]=TRUE,Tbl_ResidentData[[#This Row],[P6]]=TRUE),1,0)</f>
        <v>0</v>
      </c>
      <c r="CU129" s="120">
        <f ca="1">IF(OR(Tbl_ResidentData[[#This Row],[S7]]=TRUE,Tbl_ResidentData[[#This Row],[P7]]=TRUE),1,0)</f>
        <v>0</v>
      </c>
      <c r="CV129" s="120">
        <f ca="1">IF(OR(Tbl_ResidentData[[#This Row],[S8]]=TRUE,Tbl_ResidentData[[#This Row],[P8]]=TRUE),1,0)</f>
        <v>0</v>
      </c>
      <c r="CW129" s="120">
        <f ca="1">IF(OR(Tbl_ResidentData[[#This Row],[S9]]=TRUE,Tbl_ResidentData[[#This Row],[P9]]=TRUE),1,0)</f>
        <v>0</v>
      </c>
      <c r="CX129" s="120">
        <f ca="1">IF(OR(Tbl_ResidentData[[#This Row],[S10]]=TRUE,Tbl_ResidentData[[#This Row],[P10]]=TRUE),1,0)</f>
        <v>0</v>
      </c>
      <c r="CY129" s="120">
        <f ca="1">IF(OR(Tbl_ResidentData[[#This Row],[S11]]=TRUE,Tbl_ResidentData[[#This Row],[P11]]=TRUE),1,0)</f>
        <v>0</v>
      </c>
      <c r="CZ129" s="120">
        <f ca="1">IF(OR(Tbl_ResidentData[[#This Row],[S12]]=TRUE,Tbl_ResidentData[[#This Row],[P12]]=TRUE),1,0)</f>
        <v>0</v>
      </c>
      <c r="DA129" s="120">
        <f ca="1">IF(OR(Tbl_ResidentData[[#This Row],[S13]]=TRUE,Tbl_ResidentData[[#This Row],[P13]]=TRUE),1,0)</f>
        <v>0</v>
      </c>
      <c r="DB129" s="120">
        <f ca="1">IF(OR(Tbl_ResidentData[[#This Row],[S14]]=TRUE,Tbl_ResidentData[[#This Row],[P14]]=TRUE),1,0)</f>
        <v>0</v>
      </c>
      <c r="DC129" s="120">
        <f ca="1">IF(OR(Tbl_ResidentData[[#This Row],[S15]]=TRUE,Tbl_ResidentData[[#This Row],[P15]]=TRUE),1,0)</f>
        <v>0</v>
      </c>
      <c r="DD129" s="120">
        <f ca="1">IF(OR(Tbl_ResidentData[[#This Row],[S16]]=TRUE,Tbl_ResidentData[[#This Row],[P16]]=TRUE),1,0)</f>
        <v>0</v>
      </c>
      <c r="DE129" s="120">
        <f ca="1">IF(OR(Tbl_ResidentData[[#This Row],[S17]]=TRUE,Tbl_ResidentData[[#This Row],[P17]]=TRUE),1,0)</f>
        <v>0</v>
      </c>
      <c r="DF129" s="120">
        <f ca="1">IF(OR(Tbl_ResidentData[[#This Row],[S18]]=TRUE,Tbl_ResidentData[[#This Row],[P18]]=TRUE),1,0)</f>
        <v>0</v>
      </c>
      <c r="DG129" s="120">
        <f ca="1">IF(OR(Tbl_ResidentData[[#This Row],[S19]]=TRUE,Tbl_ResidentData[[#This Row],[P19]]=TRUE),1,0)</f>
        <v>0</v>
      </c>
      <c r="DH129" s="120">
        <f ca="1">IF(OR(Tbl_ResidentData[[#This Row],[S20]]=TRUE,Tbl_ResidentData[[#This Row],[P20]]=TRUE),1,0)</f>
        <v>0</v>
      </c>
      <c r="DI129" s="120">
        <f ca="1">IF(OR(Tbl_ResidentData[[#This Row],[S21]]=TRUE,Tbl_ResidentData[[#This Row],[P21]]=TRUE),1,0)</f>
        <v>0</v>
      </c>
      <c r="DJ129" s="120">
        <f ca="1">IF(OR(Tbl_ResidentData[[#This Row],[S22]]=TRUE,Tbl_ResidentData[[#This Row],[P22]]=TRUE),1,0)</f>
        <v>0</v>
      </c>
      <c r="DK129" s="120">
        <f ca="1">IF(OR(Tbl_ResidentData[[#This Row],[S23]]=TRUE,Tbl_ResidentData[[#This Row],[P23]]=TRUE),1,0)</f>
        <v>0</v>
      </c>
      <c r="DL129" s="120">
        <f ca="1">IF(OR(Tbl_ResidentData[[#This Row],[S24]]=TRUE,Tbl_ResidentData[[#This Row],[P24]]=TRUE),1,0)</f>
        <v>0</v>
      </c>
      <c r="DM129" s="123" t="str">
        <f ca="1">IFERROR(INDEX($CO$4:$DL$4,MATCH(TRUE,INDEX((Tbl_ResidentData[[#This Row],[Over1]:[Over24]]&lt;&gt;0),0),0)),"")</f>
        <v/>
      </c>
      <c r="DN129" s="133" t="str">
        <f>IFERROR(INDEX(Tbl_PDSAData[Last DRT],MATCH(Tbl_ResidentData[Resident Name '[last, first']],Tbl_PDSAData[Resident Name (last, first)],0)),"")</f>
        <v/>
      </c>
      <c r="DO129" s="222" t="str">
        <f>IFERROR(INDEX(Tbl_PDSAData[Last MR],MATCH(Tbl_ResidentData[Resident Name '[last, first']],Tbl_PDSAData[Resident Name (last, first)],0)),"")</f>
        <v/>
      </c>
    </row>
    <row r="130" spans="1:119" x14ac:dyDescent="0.25">
      <c r="A130" s="179"/>
      <c r="B130" s="180"/>
      <c r="C130" s="180"/>
      <c r="D130" s="218"/>
      <c r="E130" s="179"/>
      <c r="F130" s="179"/>
      <c r="G130" s="181"/>
      <c r="H130" s="375"/>
      <c r="I130" s="185"/>
      <c r="J130" s="387"/>
      <c r="K130" s="178"/>
      <c r="L130" s="388"/>
      <c r="M130" s="185"/>
      <c r="N130" s="386"/>
      <c r="O130" s="178"/>
      <c r="P130" s="388"/>
      <c r="Q130" s="394"/>
      <c r="R130" s="388"/>
      <c r="S130" s="131" t="str">
        <f>IF(ISBLANK(Tbl_ResidentData[[#This Row],[Discharge '[mmm-yyyy']]]),IF(ISBLANK(Tbl_ResidentData[[#This Row],[Enrollment '[mmm-yyyy']]]),"","In Care Home"),"Discharged")</f>
        <v/>
      </c>
      <c r="T130" s="119" t="str">
        <f>IF(ISBLANK(Tbl_ResidentData[[#This Row],[Diagnosis (RAI)]]),IF(ISBLANK(Tbl_ResidentData[[#This Row],[Resident Name '[last, first']]]),"",0),IF(Tbl_ResidentData[[#This Row],[Diagnosis (RAI)]]="Other (see clinical notes)",0,1))</f>
        <v/>
      </c>
      <c r="U130" s="120" t="str">
        <f ca="1">IF(U$4&gt;NOW(),"-",IF(ISBLANK(Tbl_ResidentData[[#This Row],[Enrollment '[mmm-yyyy']]]),"-",AND((Tbl_ResidentData[[#This Row],[Enrollment '[mmm-yyyy']]]&lt;=U$4),IF(ISBLANK(Tbl_ResidentData[[#This Row],[Discharge '[mmm-yyyy']]]),TRUE,(Tbl_ResidentData[[#This Row],[Discharge '[mmm-yyyy']]]&gt;=U$4)))))</f>
        <v>-</v>
      </c>
      <c r="V130" s="121" t="str">
        <f ca="1">IF(V$4&gt;NOW(),"-",IF(ISBLANK(Tbl_ResidentData[[#This Row],[Enrollment '[mmm-yyyy']]]),"-",AND((Tbl_ResidentData[[#This Row],[Enrollment '[mmm-yyyy']]]&lt;=V$4),IF(ISBLANK(Tbl_ResidentData[[#This Row],[Discharge '[mmm-yyyy']]]),TRUE,(Tbl_ResidentData[[#This Row],[Discharge '[mmm-yyyy']]]&gt;=V$4)))))</f>
        <v>-</v>
      </c>
      <c r="W130" s="121" t="str">
        <f ca="1">IF(W$4&gt;NOW(),"-",IF(ISBLANK(Tbl_ResidentData[[#This Row],[Enrollment '[mmm-yyyy']]]),"-",AND((Tbl_ResidentData[[#This Row],[Enrollment '[mmm-yyyy']]]&lt;=W$4),IF(ISBLANK(Tbl_ResidentData[[#This Row],[Discharge '[mmm-yyyy']]]),TRUE,(Tbl_ResidentData[[#This Row],[Discharge '[mmm-yyyy']]]&gt;=W$4)))))</f>
        <v>-</v>
      </c>
      <c r="X130" s="121" t="str">
        <f ca="1">IF(X$4&gt;NOW(),"-",IF(ISBLANK(Tbl_ResidentData[[#This Row],[Enrollment '[mmm-yyyy']]]),"-",AND((Tbl_ResidentData[[#This Row],[Enrollment '[mmm-yyyy']]]&lt;=X$4),IF(ISBLANK(Tbl_ResidentData[[#This Row],[Discharge '[mmm-yyyy']]]),TRUE,(Tbl_ResidentData[[#This Row],[Discharge '[mmm-yyyy']]]&gt;=X$4)))))</f>
        <v>-</v>
      </c>
      <c r="Y130" s="121" t="str">
        <f ca="1">IF(Y$4&gt;NOW(),"-",IF(ISBLANK(Tbl_ResidentData[[#This Row],[Enrollment '[mmm-yyyy']]]),"-",AND((Tbl_ResidentData[[#This Row],[Enrollment '[mmm-yyyy']]]&lt;=Y$4),IF(ISBLANK(Tbl_ResidentData[[#This Row],[Discharge '[mmm-yyyy']]]),TRUE,(Tbl_ResidentData[[#This Row],[Discharge '[mmm-yyyy']]]&gt;=Y$4)))))</f>
        <v>-</v>
      </c>
      <c r="Z130" s="121" t="str">
        <f ca="1">IF(Z$4&gt;NOW(),"-",IF(ISBLANK(Tbl_ResidentData[[#This Row],[Enrollment '[mmm-yyyy']]]),"-",AND((Tbl_ResidentData[[#This Row],[Enrollment '[mmm-yyyy']]]&lt;=Z$4),IF(ISBLANK(Tbl_ResidentData[[#This Row],[Discharge '[mmm-yyyy']]]),TRUE,(Tbl_ResidentData[[#This Row],[Discharge '[mmm-yyyy']]]&gt;=Z$4)))))</f>
        <v>-</v>
      </c>
      <c r="AA130" s="121" t="str">
        <f ca="1">IF(AA$4&gt;NOW(),"-",IF(ISBLANK(Tbl_ResidentData[[#This Row],[Enrollment '[mmm-yyyy']]]),"-",AND((Tbl_ResidentData[[#This Row],[Enrollment '[mmm-yyyy']]]&lt;=AA$4),IF(ISBLANK(Tbl_ResidentData[[#This Row],[Discharge '[mmm-yyyy']]]),TRUE,(Tbl_ResidentData[[#This Row],[Discharge '[mmm-yyyy']]]&gt;=AA$4)))))</f>
        <v>-</v>
      </c>
      <c r="AB130" s="121" t="str">
        <f ca="1">IF(AB$4&gt;NOW(),"-",IF(ISBLANK(Tbl_ResidentData[[#This Row],[Enrollment '[mmm-yyyy']]]),"-",AND((Tbl_ResidentData[[#This Row],[Enrollment '[mmm-yyyy']]]&lt;=AB$4),IF(ISBLANK(Tbl_ResidentData[[#This Row],[Discharge '[mmm-yyyy']]]),TRUE,(Tbl_ResidentData[[#This Row],[Discharge '[mmm-yyyy']]]&gt;=AB$4)))))</f>
        <v>-</v>
      </c>
      <c r="AC130" s="121" t="str">
        <f ca="1">IF(AC$4&gt;NOW(),"-",IF(ISBLANK(Tbl_ResidentData[[#This Row],[Enrollment '[mmm-yyyy']]]),"-",AND((Tbl_ResidentData[[#This Row],[Enrollment '[mmm-yyyy']]]&lt;=AC$4),IF(ISBLANK(Tbl_ResidentData[[#This Row],[Discharge '[mmm-yyyy']]]),TRUE,(Tbl_ResidentData[[#This Row],[Discharge '[mmm-yyyy']]]&gt;=AC$4)))))</f>
        <v>-</v>
      </c>
      <c r="AD130" s="121" t="str">
        <f ca="1">IF(AD$4&gt;NOW(),"-",IF(ISBLANK(Tbl_ResidentData[[#This Row],[Enrollment '[mmm-yyyy']]]),"-",AND((Tbl_ResidentData[[#This Row],[Enrollment '[mmm-yyyy']]]&lt;=AD$4),IF(ISBLANK(Tbl_ResidentData[[#This Row],[Discharge '[mmm-yyyy']]]),TRUE,(Tbl_ResidentData[[#This Row],[Discharge '[mmm-yyyy']]]&gt;=AD$4)))))</f>
        <v>-</v>
      </c>
      <c r="AE130" s="121" t="str">
        <f ca="1">IF(AE$4&gt;NOW(),"-",IF(ISBLANK(Tbl_ResidentData[[#This Row],[Enrollment '[mmm-yyyy']]]),"-",AND((Tbl_ResidentData[[#This Row],[Enrollment '[mmm-yyyy']]]&lt;=AE$4),IF(ISBLANK(Tbl_ResidentData[[#This Row],[Discharge '[mmm-yyyy']]]),TRUE,(Tbl_ResidentData[[#This Row],[Discharge '[mmm-yyyy']]]&gt;=AE$4)))))</f>
        <v>-</v>
      </c>
      <c r="AF130" s="121" t="str">
        <f ca="1">IF(AF$4&gt;NOW(),"-",IF(ISBLANK(Tbl_ResidentData[[#This Row],[Enrollment '[mmm-yyyy']]]),"-",AND((Tbl_ResidentData[[#This Row],[Enrollment '[mmm-yyyy']]]&lt;=AF$4),IF(ISBLANK(Tbl_ResidentData[[#This Row],[Discharge '[mmm-yyyy']]]),TRUE,(Tbl_ResidentData[[#This Row],[Discharge '[mmm-yyyy']]]&gt;=AF$4)))))</f>
        <v>-</v>
      </c>
      <c r="AG130" s="121" t="str">
        <f ca="1">IF(AG$4&gt;NOW(),"-",IF(ISBLANK(Tbl_ResidentData[[#This Row],[Enrollment '[mmm-yyyy']]]),"-",AND((Tbl_ResidentData[[#This Row],[Enrollment '[mmm-yyyy']]]&lt;=AG$4),IF(ISBLANK(Tbl_ResidentData[[#This Row],[Discharge '[mmm-yyyy']]]),TRUE,(Tbl_ResidentData[[#This Row],[Discharge '[mmm-yyyy']]]&gt;=AG$4)))))</f>
        <v>-</v>
      </c>
      <c r="AH130" s="121" t="str">
        <f ca="1">IF(AH$4&gt;NOW(),"-",IF(ISBLANK(Tbl_ResidentData[[#This Row],[Enrollment '[mmm-yyyy']]]),"-",AND((Tbl_ResidentData[[#This Row],[Enrollment '[mmm-yyyy']]]&lt;=AH$4),IF(ISBLANK(Tbl_ResidentData[[#This Row],[Discharge '[mmm-yyyy']]]),TRUE,(Tbl_ResidentData[[#This Row],[Discharge '[mmm-yyyy']]]&gt;=AH$4)))))</f>
        <v>-</v>
      </c>
      <c r="AI130" s="121" t="str">
        <f ca="1">IF(AI$4&gt;NOW(),"-",IF(ISBLANK(Tbl_ResidentData[[#This Row],[Enrollment '[mmm-yyyy']]]),"-",AND((Tbl_ResidentData[[#This Row],[Enrollment '[mmm-yyyy']]]&lt;=AI$4),IF(ISBLANK(Tbl_ResidentData[[#This Row],[Discharge '[mmm-yyyy']]]),TRUE,(Tbl_ResidentData[[#This Row],[Discharge '[mmm-yyyy']]]&gt;=AI$4)))))</f>
        <v>-</v>
      </c>
      <c r="AJ130" s="121" t="str">
        <f ca="1">IF(AJ$4&gt;NOW(),"-",IF(ISBLANK(Tbl_ResidentData[[#This Row],[Enrollment '[mmm-yyyy']]]),"-",AND((Tbl_ResidentData[[#This Row],[Enrollment '[mmm-yyyy']]]&lt;=AJ$4),IF(ISBLANK(Tbl_ResidentData[[#This Row],[Discharge '[mmm-yyyy']]]),TRUE,(Tbl_ResidentData[[#This Row],[Discharge '[mmm-yyyy']]]&gt;=AJ$4)))))</f>
        <v>-</v>
      </c>
      <c r="AK130" s="121" t="str">
        <f ca="1">IF(AK$4&gt;NOW(),"-",IF(ISBLANK(Tbl_ResidentData[[#This Row],[Enrollment '[mmm-yyyy']]]),"-",AND((Tbl_ResidentData[[#This Row],[Enrollment '[mmm-yyyy']]]&lt;=AK$4),IF(ISBLANK(Tbl_ResidentData[[#This Row],[Discharge '[mmm-yyyy']]]),TRUE,(Tbl_ResidentData[[#This Row],[Discharge '[mmm-yyyy']]]&gt;=AK$4)))))</f>
        <v>-</v>
      </c>
      <c r="AL130" s="121" t="str">
        <f ca="1">IF(AL$4&gt;NOW(),"-",IF(ISBLANK(Tbl_ResidentData[[#This Row],[Enrollment '[mmm-yyyy']]]),"-",AND((Tbl_ResidentData[[#This Row],[Enrollment '[mmm-yyyy']]]&lt;=AL$4),IF(ISBLANK(Tbl_ResidentData[[#This Row],[Discharge '[mmm-yyyy']]]),TRUE,(Tbl_ResidentData[[#This Row],[Discharge '[mmm-yyyy']]]&gt;=AL$4)))))</f>
        <v>-</v>
      </c>
      <c r="AM130" s="121" t="str">
        <f ca="1">IF(AM$4&gt;NOW(),"-",IF(ISBLANK(Tbl_ResidentData[[#This Row],[Enrollment '[mmm-yyyy']]]),"-",AND((Tbl_ResidentData[[#This Row],[Enrollment '[mmm-yyyy']]]&lt;=AM$4),IF(ISBLANK(Tbl_ResidentData[[#This Row],[Discharge '[mmm-yyyy']]]),TRUE,(Tbl_ResidentData[[#This Row],[Discharge '[mmm-yyyy']]]&gt;=AM$4)))))</f>
        <v>-</v>
      </c>
      <c r="AN130" s="121" t="str">
        <f ca="1">IF(AN$4&gt;NOW(),"-",IF(ISBLANK(Tbl_ResidentData[[#This Row],[Enrollment '[mmm-yyyy']]]),"-",AND((Tbl_ResidentData[[#This Row],[Enrollment '[mmm-yyyy']]]&lt;=AN$4),IF(ISBLANK(Tbl_ResidentData[[#This Row],[Discharge '[mmm-yyyy']]]),TRUE,(Tbl_ResidentData[[#This Row],[Discharge '[mmm-yyyy']]]&gt;=AN$4)))))</f>
        <v>-</v>
      </c>
      <c r="AO130" s="121" t="str">
        <f ca="1">IF(AO$4&gt;NOW(),"-",IF(ISBLANK(Tbl_ResidentData[[#This Row],[Enrollment '[mmm-yyyy']]]),"-",AND((Tbl_ResidentData[[#This Row],[Enrollment '[mmm-yyyy']]]&lt;=AO$4),IF(ISBLANK(Tbl_ResidentData[[#This Row],[Discharge '[mmm-yyyy']]]),TRUE,(Tbl_ResidentData[[#This Row],[Discharge '[mmm-yyyy']]]&gt;=AO$4)))))</f>
        <v>-</v>
      </c>
      <c r="AP130" s="121" t="str">
        <f ca="1">IF(AP$4&gt;NOW(),"-",IF(ISBLANK(Tbl_ResidentData[[#This Row],[Enrollment '[mmm-yyyy']]]),"-",AND((Tbl_ResidentData[[#This Row],[Enrollment '[mmm-yyyy']]]&lt;=AP$4),IF(ISBLANK(Tbl_ResidentData[[#This Row],[Discharge '[mmm-yyyy']]]),TRUE,(Tbl_ResidentData[[#This Row],[Discharge '[mmm-yyyy']]]&gt;=AP$4)))))</f>
        <v>-</v>
      </c>
      <c r="AQ130" s="121" t="str">
        <f ca="1">IF(AQ$4&gt;NOW(),"-",IF(ISBLANK(Tbl_ResidentData[[#This Row],[Enrollment '[mmm-yyyy']]]),"-",AND((Tbl_ResidentData[[#This Row],[Enrollment '[mmm-yyyy']]]&lt;=AQ$4),IF(ISBLANK(Tbl_ResidentData[[#This Row],[Discharge '[mmm-yyyy']]]),TRUE,(Tbl_ResidentData[[#This Row],[Discharge '[mmm-yyyy']]]&gt;=AQ$4)))))</f>
        <v>-</v>
      </c>
      <c r="AR130" s="122" t="str">
        <f ca="1">IF(AR$4&gt;NOW(),"-",IF(ISBLANK(Tbl_ResidentData[[#This Row],[Enrollment '[mmm-yyyy']]]),"-",AND((Tbl_ResidentData[[#This Row],[Enrollment '[mmm-yyyy']]]&lt;=AR$4),IF(ISBLANK(Tbl_ResidentData[[#This Row],[Discharge '[mmm-yyyy']]]),TRUE,(Tbl_ResidentData[[#This Row],[Discharge '[mmm-yyyy']]]&gt;=AR$4)))))</f>
        <v>-</v>
      </c>
      <c r="AS13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0" s="120" t="b">
        <f ca="1">AND(Tbl_ResidentData[[#This Row],[PRN Med Started]]&lt;&gt;"",Tbl_ResidentData[[#This Row],[PRN Med Started]]&lt;=NOW(),Tbl_ResidentData[[#This Row],[PRN Med Started]]&lt;=AS$4,OR(Tbl_ResidentData[[#This Row],[PRN Med Discontinued]]&gt;AS$4,ISBLANK(Tbl_ResidentData[[#This Row],[PRN Med Discontinued]])))</f>
        <v>0</v>
      </c>
      <c r="BR130" s="121" t="b">
        <f ca="1">AND(Tbl_ResidentData[[#This Row],[PRN Med Started]]&lt;&gt;"",Tbl_ResidentData[[#This Row],[PRN Med Started]]&lt;=NOW(),Tbl_ResidentData[[#This Row],[PRN Med Started]]&lt;=AT$4,OR(Tbl_ResidentData[[#This Row],[PRN Med Discontinued]]&gt;AT$4,ISBLANK(Tbl_ResidentData[[#This Row],[PRN Med Discontinued]])))</f>
        <v>0</v>
      </c>
      <c r="BS130" s="121" t="b">
        <f ca="1">AND(Tbl_ResidentData[[#This Row],[PRN Med Started]]&lt;&gt;"",Tbl_ResidentData[[#This Row],[PRN Med Started]]&lt;=NOW(),Tbl_ResidentData[[#This Row],[PRN Med Started]]&lt;=AU$4,OR(Tbl_ResidentData[[#This Row],[PRN Med Discontinued]]&gt;AU$4,ISBLANK(Tbl_ResidentData[[#This Row],[PRN Med Discontinued]])))</f>
        <v>0</v>
      </c>
      <c r="BT130" s="121" t="b">
        <f ca="1">AND(Tbl_ResidentData[[#This Row],[PRN Med Started]]&lt;&gt;"",Tbl_ResidentData[[#This Row],[PRN Med Started]]&lt;=NOW(),Tbl_ResidentData[[#This Row],[PRN Med Started]]&lt;=AV$4,OR(Tbl_ResidentData[[#This Row],[PRN Med Discontinued]]&gt;AV$4,ISBLANK(Tbl_ResidentData[[#This Row],[PRN Med Discontinued]])))</f>
        <v>0</v>
      </c>
      <c r="BU130" s="121" t="b">
        <f ca="1">AND(Tbl_ResidentData[[#This Row],[PRN Med Started]]&lt;&gt;"",Tbl_ResidentData[[#This Row],[PRN Med Started]]&lt;=NOW(),Tbl_ResidentData[[#This Row],[PRN Med Started]]&lt;=AW$4,OR(Tbl_ResidentData[[#This Row],[PRN Med Discontinued]]&gt;AW$4,ISBLANK(Tbl_ResidentData[[#This Row],[PRN Med Discontinued]])))</f>
        <v>0</v>
      </c>
      <c r="BV130" s="121" t="b">
        <f ca="1">AND(Tbl_ResidentData[[#This Row],[PRN Med Started]]&lt;&gt;"",Tbl_ResidentData[[#This Row],[PRN Med Started]]&lt;=NOW(),Tbl_ResidentData[[#This Row],[PRN Med Started]]&lt;=AX$4,OR(Tbl_ResidentData[[#This Row],[PRN Med Discontinued]]&gt;AX$4,ISBLANK(Tbl_ResidentData[[#This Row],[PRN Med Discontinued]])))</f>
        <v>0</v>
      </c>
      <c r="BW130" s="121" t="b">
        <f ca="1">AND(Tbl_ResidentData[[#This Row],[PRN Med Started]]&lt;&gt;"",Tbl_ResidentData[[#This Row],[PRN Med Started]]&lt;=NOW(),Tbl_ResidentData[[#This Row],[PRN Med Started]]&lt;=AY$4,OR(Tbl_ResidentData[[#This Row],[PRN Med Discontinued]]&gt;AY$4,ISBLANK(Tbl_ResidentData[[#This Row],[PRN Med Discontinued]])))</f>
        <v>0</v>
      </c>
      <c r="BX130" s="121" t="b">
        <f ca="1">AND(Tbl_ResidentData[[#This Row],[PRN Med Started]]&lt;&gt;"",Tbl_ResidentData[[#This Row],[PRN Med Started]]&lt;=NOW(),Tbl_ResidentData[[#This Row],[PRN Med Started]]&lt;=AZ$4,OR(Tbl_ResidentData[[#This Row],[PRN Med Discontinued]]&gt;AZ$4,ISBLANK(Tbl_ResidentData[[#This Row],[PRN Med Discontinued]])))</f>
        <v>0</v>
      </c>
      <c r="BY130" s="121" t="b">
        <f ca="1">AND(Tbl_ResidentData[[#This Row],[PRN Med Started]]&lt;&gt;"",Tbl_ResidentData[[#This Row],[PRN Med Started]]&lt;=NOW(),Tbl_ResidentData[[#This Row],[PRN Med Started]]&lt;=BA$4,OR(Tbl_ResidentData[[#This Row],[PRN Med Discontinued]]&gt;BA$4,ISBLANK(Tbl_ResidentData[[#This Row],[PRN Med Discontinued]])))</f>
        <v>0</v>
      </c>
      <c r="BZ130" s="121" t="b">
        <f ca="1">AND(Tbl_ResidentData[[#This Row],[PRN Med Started]]&lt;&gt;"",Tbl_ResidentData[[#This Row],[PRN Med Started]]&lt;=NOW(),Tbl_ResidentData[[#This Row],[PRN Med Started]]&lt;=BB$4,OR(Tbl_ResidentData[[#This Row],[PRN Med Discontinued]]&gt;BB$4,ISBLANK(Tbl_ResidentData[[#This Row],[PRN Med Discontinued]])))</f>
        <v>0</v>
      </c>
      <c r="CA130" s="121" t="b">
        <f ca="1">AND(Tbl_ResidentData[[#This Row],[PRN Med Started]]&lt;&gt;"",Tbl_ResidentData[[#This Row],[PRN Med Started]]&lt;=NOW(),Tbl_ResidentData[[#This Row],[PRN Med Started]]&lt;=BC$4,OR(Tbl_ResidentData[[#This Row],[PRN Med Discontinued]]&gt;BC$4,ISBLANK(Tbl_ResidentData[[#This Row],[PRN Med Discontinued]])))</f>
        <v>0</v>
      </c>
      <c r="CB130" s="121" t="b">
        <f ca="1">AND(Tbl_ResidentData[[#This Row],[PRN Med Started]]&lt;&gt;"",Tbl_ResidentData[[#This Row],[PRN Med Started]]&lt;=NOW(),Tbl_ResidentData[[#This Row],[PRN Med Started]]&lt;=BD$4,OR(Tbl_ResidentData[[#This Row],[PRN Med Discontinued]]&gt;BD$4,ISBLANK(Tbl_ResidentData[[#This Row],[PRN Med Discontinued]])))</f>
        <v>0</v>
      </c>
      <c r="CC130" s="121" t="b">
        <f ca="1">AND(Tbl_ResidentData[[#This Row],[PRN Med Started]]&lt;&gt;"",Tbl_ResidentData[[#This Row],[PRN Med Started]]&lt;=NOW(),Tbl_ResidentData[[#This Row],[PRN Med Started]]&lt;=BE$4,OR(Tbl_ResidentData[[#This Row],[PRN Med Discontinued]]&gt;BE$4,ISBLANK(Tbl_ResidentData[[#This Row],[PRN Med Discontinued]])))</f>
        <v>0</v>
      </c>
      <c r="CD130" s="121" t="b">
        <f ca="1">AND(Tbl_ResidentData[[#This Row],[PRN Med Started]]&lt;&gt;"",Tbl_ResidentData[[#This Row],[PRN Med Started]]&lt;=NOW(),Tbl_ResidentData[[#This Row],[PRN Med Started]]&lt;=BF$4,OR(Tbl_ResidentData[[#This Row],[PRN Med Discontinued]]&gt;BF$4,ISBLANK(Tbl_ResidentData[[#This Row],[PRN Med Discontinued]])))</f>
        <v>0</v>
      </c>
      <c r="CE130" s="121" t="b">
        <f ca="1">AND(Tbl_ResidentData[[#This Row],[PRN Med Started]]&lt;&gt;"",Tbl_ResidentData[[#This Row],[PRN Med Started]]&lt;=NOW(),Tbl_ResidentData[[#This Row],[PRN Med Started]]&lt;=BG$4,OR(Tbl_ResidentData[[#This Row],[PRN Med Discontinued]]&gt;BG$4,ISBLANK(Tbl_ResidentData[[#This Row],[PRN Med Discontinued]])))</f>
        <v>0</v>
      </c>
      <c r="CF130" s="121" t="b">
        <f ca="1">AND(Tbl_ResidentData[[#This Row],[PRN Med Started]]&lt;&gt;"",Tbl_ResidentData[[#This Row],[PRN Med Started]]&lt;=NOW(),Tbl_ResidentData[[#This Row],[PRN Med Started]]&lt;=BH$4,OR(Tbl_ResidentData[[#This Row],[PRN Med Discontinued]]&gt;BH$4,ISBLANK(Tbl_ResidentData[[#This Row],[PRN Med Discontinued]])))</f>
        <v>0</v>
      </c>
      <c r="CG130" s="121" t="b">
        <f ca="1">AND(Tbl_ResidentData[[#This Row],[PRN Med Started]]&lt;&gt;"",Tbl_ResidentData[[#This Row],[PRN Med Started]]&lt;=NOW(),Tbl_ResidentData[[#This Row],[PRN Med Started]]&lt;=BI$4,OR(Tbl_ResidentData[[#This Row],[PRN Med Discontinued]]&gt;BI$4,ISBLANK(Tbl_ResidentData[[#This Row],[PRN Med Discontinued]])))</f>
        <v>0</v>
      </c>
      <c r="CH130" s="121" t="b">
        <f ca="1">AND(Tbl_ResidentData[[#This Row],[PRN Med Started]]&lt;&gt;"",Tbl_ResidentData[[#This Row],[PRN Med Started]]&lt;=NOW(),Tbl_ResidentData[[#This Row],[PRN Med Started]]&lt;=BJ$4,OR(Tbl_ResidentData[[#This Row],[PRN Med Discontinued]]&gt;BJ$4,ISBLANK(Tbl_ResidentData[[#This Row],[PRN Med Discontinued]])))</f>
        <v>0</v>
      </c>
      <c r="CI130" s="121" t="b">
        <f ca="1">AND(Tbl_ResidentData[[#This Row],[PRN Med Started]]&lt;&gt;"",Tbl_ResidentData[[#This Row],[PRN Med Started]]&lt;=NOW(),Tbl_ResidentData[[#This Row],[PRN Med Started]]&lt;=BK$4,OR(Tbl_ResidentData[[#This Row],[PRN Med Discontinued]]&gt;BK$4,ISBLANK(Tbl_ResidentData[[#This Row],[PRN Med Discontinued]])))</f>
        <v>0</v>
      </c>
      <c r="CJ130" s="121" t="b">
        <f ca="1">AND(Tbl_ResidentData[[#This Row],[PRN Med Started]]&lt;&gt;"",Tbl_ResidentData[[#This Row],[PRN Med Started]]&lt;=NOW(),Tbl_ResidentData[[#This Row],[PRN Med Started]]&lt;=BL$4,OR(Tbl_ResidentData[[#This Row],[PRN Med Discontinued]]&gt;BL$4,ISBLANK(Tbl_ResidentData[[#This Row],[PRN Med Discontinued]])))</f>
        <v>0</v>
      </c>
      <c r="CK130" s="121" t="b">
        <f ca="1">AND(Tbl_ResidentData[[#This Row],[PRN Med Started]]&lt;&gt;"",Tbl_ResidentData[[#This Row],[PRN Med Started]]&lt;=NOW(),Tbl_ResidentData[[#This Row],[PRN Med Started]]&lt;=BM$4,OR(Tbl_ResidentData[[#This Row],[PRN Med Discontinued]]&gt;BM$4,ISBLANK(Tbl_ResidentData[[#This Row],[PRN Med Discontinued]])))</f>
        <v>0</v>
      </c>
      <c r="CL130" s="121" t="b">
        <f ca="1">AND(Tbl_ResidentData[[#This Row],[PRN Med Started]]&lt;&gt;"",Tbl_ResidentData[[#This Row],[PRN Med Started]]&lt;=NOW(),Tbl_ResidentData[[#This Row],[PRN Med Started]]&lt;=BN$4,OR(Tbl_ResidentData[[#This Row],[PRN Med Discontinued]]&gt;BN$4,ISBLANK(Tbl_ResidentData[[#This Row],[PRN Med Discontinued]])))</f>
        <v>0</v>
      </c>
      <c r="CM130" s="121" t="b">
        <f ca="1">AND(Tbl_ResidentData[[#This Row],[PRN Med Started]]&lt;&gt;"",Tbl_ResidentData[[#This Row],[PRN Med Started]]&lt;=NOW(),Tbl_ResidentData[[#This Row],[PRN Med Started]]&lt;=BO$4,OR(Tbl_ResidentData[[#This Row],[PRN Med Discontinued]]&gt;BO$4,ISBLANK(Tbl_ResidentData[[#This Row],[PRN Med Discontinued]])))</f>
        <v>0</v>
      </c>
      <c r="CN130" s="122" t="b">
        <f ca="1">AND(Tbl_ResidentData[[#This Row],[PRN Med Started]]&lt;&gt;"",Tbl_ResidentData[[#This Row],[PRN Med Started]]&lt;=NOW(),Tbl_ResidentData[[#This Row],[PRN Med Started]]&lt;=BP$4,OR(Tbl_ResidentData[[#This Row],[PRN Med Discontinued]]&gt;BP$4,ISBLANK(Tbl_ResidentData[[#This Row],[PRN Med Discontinued]])))</f>
        <v>0</v>
      </c>
      <c r="CO130" s="120">
        <f ca="1">IF(OR(Tbl_ResidentData[[#This Row],[S1]]=TRUE,Tbl_ResidentData[[#This Row],[P1]]=TRUE),1,0)</f>
        <v>0</v>
      </c>
      <c r="CP130" s="121">
        <f ca="1">IF(OR(Tbl_ResidentData[[#This Row],[S2]]=TRUE,Tbl_ResidentData[[#This Row],[P2]]=TRUE),1,0)</f>
        <v>0</v>
      </c>
      <c r="CQ130" s="121">
        <f ca="1">IF(OR(Tbl_ResidentData[[#This Row],[S3]]=TRUE,Tbl_ResidentData[[#This Row],[P3]]=TRUE),1,0)</f>
        <v>0</v>
      </c>
      <c r="CR130" s="120">
        <f ca="1">IF(OR(Tbl_ResidentData[[#This Row],[S4]]=TRUE,Tbl_ResidentData[[#This Row],[P4]]=TRUE),1,0)</f>
        <v>0</v>
      </c>
      <c r="CS130" s="120">
        <f ca="1">IF(OR(Tbl_ResidentData[[#This Row],[S5]]=TRUE,Tbl_ResidentData[[#This Row],[P5]]=TRUE),1,0)</f>
        <v>0</v>
      </c>
      <c r="CT130" s="120">
        <f ca="1">IF(OR(Tbl_ResidentData[[#This Row],[S6]]=TRUE,Tbl_ResidentData[[#This Row],[P6]]=TRUE),1,0)</f>
        <v>0</v>
      </c>
      <c r="CU130" s="120">
        <f ca="1">IF(OR(Tbl_ResidentData[[#This Row],[S7]]=TRUE,Tbl_ResidentData[[#This Row],[P7]]=TRUE),1,0)</f>
        <v>0</v>
      </c>
      <c r="CV130" s="120">
        <f ca="1">IF(OR(Tbl_ResidentData[[#This Row],[S8]]=TRUE,Tbl_ResidentData[[#This Row],[P8]]=TRUE),1,0)</f>
        <v>0</v>
      </c>
      <c r="CW130" s="120">
        <f ca="1">IF(OR(Tbl_ResidentData[[#This Row],[S9]]=TRUE,Tbl_ResidentData[[#This Row],[P9]]=TRUE),1,0)</f>
        <v>0</v>
      </c>
      <c r="CX130" s="120">
        <f ca="1">IF(OR(Tbl_ResidentData[[#This Row],[S10]]=TRUE,Tbl_ResidentData[[#This Row],[P10]]=TRUE),1,0)</f>
        <v>0</v>
      </c>
      <c r="CY130" s="120">
        <f ca="1">IF(OR(Tbl_ResidentData[[#This Row],[S11]]=TRUE,Tbl_ResidentData[[#This Row],[P11]]=TRUE),1,0)</f>
        <v>0</v>
      </c>
      <c r="CZ130" s="120">
        <f ca="1">IF(OR(Tbl_ResidentData[[#This Row],[S12]]=TRUE,Tbl_ResidentData[[#This Row],[P12]]=TRUE),1,0)</f>
        <v>0</v>
      </c>
      <c r="DA130" s="120">
        <f ca="1">IF(OR(Tbl_ResidentData[[#This Row],[S13]]=TRUE,Tbl_ResidentData[[#This Row],[P13]]=TRUE),1,0)</f>
        <v>0</v>
      </c>
      <c r="DB130" s="120">
        <f ca="1">IF(OR(Tbl_ResidentData[[#This Row],[S14]]=TRUE,Tbl_ResidentData[[#This Row],[P14]]=TRUE),1,0)</f>
        <v>0</v>
      </c>
      <c r="DC130" s="120">
        <f ca="1">IF(OR(Tbl_ResidentData[[#This Row],[S15]]=TRUE,Tbl_ResidentData[[#This Row],[P15]]=TRUE),1,0)</f>
        <v>0</v>
      </c>
      <c r="DD130" s="120">
        <f ca="1">IF(OR(Tbl_ResidentData[[#This Row],[S16]]=TRUE,Tbl_ResidentData[[#This Row],[P16]]=TRUE),1,0)</f>
        <v>0</v>
      </c>
      <c r="DE130" s="120">
        <f ca="1">IF(OR(Tbl_ResidentData[[#This Row],[S17]]=TRUE,Tbl_ResidentData[[#This Row],[P17]]=TRUE),1,0)</f>
        <v>0</v>
      </c>
      <c r="DF130" s="120">
        <f ca="1">IF(OR(Tbl_ResidentData[[#This Row],[S18]]=TRUE,Tbl_ResidentData[[#This Row],[P18]]=TRUE),1,0)</f>
        <v>0</v>
      </c>
      <c r="DG130" s="120">
        <f ca="1">IF(OR(Tbl_ResidentData[[#This Row],[S19]]=TRUE,Tbl_ResidentData[[#This Row],[P19]]=TRUE),1,0)</f>
        <v>0</v>
      </c>
      <c r="DH130" s="120">
        <f ca="1">IF(OR(Tbl_ResidentData[[#This Row],[S20]]=TRUE,Tbl_ResidentData[[#This Row],[P20]]=TRUE),1,0)</f>
        <v>0</v>
      </c>
      <c r="DI130" s="120">
        <f ca="1">IF(OR(Tbl_ResidentData[[#This Row],[S21]]=TRUE,Tbl_ResidentData[[#This Row],[P21]]=TRUE),1,0)</f>
        <v>0</v>
      </c>
      <c r="DJ130" s="120">
        <f ca="1">IF(OR(Tbl_ResidentData[[#This Row],[S22]]=TRUE,Tbl_ResidentData[[#This Row],[P22]]=TRUE),1,0)</f>
        <v>0</v>
      </c>
      <c r="DK130" s="120">
        <f ca="1">IF(OR(Tbl_ResidentData[[#This Row],[S23]]=TRUE,Tbl_ResidentData[[#This Row],[P23]]=TRUE),1,0)</f>
        <v>0</v>
      </c>
      <c r="DL130" s="120">
        <f ca="1">IF(OR(Tbl_ResidentData[[#This Row],[S24]]=TRUE,Tbl_ResidentData[[#This Row],[P24]]=TRUE),1,0)</f>
        <v>0</v>
      </c>
      <c r="DM130" s="123" t="str">
        <f ca="1">IFERROR(INDEX($CO$4:$DL$4,MATCH(TRUE,INDEX((Tbl_ResidentData[[#This Row],[Over1]:[Over24]]&lt;&gt;0),0),0)),"")</f>
        <v/>
      </c>
      <c r="DN130" s="133" t="str">
        <f>IFERROR(INDEX(Tbl_PDSAData[Last DRT],MATCH(Tbl_ResidentData[Resident Name '[last, first']],Tbl_PDSAData[Resident Name (last, first)],0)),"")</f>
        <v/>
      </c>
      <c r="DO130" s="222" t="str">
        <f>IFERROR(INDEX(Tbl_PDSAData[Last MR],MATCH(Tbl_ResidentData[Resident Name '[last, first']],Tbl_PDSAData[Resident Name (last, first)],0)),"")</f>
        <v/>
      </c>
    </row>
    <row r="131" spans="1:119" x14ac:dyDescent="0.25">
      <c r="A131" s="179"/>
      <c r="B131" s="180"/>
      <c r="C131" s="180"/>
      <c r="D131" s="218"/>
      <c r="E131" s="179"/>
      <c r="F131" s="179"/>
      <c r="G131" s="181"/>
      <c r="H131" s="375"/>
      <c r="I131" s="185"/>
      <c r="J131" s="387"/>
      <c r="K131" s="178"/>
      <c r="L131" s="388"/>
      <c r="M131" s="185"/>
      <c r="N131" s="386"/>
      <c r="O131" s="178"/>
      <c r="P131" s="388"/>
      <c r="Q131" s="395"/>
      <c r="R131" s="396"/>
      <c r="S131" s="131" t="str">
        <f>IF(ISBLANK(Tbl_ResidentData[[#This Row],[Discharge '[mmm-yyyy']]]),IF(ISBLANK(Tbl_ResidentData[[#This Row],[Enrollment '[mmm-yyyy']]]),"","In Care Home"),"Discharged")</f>
        <v/>
      </c>
      <c r="T131" s="119" t="str">
        <f>IF(ISBLANK(Tbl_ResidentData[[#This Row],[Diagnosis (RAI)]]),IF(ISBLANK(Tbl_ResidentData[[#This Row],[Resident Name '[last, first']]]),"",0),IF(Tbl_ResidentData[[#This Row],[Diagnosis (RAI)]]="Other (see clinical notes)",0,1))</f>
        <v/>
      </c>
      <c r="U131" s="120" t="str">
        <f ca="1">IF(U$4&gt;NOW(),"-",IF(ISBLANK(Tbl_ResidentData[[#This Row],[Enrollment '[mmm-yyyy']]]),"-",AND((Tbl_ResidentData[[#This Row],[Enrollment '[mmm-yyyy']]]&lt;=U$4),IF(ISBLANK(Tbl_ResidentData[[#This Row],[Discharge '[mmm-yyyy']]]),TRUE,(Tbl_ResidentData[[#This Row],[Discharge '[mmm-yyyy']]]&gt;=U$4)))))</f>
        <v>-</v>
      </c>
      <c r="V131" s="121" t="str">
        <f ca="1">IF(V$4&gt;NOW(),"-",IF(ISBLANK(Tbl_ResidentData[[#This Row],[Enrollment '[mmm-yyyy']]]),"-",AND((Tbl_ResidentData[[#This Row],[Enrollment '[mmm-yyyy']]]&lt;=V$4),IF(ISBLANK(Tbl_ResidentData[[#This Row],[Discharge '[mmm-yyyy']]]),TRUE,(Tbl_ResidentData[[#This Row],[Discharge '[mmm-yyyy']]]&gt;=V$4)))))</f>
        <v>-</v>
      </c>
      <c r="W131" s="121" t="str">
        <f ca="1">IF(W$4&gt;NOW(),"-",IF(ISBLANK(Tbl_ResidentData[[#This Row],[Enrollment '[mmm-yyyy']]]),"-",AND((Tbl_ResidentData[[#This Row],[Enrollment '[mmm-yyyy']]]&lt;=W$4),IF(ISBLANK(Tbl_ResidentData[[#This Row],[Discharge '[mmm-yyyy']]]),TRUE,(Tbl_ResidentData[[#This Row],[Discharge '[mmm-yyyy']]]&gt;=W$4)))))</f>
        <v>-</v>
      </c>
      <c r="X131" s="121" t="str">
        <f ca="1">IF(X$4&gt;NOW(),"-",IF(ISBLANK(Tbl_ResidentData[[#This Row],[Enrollment '[mmm-yyyy']]]),"-",AND((Tbl_ResidentData[[#This Row],[Enrollment '[mmm-yyyy']]]&lt;=X$4),IF(ISBLANK(Tbl_ResidentData[[#This Row],[Discharge '[mmm-yyyy']]]),TRUE,(Tbl_ResidentData[[#This Row],[Discharge '[mmm-yyyy']]]&gt;=X$4)))))</f>
        <v>-</v>
      </c>
      <c r="Y131" s="121" t="str">
        <f ca="1">IF(Y$4&gt;NOW(),"-",IF(ISBLANK(Tbl_ResidentData[[#This Row],[Enrollment '[mmm-yyyy']]]),"-",AND((Tbl_ResidentData[[#This Row],[Enrollment '[mmm-yyyy']]]&lt;=Y$4),IF(ISBLANK(Tbl_ResidentData[[#This Row],[Discharge '[mmm-yyyy']]]),TRUE,(Tbl_ResidentData[[#This Row],[Discharge '[mmm-yyyy']]]&gt;=Y$4)))))</f>
        <v>-</v>
      </c>
      <c r="Z131" s="121" t="str">
        <f ca="1">IF(Z$4&gt;NOW(),"-",IF(ISBLANK(Tbl_ResidentData[[#This Row],[Enrollment '[mmm-yyyy']]]),"-",AND((Tbl_ResidentData[[#This Row],[Enrollment '[mmm-yyyy']]]&lt;=Z$4),IF(ISBLANK(Tbl_ResidentData[[#This Row],[Discharge '[mmm-yyyy']]]),TRUE,(Tbl_ResidentData[[#This Row],[Discharge '[mmm-yyyy']]]&gt;=Z$4)))))</f>
        <v>-</v>
      </c>
      <c r="AA131" s="121" t="str">
        <f ca="1">IF(AA$4&gt;NOW(),"-",IF(ISBLANK(Tbl_ResidentData[[#This Row],[Enrollment '[mmm-yyyy']]]),"-",AND((Tbl_ResidentData[[#This Row],[Enrollment '[mmm-yyyy']]]&lt;=AA$4),IF(ISBLANK(Tbl_ResidentData[[#This Row],[Discharge '[mmm-yyyy']]]),TRUE,(Tbl_ResidentData[[#This Row],[Discharge '[mmm-yyyy']]]&gt;=AA$4)))))</f>
        <v>-</v>
      </c>
      <c r="AB131" s="121" t="str">
        <f ca="1">IF(AB$4&gt;NOW(),"-",IF(ISBLANK(Tbl_ResidentData[[#This Row],[Enrollment '[mmm-yyyy']]]),"-",AND((Tbl_ResidentData[[#This Row],[Enrollment '[mmm-yyyy']]]&lt;=AB$4),IF(ISBLANK(Tbl_ResidentData[[#This Row],[Discharge '[mmm-yyyy']]]),TRUE,(Tbl_ResidentData[[#This Row],[Discharge '[mmm-yyyy']]]&gt;=AB$4)))))</f>
        <v>-</v>
      </c>
      <c r="AC131" s="121" t="str">
        <f ca="1">IF(AC$4&gt;NOW(),"-",IF(ISBLANK(Tbl_ResidentData[[#This Row],[Enrollment '[mmm-yyyy']]]),"-",AND((Tbl_ResidentData[[#This Row],[Enrollment '[mmm-yyyy']]]&lt;=AC$4),IF(ISBLANK(Tbl_ResidentData[[#This Row],[Discharge '[mmm-yyyy']]]),TRUE,(Tbl_ResidentData[[#This Row],[Discharge '[mmm-yyyy']]]&gt;=AC$4)))))</f>
        <v>-</v>
      </c>
      <c r="AD131" s="121" t="str">
        <f ca="1">IF(AD$4&gt;NOW(),"-",IF(ISBLANK(Tbl_ResidentData[[#This Row],[Enrollment '[mmm-yyyy']]]),"-",AND((Tbl_ResidentData[[#This Row],[Enrollment '[mmm-yyyy']]]&lt;=AD$4),IF(ISBLANK(Tbl_ResidentData[[#This Row],[Discharge '[mmm-yyyy']]]),TRUE,(Tbl_ResidentData[[#This Row],[Discharge '[mmm-yyyy']]]&gt;=AD$4)))))</f>
        <v>-</v>
      </c>
      <c r="AE131" s="121" t="str">
        <f ca="1">IF(AE$4&gt;NOW(),"-",IF(ISBLANK(Tbl_ResidentData[[#This Row],[Enrollment '[mmm-yyyy']]]),"-",AND((Tbl_ResidentData[[#This Row],[Enrollment '[mmm-yyyy']]]&lt;=AE$4),IF(ISBLANK(Tbl_ResidentData[[#This Row],[Discharge '[mmm-yyyy']]]),TRUE,(Tbl_ResidentData[[#This Row],[Discharge '[mmm-yyyy']]]&gt;=AE$4)))))</f>
        <v>-</v>
      </c>
      <c r="AF131" s="121" t="str">
        <f ca="1">IF(AF$4&gt;NOW(),"-",IF(ISBLANK(Tbl_ResidentData[[#This Row],[Enrollment '[mmm-yyyy']]]),"-",AND((Tbl_ResidentData[[#This Row],[Enrollment '[mmm-yyyy']]]&lt;=AF$4),IF(ISBLANK(Tbl_ResidentData[[#This Row],[Discharge '[mmm-yyyy']]]),TRUE,(Tbl_ResidentData[[#This Row],[Discharge '[mmm-yyyy']]]&gt;=AF$4)))))</f>
        <v>-</v>
      </c>
      <c r="AG131" s="121" t="str">
        <f ca="1">IF(AG$4&gt;NOW(),"-",IF(ISBLANK(Tbl_ResidentData[[#This Row],[Enrollment '[mmm-yyyy']]]),"-",AND((Tbl_ResidentData[[#This Row],[Enrollment '[mmm-yyyy']]]&lt;=AG$4),IF(ISBLANK(Tbl_ResidentData[[#This Row],[Discharge '[mmm-yyyy']]]),TRUE,(Tbl_ResidentData[[#This Row],[Discharge '[mmm-yyyy']]]&gt;=AG$4)))))</f>
        <v>-</v>
      </c>
      <c r="AH131" s="121" t="str">
        <f ca="1">IF(AH$4&gt;NOW(),"-",IF(ISBLANK(Tbl_ResidentData[[#This Row],[Enrollment '[mmm-yyyy']]]),"-",AND((Tbl_ResidentData[[#This Row],[Enrollment '[mmm-yyyy']]]&lt;=AH$4),IF(ISBLANK(Tbl_ResidentData[[#This Row],[Discharge '[mmm-yyyy']]]),TRUE,(Tbl_ResidentData[[#This Row],[Discharge '[mmm-yyyy']]]&gt;=AH$4)))))</f>
        <v>-</v>
      </c>
      <c r="AI131" s="121" t="str">
        <f ca="1">IF(AI$4&gt;NOW(),"-",IF(ISBLANK(Tbl_ResidentData[[#This Row],[Enrollment '[mmm-yyyy']]]),"-",AND((Tbl_ResidentData[[#This Row],[Enrollment '[mmm-yyyy']]]&lt;=AI$4),IF(ISBLANK(Tbl_ResidentData[[#This Row],[Discharge '[mmm-yyyy']]]),TRUE,(Tbl_ResidentData[[#This Row],[Discharge '[mmm-yyyy']]]&gt;=AI$4)))))</f>
        <v>-</v>
      </c>
      <c r="AJ131" s="121" t="str">
        <f ca="1">IF(AJ$4&gt;NOW(),"-",IF(ISBLANK(Tbl_ResidentData[[#This Row],[Enrollment '[mmm-yyyy']]]),"-",AND((Tbl_ResidentData[[#This Row],[Enrollment '[mmm-yyyy']]]&lt;=AJ$4),IF(ISBLANK(Tbl_ResidentData[[#This Row],[Discharge '[mmm-yyyy']]]),TRUE,(Tbl_ResidentData[[#This Row],[Discharge '[mmm-yyyy']]]&gt;=AJ$4)))))</f>
        <v>-</v>
      </c>
      <c r="AK131" s="121" t="str">
        <f ca="1">IF(AK$4&gt;NOW(),"-",IF(ISBLANK(Tbl_ResidentData[[#This Row],[Enrollment '[mmm-yyyy']]]),"-",AND((Tbl_ResidentData[[#This Row],[Enrollment '[mmm-yyyy']]]&lt;=AK$4),IF(ISBLANK(Tbl_ResidentData[[#This Row],[Discharge '[mmm-yyyy']]]),TRUE,(Tbl_ResidentData[[#This Row],[Discharge '[mmm-yyyy']]]&gt;=AK$4)))))</f>
        <v>-</v>
      </c>
      <c r="AL131" s="121" t="str">
        <f ca="1">IF(AL$4&gt;NOW(),"-",IF(ISBLANK(Tbl_ResidentData[[#This Row],[Enrollment '[mmm-yyyy']]]),"-",AND((Tbl_ResidentData[[#This Row],[Enrollment '[mmm-yyyy']]]&lt;=AL$4),IF(ISBLANK(Tbl_ResidentData[[#This Row],[Discharge '[mmm-yyyy']]]),TRUE,(Tbl_ResidentData[[#This Row],[Discharge '[mmm-yyyy']]]&gt;=AL$4)))))</f>
        <v>-</v>
      </c>
      <c r="AM131" s="121" t="str">
        <f ca="1">IF(AM$4&gt;NOW(),"-",IF(ISBLANK(Tbl_ResidentData[[#This Row],[Enrollment '[mmm-yyyy']]]),"-",AND((Tbl_ResidentData[[#This Row],[Enrollment '[mmm-yyyy']]]&lt;=AM$4),IF(ISBLANK(Tbl_ResidentData[[#This Row],[Discharge '[mmm-yyyy']]]),TRUE,(Tbl_ResidentData[[#This Row],[Discharge '[mmm-yyyy']]]&gt;=AM$4)))))</f>
        <v>-</v>
      </c>
      <c r="AN131" s="121" t="str">
        <f ca="1">IF(AN$4&gt;NOW(),"-",IF(ISBLANK(Tbl_ResidentData[[#This Row],[Enrollment '[mmm-yyyy']]]),"-",AND((Tbl_ResidentData[[#This Row],[Enrollment '[mmm-yyyy']]]&lt;=AN$4),IF(ISBLANK(Tbl_ResidentData[[#This Row],[Discharge '[mmm-yyyy']]]),TRUE,(Tbl_ResidentData[[#This Row],[Discharge '[mmm-yyyy']]]&gt;=AN$4)))))</f>
        <v>-</v>
      </c>
      <c r="AO131" s="121" t="str">
        <f ca="1">IF(AO$4&gt;NOW(),"-",IF(ISBLANK(Tbl_ResidentData[[#This Row],[Enrollment '[mmm-yyyy']]]),"-",AND((Tbl_ResidentData[[#This Row],[Enrollment '[mmm-yyyy']]]&lt;=AO$4),IF(ISBLANK(Tbl_ResidentData[[#This Row],[Discharge '[mmm-yyyy']]]),TRUE,(Tbl_ResidentData[[#This Row],[Discharge '[mmm-yyyy']]]&gt;=AO$4)))))</f>
        <v>-</v>
      </c>
      <c r="AP131" s="121" t="str">
        <f ca="1">IF(AP$4&gt;NOW(),"-",IF(ISBLANK(Tbl_ResidentData[[#This Row],[Enrollment '[mmm-yyyy']]]),"-",AND((Tbl_ResidentData[[#This Row],[Enrollment '[mmm-yyyy']]]&lt;=AP$4),IF(ISBLANK(Tbl_ResidentData[[#This Row],[Discharge '[mmm-yyyy']]]),TRUE,(Tbl_ResidentData[[#This Row],[Discharge '[mmm-yyyy']]]&gt;=AP$4)))))</f>
        <v>-</v>
      </c>
      <c r="AQ131" s="121" t="str">
        <f ca="1">IF(AQ$4&gt;NOW(),"-",IF(ISBLANK(Tbl_ResidentData[[#This Row],[Enrollment '[mmm-yyyy']]]),"-",AND((Tbl_ResidentData[[#This Row],[Enrollment '[mmm-yyyy']]]&lt;=AQ$4),IF(ISBLANK(Tbl_ResidentData[[#This Row],[Discharge '[mmm-yyyy']]]),TRUE,(Tbl_ResidentData[[#This Row],[Discharge '[mmm-yyyy']]]&gt;=AQ$4)))))</f>
        <v>-</v>
      </c>
      <c r="AR131" s="122" t="str">
        <f ca="1">IF(AR$4&gt;NOW(),"-",IF(ISBLANK(Tbl_ResidentData[[#This Row],[Enrollment '[mmm-yyyy']]]),"-",AND((Tbl_ResidentData[[#This Row],[Enrollment '[mmm-yyyy']]]&lt;=AR$4),IF(ISBLANK(Tbl_ResidentData[[#This Row],[Discharge '[mmm-yyyy']]]),TRUE,(Tbl_ResidentData[[#This Row],[Discharge '[mmm-yyyy']]]&gt;=AR$4)))))</f>
        <v>-</v>
      </c>
      <c r="AS13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1" s="120" t="b">
        <f ca="1">AND(Tbl_ResidentData[[#This Row],[PRN Med Started]]&lt;&gt;"",Tbl_ResidentData[[#This Row],[PRN Med Started]]&lt;=NOW(),Tbl_ResidentData[[#This Row],[PRN Med Started]]&lt;=AS$4,OR(Tbl_ResidentData[[#This Row],[PRN Med Discontinued]]&gt;AS$4,ISBLANK(Tbl_ResidentData[[#This Row],[PRN Med Discontinued]])))</f>
        <v>0</v>
      </c>
      <c r="BR131" s="121" t="b">
        <f ca="1">AND(Tbl_ResidentData[[#This Row],[PRN Med Started]]&lt;&gt;"",Tbl_ResidentData[[#This Row],[PRN Med Started]]&lt;=NOW(),Tbl_ResidentData[[#This Row],[PRN Med Started]]&lt;=AT$4,OR(Tbl_ResidentData[[#This Row],[PRN Med Discontinued]]&gt;AT$4,ISBLANK(Tbl_ResidentData[[#This Row],[PRN Med Discontinued]])))</f>
        <v>0</v>
      </c>
      <c r="BS131" s="121" t="b">
        <f ca="1">AND(Tbl_ResidentData[[#This Row],[PRN Med Started]]&lt;&gt;"",Tbl_ResidentData[[#This Row],[PRN Med Started]]&lt;=NOW(),Tbl_ResidentData[[#This Row],[PRN Med Started]]&lt;=AU$4,OR(Tbl_ResidentData[[#This Row],[PRN Med Discontinued]]&gt;AU$4,ISBLANK(Tbl_ResidentData[[#This Row],[PRN Med Discontinued]])))</f>
        <v>0</v>
      </c>
      <c r="BT131" s="121" t="b">
        <f ca="1">AND(Tbl_ResidentData[[#This Row],[PRN Med Started]]&lt;&gt;"",Tbl_ResidentData[[#This Row],[PRN Med Started]]&lt;=NOW(),Tbl_ResidentData[[#This Row],[PRN Med Started]]&lt;=AV$4,OR(Tbl_ResidentData[[#This Row],[PRN Med Discontinued]]&gt;AV$4,ISBLANK(Tbl_ResidentData[[#This Row],[PRN Med Discontinued]])))</f>
        <v>0</v>
      </c>
      <c r="BU131" s="121" t="b">
        <f ca="1">AND(Tbl_ResidentData[[#This Row],[PRN Med Started]]&lt;&gt;"",Tbl_ResidentData[[#This Row],[PRN Med Started]]&lt;=NOW(),Tbl_ResidentData[[#This Row],[PRN Med Started]]&lt;=AW$4,OR(Tbl_ResidentData[[#This Row],[PRN Med Discontinued]]&gt;AW$4,ISBLANK(Tbl_ResidentData[[#This Row],[PRN Med Discontinued]])))</f>
        <v>0</v>
      </c>
      <c r="BV131" s="121" t="b">
        <f ca="1">AND(Tbl_ResidentData[[#This Row],[PRN Med Started]]&lt;&gt;"",Tbl_ResidentData[[#This Row],[PRN Med Started]]&lt;=NOW(),Tbl_ResidentData[[#This Row],[PRN Med Started]]&lt;=AX$4,OR(Tbl_ResidentData[[#This Row],[PRN Med Discontinued]]&gt;AX$4,ISBLANK(Tbl_ResidentData[[#This Row],[PRN Med Discontinued]])))</f>
        <v>0</v>
      </c>
      <c r="BW131" s="121" t="b">
        <f ca="1">AND(Tbl_ResidentData[[#This Row],[PRN Med Started]]&lt;&gt;"",Tbl_ResidentData[[#This Row],[PRN Med Started]]&lt;=NOW(),Tbl_ResidentData[[#This Row],[PRN Med Started]]&lt;=AY$4,OR(Tbl_ResidentData[[#This Row],[PRN Med Discontinued]]&gt;AY$4,ISBLANK(Tbl_ResidentData[[#This Row],[PRN Med Discontinued]])))</f>
        <v>0</v>
      </c>
      <c r="BX131" s="121" t="b">
        <f ca="1">AND(Tbl_ResidentData[[#This Row],[PRN Med Started]]&lt;&gt;"",Tbl_ResidentData[[#This Row],[PRN Med Started]]&lt;=NOW(),Tbl_ResidentData[[#This Row],[PRN Med Started]]&lt;=AZ$4,OR(Tbl_ResidentData[[#This Row],[PRN Med Discontinued]]&gt;AZ$4,ISBLANK(Tbl_ResidentData[[#This Row],[PRN Med Discontinued]])))</f>
        <v>0</v>
      </c>
      <c r="BY131" s="121" t="b">
        <f ca="1">AND(Tbl_ResidentData[[#This Row],[PRN Med Started]]&lt;&gt;"",Tbl_ResidentData[[#This Row],[PRN Med Started]]&lt;=NOW(),Tbl_ResidentData[[#This Row],[PRN Med Started]]&lt;=BA$4,OR(Tbl_ResidentData[[#This Row],[PRN Med Discontinued]]&gt;BA$4,ISBLANK(Tbl_ResidentData[[#This Row],[PRN Med Discontinued]])))</f>
        <v>0</v>
      </c>
      <c r="BZ131" s="121" t="b">
        <f ca="1">AND(Tbl_ResidentData[[#This Row],[PRN Med Started]]&lt;&gt;"",Tbl_ResidentData[[#This Row],[PRN Med Started]]&lt;=NOW(),Tbl_ResidentData[[#This Row],[PRN Med Started]]&lt;=BB$4,OR(Tbl_ResidentData[[#This Row],[PRN Med Discontinued]]&gt;BB$4,ISBLANK(Tbl_ResidentData[[#This Row],[PRN Med Discontinued]])))</f>
        <v>0</v>
      </c>
      <c r="CA131" s="121" t="b">
        <f ca="1">AND(Tbl_ResidentData[[#This Row],[PRN Med Started]]&lt;&gt;"",Tbl_ResidentData[[#This Row],[PRN Med Started]]&lt;=NOW(),Tbl_ResidentData[[#This Row],[PRN Med Started]]&lt;=BC$4,OR(Tbl_ResidentData[[#This Row],[PRN Med Discontinued]]&gt;BC$4,ISBLANK(Tbl_ResidentData[[#This Row],[PRN Med Discontinued]])))</f>
        <v>0</v>
      </c>
      <c r="CB131" s="121" t="b">
        <f ca="1">AND(Tbl_ResidentData[[#This Row],[PRN Med Started]]&lt;&gt;"",Tbl_ResidentData[[#This Row],[PRN Med Started]]&lt;=NOW(),Tbl_ResidentData[[#This Row],[PRN Med Started]]&lt;=BD$4,OR(Tbl_ResidentData[[#This Row],[PRN Med Discontinued]]&gt;BD$4,ISBLANK(Tbl_ResidentData[[#This Row],[PRN Med Discontinued]])))</f>
        <v>0</v>
      </c>
      <c r="CC131" s="121" t="b">
        <f ca="1">AND(Tbl_ResidentData[[#This Row],[PRN Med Started]]&lt;&gt;"",Tbl_ResidentData[[#This Row],[PRN Med Started]]&lt;=NOW(),Tbl_ResidentData[[#This Row],[PRN Med Started]]&lt;=BE$4,OR(Tbl_ResidentData[[#This Row],[PRN Med Discontinued]]&gt;BE$4,ISBLANK(Tbl_ResidentData[[#This Row],[PRN Med Discontinued]])))</f>
        <v>0</v>
      </c>
      <c r="CD131" s="121" t="b">
        <f ca="1">AND(Tbl_ResidentData[[#This Row],[PRN Med Started]]&lt;&gt;"",Tbl_ResidentData[[#This Row],[PRN Med Started]]&lt;=NOW(),Tbl_ResidentData[[#This Row],[PRN Med Started]]&lt;=BF$4,OR(Tbl_ResidentData[[#This Row],[PRN Med Discontinued]]&gt;BF$4,ISBLANK(Tbl_ResidentData[[#This Row],[PRN Med Discontinued]])))</f>
        <v>0</v>
      </c>
      <c r="CE131" s="121" t="b">
        <f ca="1">AND(Tbl_ResidentData[[#This Row],[PRN Med Started]]&lt;&gt;"",Tbl_ResidentData[[#This Row],[PRN Med Started]]&lt;=NOW(),Tbl_ResidentData[[#This Row],[PRN Med Started]]&lt;=BG$4,OR(Tbl_ResidentData[[#This Row],[PRN Med Discontinued]]&gt;BG$4,ISBLANK(Tbl_ResidentData[[#This Row],[PRN Med Discontinued]])))</f>
        <v>0</v>
      </c>
      <c r="CF131" s="121" t="b">
        <f ca="1">AND(Tbl_ResidentData[[#This Row],[PRN Med Started]]&lt;&gt;"",Tbl_ResidentData[[#This Row],[PRN Med Started]]&lt;=NOW(),Tbl_ResidentData[[#This Row],[PRN Med Started]]&lt;=BH$4,OR(Tbl_ResidentData[[#This Row],[PRN Med Discontinued]]&gt;BH$4,ISBLANK(Tbl_ResidentData[[#This Row],[PRN Med Discontinued]])))</f>
        <v>0</v>
      </c>
      <c r="CG131" s="121" t="b">
        <f ca="1">AND(Tbl_ResidentData[[#This Row],[PRN Med Started]]&lt;&gt;"",Tbl_ResidentData[[#This Row],[PRN Med Started]]&lt;=NOW(),Tbl_ResidentData[[#This Row],[PRN Med Started]]&lt;=BI$4,OR(Tbl_ResidentData[[#This Row],[PRN Med Discontinued]]&gt;BI$4,ISBLANK(Tbl_ResidentData[[#This Row],[PRN Med Discontinued]])))</f>
        <v>0</v>
      </c>
      <c r="CH131" s="121" t="b">
        <f ca="1">AND(Tbl_ResidentData[[#This Row],[PRN Med Started]]&lt;&gt;"",Tbl_ResidentData[[#This Row],[PRN Med Started]]&lt;=NOW(),Tbl_ResidentData[[#This Row],[PRN Med Started]]&lt;=BJ$4,OR(Tbl_ResidentData[[#This Row],[PRN Med Discontinued]]&gt;BJ$4,ISBLANK(Tbl_ResidentData[[#This Row],[PRN Med Discontinued]])))</f>
        <v>0</v>
      </c>
      <c r="CI131" s="121" t="b">
        <f ca="1">AND(Tbl_ResidentData[[#This Row],[PRN Med Started]]&lt;&gt;"",Tbl_ResidentData[[#This Row],[PRN Med Started]]&lt;=NOW(),Tbl_ResidentData[[#This Row],[PRN Med Started]]&lt;=BK$4,OR(Tbl_ResidentData[[#This Row],[PRN Med Discontinued]]&gt;BK$4,ISBLANK(Tbl_ResidentData[[#This Row],[PRN Med Discontinued]])))</f>
        <v>0</v>
      </c>
      <c r="CJ131" s="121" t="b">
        <f ca="1">AND(Tbl_ResidentData[[#This Row],[PRN Med Started]]&lt;&gt;"",Tbl_ResidentData[[#This Row],[PRN Med Started]]&lt;=NOW(),Tbl_ResidentData[[#This Row],[PRN Med Started]]&lt;=BL$4,OR(Tbl_ResidentData[[#This Row],[PRN Med Discontinued]]&gt;BL$4,ISBLANK(Tbl_ResidentData[[#This Row],[PRN Med Discontinued]])))</f>
        <v>0</v>
      </c>
      <c r="CK131" s="121" t="b">
        <f ca="1">AND(Tbl_ResidentData[[#This Row],[PRN Med Started]]&lt;&gt;"",Tbl_ResidentData[[#This Row],[PRN Med Started]]&lt;=NOW(),Tbl_ResidentData[[#This Row],[PRN Med Started]]&lt;=BM$4,OR(Tbl_ResidentData[[#This Row],[PRN Med Discontinued]]&gt;BM$4,ISBLANK(Tbl_ResidentData[[#This Row],[PRN Med Discontinued]])))</f>
        <v>0</v>
      </c>
      <c r="CL131" s="121" t="b">
        <f ca="1">AND(Tbl_ResidentData[[#This Row],[PRN Med Started]]&lt;&gt;"",Tbl_ResidentData[[#This Row],[PRN Med Started]]&lt;=NOW(),Tbl_ResidentData[[#This Row],[PRN Med Started]]&lt;=BN$4,OR(Tbl_ResidentData[[#This Row],[PRN Med Discontinued]]&gt;BN$4,ISBLANK(Tbl_ResidentData[[#This Row],[PRN Med Discontinued]])))</f>
        <v>0</v>
      </c>
      <c r="CM131" s="121" t="b">
        <f ca="1">AND(Tbl_ResidentData[[#This Row],[PRN Med Started]]&lt;&gt;"",Tbl_ResidentData[[#This Row],[PRN Med Started]]&lt;=NOW(),Tbl_ResidentData[[#This Row],[PRN Med Started]]&lt;=BO$4,OR(Tbl_ResidentData[[#This Row],[PRN Med Discontinued]]&gt;BO$4,ISBLANK(Tbl_ResidentData[[#This Row],[PRN Med Discontinued]])))</f>
        <v>0</v>
      </c>
      <c r="CN131" s="122" t="b">
        <f ca="1">AND(Tbl_ResidentData[[#This Row],[PRN Med Started]]&lt;&gt;"",Tbl_ResidentData[[#This Row],[PRN Med Started]]&lt;=NOW(),Tbl_ResidentData[[#This Row],[PRN Med Started]]&lt;=BP$4,OR(Tbl_ResidentData[[#This Row],[PRN Med Discontinued]]&gt;BP$4,ISBLANK(Tbl_ResidentData[[#This Row],[PRN Med Discontinued]])))</f>
        <v>0</v>
      </c>
      <c r="CO131" s="120">
        <f ca="1">IF(OR(Tbl_ResidentData[[#This Row],[S1]]=TRUE,Tbl_ResidentData[[#This Row],[P1]]=TRUE),1,0)</f>
        <v>0</v>
      </c>
      <c r="CP131" s="121">
        <f ca="1">IF(OR(Tbl_ResidentData[[#This Row],[S2]]=TRUE,Tbl_ResidentData[[#This Row],[P2]]=TRUE),1,0)</f>
        <v>0</v>
      </c>
      <c r="CQ131" s="121">
        <f ca="1">IF(OR(Tbl_ResidentData[[#This Row],[S3]]=TRUE,Tbl_ResidentData[[#This Row],[P3]]=TRUE),1,0)</f>
        <v>0</v>
      </c>
      <c r="CR131" s="120">
        <f ca="1">IF(OR(Tbl_ResidentData[[#This Row],[S4]]=TRUE,Tbl_ResidentData[[#This Row],[P4]]=TRUE),1,0)</f>
        <v>0</v>
      </c>
      <c r="CS131" s="120">
        <f ca="1">IF(OR(Tbl_ResidentData[[#This Row],[S5]]=TRUE,Tbl_ResidentData[[#This Row],[P5]]=TRUE),1,0)</f>
        <v>0</v>
      </c>
      <c r="CT131" s="120">
        <f ca="1">IF(OR(Tbl_ResidentData[[#This Row],[S6]]=TRUE,Tbl_ResidentData[[#This Row],[P6]]=TRUE),1,0)</f>
        <v>0</v>
      </c>
      <c r="CU131" s="120">
        <f ca="1">IF(OR(Tbl_ResidentData[[#This Row],[S7]]=TRUE,Tbl_ResidentData[[#This Row],[P7]]=TRUE),1,0)</f>
        <v>0</v>
      </c>
      <c r="CV131" s="120">
        <f ca="1">IF(OR(Tbl_ResidentData[[#This Row],[S8]]=TRUE,Tbl_ResidentData[[#This Row],[P8]]=TRUE),1,0)</f>
        <v>0</v>
      </c>
      <c r="CW131" s="120">
        <f ca="1">IF(OR(Tbl_ResidentData[[#This Row],[S9]]=TRUE,Tbl_ResidentData[[#This Row],[P9]]=TRUE),1,0)</f>
        <v>0</v>
      </c>
      <c r="CX131" s="120">
        <f ca="1">IF(OR(Tbl_ResidentData[[#This Row],[S10]]=TRUE,Tbl_ResidentData[[#This Row],[P10]]=TRUE),1,0)</f>
        <v>0</v>
      </c>
      <c r="CY131" s="120">
        <f ca="1">IF(OR(Tbl_ResidentData[[#This Row],[S11]]=TRUE,Tbl_ResidentData[[#This Row],[P11]]=TRUE),1,0)</f>
        <v>0</v>
      </c>
      <c r="CZ131" s="120">
        <f ca="1">IF(OR(Tbl_ResidentData[[#This Row],[S12]]=TRUE,Tbl_ResidentData[[#This Row],[P12]]=TRUE),1,0)</f>
        <v>0</v>
      </c>
      <c r="DA131" s="120">
        <f ca="1">IF(OR(Tbl_ResidentData[[#This Row],[S13]]=TRUE,Tbl_ResidentData[[#This Row],[P13]]=TRUE),1,0)</f>
        <v>0</v>
      </c>
      <c r="DB131" s="120">
        <f ca="1">IF(OR(Tbl_ResidentData[[#This Row],[S14]]=TRUE,Tbl_ResidentData[[#This Row],[P14]]=TRUE),1,0)</f>
        <v>0</v>
      </c>
      <c r="DC131" s="120">
        <f ca="1">IF(OR(Tbl_ResidentData[[#This Row],[S15]]=TRUE,Tbl_ResidentData[[#This Row],[P15]]=TRUE),1,0)</f>
        <v>0</v>
      </c>
      <c r="DD131" s="120">
        <f ca="1">IF(OR(Tbl_ResidentData[[#This Row],[S16]]=TRUE,Tbl_ResidentData[[#This Row],[P16]]=TRUE),1,0)</f>
        <v>0</v>
      </c>
      <c r="DE131" s="120">
        <f ca="1">IF(OR(Tbl_ResidentData[[#This Row],[S17]]=TRUE,Tbl_ResidentData[[#This Row],[P17]]=TRUE),1,0)</f>
        <v>0</v>
      </c>
      <c r="DF131" s="120">
        <f ca="1">IF(OR(Tbl_ResidentData[[#This Row],[S18]]=TRUE,Tbl_ResidentData[[#This Row],[P18]]=TRUE),1,0)</f>
        <v>0</v>
      </c>
      <c r="DG131" s="120">
        <f ca="1">IF(OR(Tbl_ResidentData[[#This Row],[S19]]=TRUE,Tbl_ResidentData[[#This Row],[P19]]=TRUE),1,0)</f>
        <v>0</v>
      </c>
      <c r="DH131" s="120">
        <f ca="1">IF(OR(Tbl_ResidentData[[#This Row],[S20]]=TRUE,Tbl_ResidentData[[#This Row],[P20]]=TRUE),1,0)</f>
        <v>0</v>
      </c>
      <c r="DI131" s="120">
        <f ca="1">IF(OR(Tbl_ResidentData[[#This Row],[S21]]=TRUE,Tbl_ResidentData[[#This Row],[P21]]=TRUE),1,0)</f>
        <v>0</v>
      </c>
      <c r="DJ131" s="120">
        <f ca="1">IF(OR(Tbl_ResidentData[[#This Row],[S22]]=TRUE,Tbl_ResidentData[[#This Row],[P22]]=TRUE),1,0)</f>
        <v>0</v>
      </c>
      <c r="DK131" s="120">
        <f ca="1">IF(OR(Tbl_ResidentData[[#This Row],[S23]]=TRUE,Tbl_ResidentData[[#This Row],[P23]]=TRUE),1,0)</f>
        <v>0</v>
      </c>
      <c r="DL131" s="120">
        <f ca="1">IF(OR(Tbl_ResidentData[[#This Row],[S24]]=TRUE,Tbl_ResidentData[[#This Row],[P24]]=TRUE),1,0)</f>
        <v>0</v>
      </c>
      <c r="DM131" s="123" t="str">
        <f ca="1">IFERROR(INDEX($CO$4:$DL$4,MATCH(TRUE,INDEX((Tbl_ResidentData[[#This Row],[Over1]:[Over24]]&lt;&gt;0),0),0)),"")</f>
        <v/>
      </c>
      <c r="DN131" s="133" t="str">
        <f>IFERROR(INDEX(Tbl_PDSAData[Last DRT],MATCH(Tbl_ResidentData[Resident Name '[last, first']],Tbl_PDSAData[Resident Name (last, first)],0)),"")</f>
        <v/>
      </c>
      <c r="DO131" s="222" t="str">
        <f>IFERROR(INDEX(Tbl_PDSAData[Last MR],MATCH(Tbl_ResidentData[Resident Name '[last, first']],Tbl_PDSAData[Resident Name (last, first)],0)),"")</f>
        <v/>
      </c>
    </row>
    <row r="132" spans="1:119" x14ac:dyDescent="0.25">
      <c r="A132" s="179"/>
      <c r="B132" s="180"/>
      <c r="C132" s="180"/>
      <c r="D132" s="218"/>
      <c r="E132" s="179"/>
      <c r="F132" s="179"/>
      <c r="G132" s="181"/>
      <c r="H132" s="182"/>
      <c r="I132" s="185"/>
      <c r="J132" s="387"/>
      <c r="K132" s="178"/>
      <c r="L132" s="388"/>
      <c r="M132" s="185"/>
      <c r="N132" s="386"/>
      <c r="O132" s="178"/>
      <c r="P132" s="388"/>
      <c r="Q132" s="394"/>
      <c r="R132" s="388"/>
      <c r="S132" s="131" t="str">
        <f>IF(ISBLANK(Tbl_ResidentData[[#This Row],[Discharge '[mmm-yyyy']]]),IF(ISBLANK(Tbl_ResidentData[[#This Row],[Enrollment '[mmm-yyyy']]]),"","In Care Home"),"Discharged")</f>
        <v/>
      </c>
      <c r="T132" s="119" t="str">
        <f>IF(ISBLANK(Tbl_ResidentData[[#This Row],[Diagnosis (RAI)]]),IF(ISBLANK(Tbl_ResidentData[[#This Row],[Resident Name '[last, first']]]),"",0),IF(Tbl_ResidentData[[#This Row],[Diagnosis (RAI)]]="Other (see clinical notes)",0,1))</f>
        <v/>
      </c>
      <c r="U132" s="120" t="str">
        <f ca="1">IF(U$4&gt;NOW(),"-",IF(ISBLANK(Tbl_ResidentData[[#This Row],[Enrollment '[mmm-yyyy']]]),"-",AND((Tbl_ResidentData[[#This Row],[Enrollment '[mmm-yyyy']]]&lt;=U$4),IF(ISBLANK(Tbl_ResidentData[[#This Row],[Discharge '[mmm-yyyy']]]),TRUE,(Tbl_ResidentData[[#This Row],[Discharge '[mmm-yyyy']]]&gt;=U$4)))))</f>
        <v>-</v>
      </c>
      <c r="V132" s="121" t="str">
        <f ca="1">IF(V$4&gt;NOW(),"-",IF(ISBLANK(Tbl_ResidentData[[#This Row],[Enrollment '[mmm-yyyy']]]),"-",AND((Tbl_ResidentData[[#This Row],[Enrollment '[mmm-yyyy']]]&lt;=V$4),IF(ISBLANK(Tbl_ResidentData[[#This Row],[Discharge '[mmm-yyyy']]]),TRUE,(Tbl_ResidentData[[#This Row],[Discharge '[mmm-yyyy']]]&gt;=V$4)))))</f>
        <v>-</v>
      </c>
      <c r="W132" s="121" t="str">
        <f ca="1">IF(W$4&gt;NOW(),"-",IF(ISBLANK(Tbl_ResidentData[[#This Row],[Enrollment '[mmm-yyyy']]]),"-",AND((Tbl_ResidentData[[#This Row],[Enrollment '[mmm-yyyy']]]&lt;=W$4),IF(ISBLANK(Tbl_ResidentData[[#This Row],[Discharge '[mmm-yyyy']]]),TRUE,(Tbl_ResidentData[[#This Row],[Discharge '[mmm-yyyy']]]&gt;=W$4)))))</f>
        <v>-</v>
      </c>
      <c r="X132" s="121" t="str">
        <f ca="1">IF(X$4&gt;NOW(),"-",IF(ISBLANK(Tbl_ResidentData[[#This Row],[Enrollment '[mmm-yyyy']]]),"-",AND((Tbl_ResidentData[[#This Row],[Enrollment '[mmm-yyyy']]]&lt;=X$4),IF(ISBLANK(Tbl_ResidentData[[#This Row],[Discharge '[mmm-yyyy']]]),TRUE,(Tbl_ResidentData[[#This Row],[Discharge '[mmm-yyyy']]]&gt;=X$4)))))</f>
        <v>-</v>
      </c>
      <c r="Y132" s="121" t="str">
        <f ca="1">IF(Y$4&gt;NOW(),"-",IF(ISBLANK(Tbl_ResidentData[[#This Row],[Enrollment '[mmm-yyyy']]]),"-",AND((Tbl_ResidentData[[#This Row],[Enrollment '[mmm-yyyy']]]&lt;=Y$4),IF(ISBLANK(Tbl_ResidentData[[#This Row],[Discharge '[mmm-yyyy']]]),TRUE,(Tbl_ResidentData[[#This Row],[Discharge '[mmm-yyyy']]]&gt;=Y$4)))))</f>
        <v>-</v>
      </c>
      <c r="Z132" s="121" t="str">
        <f ca="1">IF(Z$4&gt;NOW(),"-",IF(ISBLANK(Tbl_ResidentData[[#This Row],[Enrollment '[mmm-yyyy']]]),"-",AND((Tbl_ResidentData[[#This Row],[Enrollment '[mmm-yyyy']]]&lt;=Z$4),IF(ISBLANK(Tbl_ResidentData[[#This Row],[Discharge '[mmm-yyyy']]]),TRUE,(Tbl_ResidentData[[#This Row],[Discharge '[mmm-yyyy']]]&gt;=Z$4)))))</f>
        <v>-</v>
      </c>
      <c r="AA132" s="121" t="str">
        <f ca="1">IF(AA$4&gt;NOW(),"-",IF(ISBLANK(Tbl_ResidentData[[#This Row],[Enrollment '[mmm-yyyy']]]),"-",AND((Tbl_ResidentData[[#This Row],[Enrollment '[mmm-yyyy']]]&lt;=AA$4),IF(ISBLANK(Tbl_ResidentData[[#This Row],[Discharge '[mmm-yyyy']]]),TRUE,(Tbl_ResidentData[[#This Row],[Discharge '[mmm-yyyy']]]&gt;=AA$4)))))</f>
        <v>-</v>
      </c>
      <c r="AB132" s="121" t="str">
        <f ca="1">IF(AB$4&gt;NOW(),"-",IF(ISBLANK(Tbl_ResidentData[[#This Row],[Enrollment '[mmm-yyyy']]]),"-",AND((Tbl_ResidentData[[#This Row],[Enrollment '[mmm-yyyy']]]&lt;=AB$4),IF(ISBLANK(Tbl_ResidentData[[#This Row],[Discharge '[mmm-yyyy']]]),TRUE,(Tbl_ResidentData[[#This Row],[Discharge '[mmm-yyyy']]]&gt;=AB$4)))))</f>
        <v>-</v>
      </c>
      <c r="AC132" s="121" t="str">
        <f ca="1">IF(AC$4&gt;NOW(),"-",IF(ISBLANK(Tbl_ResidentData[[#This Row],[Enrollment '[mmm-yyyy']]]),"-",AND((Tbl_ResidentData[[#This Row],[Enrollment '[mmm-yyyy']]]&lt;=AC$4),IF(ISBLANK(Tbl_ResidentData[[#This Row],[Discharge '[mmm-yyyy']]]),TRUE,(Tbl_ResidentData[[#This Row],[Discharge '[mmm-yyyy']]]&gt;=AC$4)))))</f>
        <v>-</v>
      </c>
      <c r="AD132" s="121" t="str">
        <f ca="1">IF(AD$4&gt;NOW(),"-",IF(ISBLANK(Tbl_ResidentData[[#This Row],[Enrollment '[mmm-yyyy']]]),"-",AND((Tbl_ResidentData[[#This Row],[Enrollment '[mmm-yyyy']]]&lt;=AD$4),IF(ISBLANK(Tbl_ResidentData[[#This Row],[Discharge '[mmm-yyyy']]]),TRUE,(Tbl_ResidentData[[#This Row],[Discharge '[mmm-yyyy']]]&gt;=AD$4)))))</f>
        <v>-</v>
      </c>
      <c r="AE132" s="121" t="str">
        <f ca="1">IF(AE$4&gt;NOW(),"-",IF(ISBLANK(Tbl_ResidentData[[#This Row],[Enrollment '[mmm-yyyy']]]),"-",AND((Tbl_ResidentData[[#This Row],[Enrollment '[mmm-yyyy']]]&lt;=AE$4),IF(ISBLANK(Tbl_ResidentData[[#This Row],[Discharge '[mmm-yyyy']]]),TRUE,(Tbl_ResidentData[[#This Row],[Discharge '[mmm-yyyy']]]&gt;=AE$4)))))</f>
        <v>-</v>
      </c>
      <c r="AF132" s="121" t="str">
        <f ca="1">IF(AF$4&gt;NOW(),"-",IF(ISBLANK(Tbl_ResidentData[[#This Row],[Enrollment '[mmm-yyyy']]]),"-",AND((Tbl_ResidentData[[#This Row],[Enrollment '[mmm-yyyy']]]&lt;=AF$4),IF(ISBLANK(Tbl_ResidentData[[#This Row],[Discharge '[mmm-yyyy']]]),TRUE,(Tbl_ResidentData[[#This Row],[Discharge '[mmm-yyyy']]]&gt;=AF$4)))))</f>
        <v>-</v>
      </c>
      <c r="AG132" s="121" t="str">
        <f ca="1">IF(AG$4&gt;NOW(),"-",IF(ISBLANK(Tbl_ResidentData[[#This Row],[Enrollment '[mmm-yyyy']]]),"-",AND((Tbl_ResidentData[[#This Row],[Enrollment '[mmm-yyyy']]]&lt;=AG$4),IF(ISBLANK(Tbl_ResidentData[[#This Row],[Discharge '[mmm-yyyy']]]),TRUE,(Tbl_ResidentData[[#This Row],[Discharge '[mmm-yyyy']]]&gt;=AG$4)))))</f>
        <v>-</v>
      </c>
      <c r="AH132" s="121" t="str">
        <f ca="1">IF(AH$4&gt;NOW(),"-",IF(ISBLANK(Tbl_ResidentData[[#This Row],[Enrollment '[mmm-yyyy']]]),"-",AND((Tbl_ResidentData[[#This Row],[Enrollment '[mmm-yyyy']]]&lt;=AH$4),IF(ISBLANK(Tbl_ResidentData[[#This Row],[Discharge '[mmm-yyyy']]]),TRUE,(Tbl_ResidentData[[#This Row],[Discharge '[mmm-yyyy']]]&gt;=AH$4)))))</f>
        <v>-</v>
      </c>
      <c r="AI132" s="121" t="str">
        <f ca="1">IF(AI$4&gt;NOW(),"-",IF(ISBLANK(Tbl_ResidentData[[#This Row],[Enrollment '[mmm-yyyy']]]),"-",AND((Tbl_ResidentData[[#This Row],[Enrollment '[mmm-yyyy']]]&lt;=AI$4),IF(ISBLANK(Tbl_ResidentData[[#This Row],[Discharge '[mmm-yyyy']]]),TRUE,(Tbl_ResidentData[[#This Row],[Discharge '[mmm-yyyy']]]&gt;=AI$4)))))</f>
        <v>-</v>
      </c>
      <c r="AJ132" s="121" t="str">
        <f ca="1">IF(AJ$4&gt;NOW(),"-",IF(ISBLANK(Tbl_ResidentData[[#This Row],[Enrollment '[mmm-yyyy']]]),"-",AND((Tbl_ResidentData[[#This Row],[Enrollment '[mmm-yyyy']]]&lt;=AJ$4),IF(ISBLANK(Tbl_ResidentData[[#This Row],[Discharge '[mmm-yyyy']]]),TRUE,(Tbl_ResidentData[[#This Row],[Discharge '[mmm-yyyy']]]&gt;=AJ$4)))))</f>
        <v>-</v>
      </c>
      <c r="AK132" s="121" t="str">
        <f ca="1">IF(AK$4&gt;NOW(),"-",IF(ISBLANK(Tbl_ResidentData[[#This Row],[Enrollment '[mmm-yyyy']]]),"-",AND((Tbl_ResidentData[[#This Row],[Enrollment '[mmm-yyyy']]]&lt;=AK$4),IF(ISBLANK(Tbl_ResidentData[[#This Row],[Discharge '[mmm-yyyy']]]),TRUE,(Tbl_ResidentData[[#This Row],[Discharge '[mmm-yyyy']]]&gt;=AK$4)))))</f>
        <v>-</v>
      </c>
      <c r="AL132" s="121" t="str">
        <f ca="1">IF(AL$4&gt;NOW(),"-",IF(ISBLANK(Tbl_ResidentData[[#This Row],[Enrollment '[mmm-yyyy']]]),"-",AND((Tbl_ResidentData[[#This Row],[Enrollment '[mmm-yyyy']]]&lt;=AL$4),IF(ISBLANK(Tbl_ResidentData[[#This Row],[Discharge '[mmm-yyyy']]]),TRUE,(Tbl_ResidentData[[#This Row],[Discharge '[mmm-yyyy']]]&gt;=AL$4)))))</f>
        <v>-</v>
      </c>
      <c r="AM132" s="121" t="str">
        <f ca="1">IF(AM$4&gt;NOW(),"-",IF(ISBLANK(Tbl_ResidentData[[#This Row],[Enrollment '[mmm-yyyy']]]),"-",AND((Tbl_ResidentData[[#This Row],[Enrollment '[mmm-yyyy']]]&lt;=AM$4),IF(ISBLANK(Tbl_ResidentData[[#This Row],[Discharge '[mmm-yyyy']]]),TRUE,(Tbl_ResidentData[[#This Row],[Discharge '[mmm-yyyy']]]&gt;=AM$4)))))</f>
        <v>-</v>
      </c>
      <c r="AN132" s="121" t="str">
        <f ca="1">IF(AN$4&gt;NOW(),"-",IF(ISBLANK(Tbl_ResidentData[[#This Row],[Enrollment '[mmm-yyyy']]]),"-",AND((Tbl_ResidentData[[#This Row],[Enrollment '[mmm-yyyy']]]&lt;=AN$4),IF(ISBLANK(Tbl_ResidentData[[#This Row],[Discharge '[mmm-yyyy']]]),TRUE,(Tbl_ResidentData[[#This Row],[Discharge '[mmm-yyyy']]]&gt;=AN$4)))))</f>
        <v>-</v>
      </c>
      <c r="AO132" s="121" t="str">
        <f ca="1">IF(AO$4&gt;NOW(),"-",IF(ISBLANK(Tbl_ResidentData[[#This Row],[Enrollment '[mmm-yyyy']]]),"-",AND((Tbl_ResidentData[[#This Row],[Enrollment '[mmm-yyyy']]]&lt;=AO$4),IF(ISBLANK(Tbl_ResidentData[[#This Row],[Discharge '[mmm-yyyy']]]),TRUE,(Tbl_ResidentData[[#This Row],[Discharge '[mmm-yyyy']]]&gt;=AO$4)))))</f>
        <v>-</v>
      </c>
      <c r="AP132" s="121" t="str">
        <f ca="1">IF(AP$4&gt;NOW(),"-",IF(ISBLANK(Tbl_ResidentData[[#This Row],[Enrollment '[mmm-yyyy']]]),"-",AND((Tbl_ResidentData[[#This Row],[Enrollment '[mmm-yyyy']]]&lt;=AP$4),IF(ISBLANK(Tbl_ResidentData[[#This Row],[Discharge '[mmm-yyyy']]]),TRUE,(Tbl_ResidentData[[#This Row],[Discharge '[mmm-yyyy']]]&gt;=AP$4)))))</f>
        <v>-</v>
      </c>
      <c r="AQ132" s="121" t="str">
        <f ca="1">IF(AQ$4&gt;NOW(),"-",IF(ISBLANK(Tbl_ResidentData[[#This Row],[Enrollment '[mmm-yyyy']]]),"-",AND((Tbl_ResidentData[[#This Row],[Enrollment '[mmm-yyyy']]]&lt;=AQ$4),IF(ISBLANK(Tbl_ResidentData[[#This Row],[Discharge '[mmm-yyyy']]]),TRUE,(Tbl_ResidentData[[#This Row],[Discharge '[mmm-yyyy']]]&gt;=AQ$4)))))</f>
        <v>-</v>
      </c>
      <c r="AR132" s="122" t="str">
        <f ca="1">IF(AR$4&gt;NOW(),"-",IF(ISBLANK(Tbl_ResidentData[[#This Row],[Enrollment '[mmm-yyyy']]]),"-",AND((Tbl_ResidentData[[#This Row],[Enrollment '[mmm-yyyy']]]&lt;=AR$4),IF(ISBLANK(Tbl_ResidentData[[#This Row],[Discharge '[mmm-yyyy']]]),TRUE,(Tbl_ResidentData[[#This Row],[Discharge '[mmm-yyyy']]]&gt;=AR$4)))))</f>
        <v>-</v>
      </c>
      <c r="AS13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2" s="120" t="b">
        <f ca="1">AND(Tbl_ResidentData[[#This Row],[PRN Med Started]]&lt;&gt;"",Tbl_ResidentData[[#This Row],[PRN Med Started]]&lt;=NOW(),Tbl_ResidentData[[#This Row],[PRN Med Started]]&lt;=AS$4,OR(Tbl_ResidentData[[#This Row],[PRN Med Discontinued]]&gt;AS$4,ISBLANK(Tbl_ResidentData[[#This Row],[PRN Med Discontinued]])))</f>
        <v>0</v>
      </c>
      <c r="BR132" s="121" t="b">
        <f ca="1">AND(Tbl_ResidentData[[#This Row],[PRN Med Started]]&lt;&gt;"",Tbl_ResidentData[[#This Row],[PRN Med Started]]&lt;=NOW(),Tbl_ResidentData[[#This Row],[PRN Med Started]]&lt;=AT$4,OR(Tbl_ResidentData[[#This Row],[PRN Med Discontinued]]&gt;AT$4,ISBLANK(Tbl_ResidentData[[#This Row],[PRN Med Discontinued]])))</f>
        <v>0</v>
      </c>
      <c r="BS132" s="121" t="b">
        <f ca="1">AND(Tbl_ResidentData[[#This Row],[PRN Med Started]]&lt;&gt;"",Tbl_ResidentData[[#This Row],[PRN Med Started]]&lt;=NOW(),Tbl_ResidentData[[#This Row],[PRN Med Started]]&lt;=AU$4,OR(Tbl_ResidentData[[#This Row],[PRN Med Discontinued]]&gt;AU$4,ISBLANK(Tbl_ResidentData[[#This Row],[PRN Med Discontinued]])))</f>
        <v>0</v>
      </c>
      <c r="BT132" s="121" t="b">
        <f ca="1">AND(Tbl_ResidentData[[#This Row],[PRN Med Started]]&lt;&gt;"",Tbl_ResidentData[[#This Row],[PRN Med Started]]&lt;=NOW(),Tbl_ResidentData[[#This Row],[PRN Med Started]]&lt;=AV$4,OR(Tbl_ResidentData[[#This Row],[PRN Med Discontinued]]&gt;AV$4,ISBLANK(Tbl_ResidentData[[#This Row],[PRN Med Discontinued]])))</f>
        <v>0</v>
      </c>
      <c r="BU132" s="121" t="b">
        <f ca="1">AND(Tbl_ResidentData[[#This Row],[PRN Med Started]]&lt;&gt;"",Tbl_ResidentData[[#This Row],[PRN Med Started]]&lt;=NOW(),Tbl_ResidentData[[#This Row],[PRN Med Started]]&lt;=AW$4,OR(Tbl_ResidentData[[#This Row],[PRN Med Discontinued]]&gt;AW$4,ISBLANK(Tbl_ResidentData[[#This Row],[PRN Med Discontinued]])))</f>
        <v>0</v>
      </c>
      <c r="BV132" s="121" t="b">
        <f ca="1">AND(Tbl_ResidentData[[#This Row],[PRN Med Started]]&lt;&gt;"",Tbl_ResidentData[[#This Row],[PRN Med Started]]&lt;=NOW(),Tbl_ResidentData[[#This Row],[PRN Med Started]]&lt;=AX$4,OR(Tbl_ResidentData[[#This Row],[PRN Med Discontinued]]&gt;AX$4,ISBLANK(Tbl_ResidentData[[#This Row],[PRN Med Discontinued]])))</f>
        <v>0</v>
      </c>
      <c r="BW132" s="121" t="b">
        <f ca="1">AND(Tbl_ResidentData[[#This Row],[PRN Med Started]]&lt;&gt;"",Tbl_ResidentData[[#This Row],[PRN Med Started]]&lt;=NOW(),Tbl_ResidentData[[#This Row],[PRN Med Started]]&lt;=AY$4,OR(Tbl_ResidentData[[#This Row],[PRN Med Discontinued]]&gt;AY$4,ISBLANK(Tbl_ResidentData[[#This Row],[PRN Med Discontinued]])))</f>
        <v>0</v>
      </c>
      <c r="BX132" s="121" t="b">
        <f ca="1">AND(Tbl_ResidentData[[#This Row],[PRN Med Started]]&lt;&gt;"",Tbl_ResidentData[[#This Row],[PRN Med Started]]&lt;=NOW(),Tbl_ResidentData[[#This Row],[PRN Med Started]]&lt;=AZ$4,OR(Tbl_ResidentData[[#This Row],[PRN Med Discontinued]]&gt;AZ$4,ISBLANK(Tbl_ResidentData[[#This Row],[PRN Med Discontinued]])))</f>
        <v>0</v>
      </c>
      <c r="BY132" s="121" t="b">
        <f ca="1">AND(Tbl_ResidentData[[#This Row],[PRN Med Started]]&lt;&gt;"",Tbl_ResidentData[[#This Row],[PRN Med Started]]&lt;=NOW(),Tbl_ResidentData[[#This Row],[PRN Med Started]]&lt;=BA$4,OR(Tbl_ResidentData[[#This Row],[PRN Med Discontinued]]&gt;BA$4,ISBLANK(Tbl_ResidentData[[#This Row],[PRN Med Discontinued]])))</f>
        <v>0</v>
      </c>
      <c r="BZ132" s="121" t="b">
        <f ca="1">AND(Tbl_ResidentData[[#This Row],[PRN Med Started]]&lt;&gt;"",Tbl_ResidentData[[#This Row],[PRN Med Started]]&lt;=NOW(),Tbl_ResidentData[[#This Row],[PRN Med Started]]&lt;=BB$4,OR(Tbl_ResidentData[[#This Row],[PRN Med Discontinued]]&gt;BB$4,ISBLANK(Tbl_ResidentData[[#This Row],[PRN Med Discontinued]])))</f>
        <v>0</v>
      </c>
      <c r="CA132" s="121" t="b">
        <f ca="1">AND(Tbl_ResidentData[[#This Row],[PRN Med Started]]&lt;&gt;"",Tbl_ResidentData[[#This Row],[PRN Med Started]]&lt;=NOW(),Tbl_ResidentData[[#This Row],[PRN Med Started]]&lt;=BC$4,OR(Tbl_ResidentData[[#This Row],[PRN Med Discontinued]]&gt;BC$4,ISBLANK(Tbl_ResidentData[[#This Row],[PRN Med Discontinued]])))</f>
        <v>0</v>
      </c>
      <c r="CB132" s="121" t="b">
        <f ca="1">AND(Tbl_ResidentData[[#This Row],[PRN Med Started]]&lt;&gt;"",Tbl_ResidentData[[#This Row],[PRN Med Started]]&lt;=NOW(),Tbl_ResidentData[[#This Row],[PRN Med Started]]&lt;=BD$4,OR(Tbl_ResidentData[[#This Row],[PRN Med Discontinued]]&gt;BD$4,ISBLANK(Tbl_ResidentData[[#This Row],[PRN Med Discontinued]])))</f>
        <v>0</v>
      </c>
      <c r="CC132" s="121" t="b">
        <f ca="1">AND(Tbl_ResidentData[[#This Row],[PRN Med Started]]&lt;&gt;"",Tbl_ResidentData[[#This Row],[PRN Med Started]]&lt;=NOW(),Tbl_ResidentData[[#This Row],[PRN Med Started]]&lt;=BE$4,OR(Tbl_ResidentData[[#This Row],[PRN Med Discontinued]]&gt;BE$4,ISBLANK(Tbl_ResidentData[[#This Row],[PRN Med Discontinued]])))</f>
        <v>0</v>
      </c>
      <c r="CD132" s="121" t="b">
        <f ca="1">AND(Tbl_ResidentData[[#This Row],[PRN Med Started]]&lt;&gt;"",Tbl_ResidentData[[#This Row],[PRN Med Started]]&lt;=NOW(),Tbl_ResidentData[[#This Row],[PRN Med Started]]&lt;=BF$4,OR(Tbl_ResidentData[[#This Row],[PRN Med Discontinued]]&gt;BF$4,ISBLANK(Tbl_ResidentData[[#This Row],[PRN Med Discontinued]])))</f>
        <v>0</v>
      </c>
      <c r="CE132" s="121" t="b">
        <f ca="1">AND(Tbl_ResidentData[[#This Row],[PRN Med Started]]&lt;&gt;"",Tbl_ResidentData[[#This Row],[PRN Med Started]]&lt;=NOW(),Tbl_ResidentData[[#This Row],[PRN Med Started]]&lt;=BG$4,OR(Tbl_ResidentData[[#This Row],[PRN Med Discontinued]]&gt;BG$4,ISBLANK(Tbl_ResidentData[[#This Row],[PRN Med Discontinued]])))</f>
        <v>0</v>
      </c>
      <c r="CF132" s="121" t="b">
        <f ca="1">AND(Tbl_ResidentData[[#This Row],[PRN Med Started]]&lt;&gt;"",Tbl_ResidentData[[#This Row],[PRN Med Started]]&lt;=NOW(),Tbl_ResidentData[[#This Row],[PRN Med Started]]&lt;=BH$4,OR(Tbl_ResidentData[[#This Row],[PRN Med Discontinued]]&gt;BH$4,ISBLANK(Tbl_ResidentData[[#This Row],[PRN Med Discontinued]])))</f>
        <v>0</v>
      </c>
      <c r="CG132" s="121" t="b">
        <f ca="1">AND(Tbl_ResidentData[[#This Row],[PRN Med Started]]&lt;&gt;"",Tbl_ResidentData[[#This Row],[PRN Med Started]]&lt;=NOW(),Tbl_ResidentData[[#This Row],[PRN Med Started]]&lt;=BI$4,OR(Tbl_ResidentData[[#This Row],[PRN Med Discontinued]]&gt;BI$4,ISBLANK(Tbl_ResidentData[[#This Row],[PRN Med Discontinued]])))</f>
        <v>0</v>
      </c>
      <c r="CH132" s="121" t="b">
        <f ca="1">AND(Tbl_ResidentData[[#This Row],[PRN Med Started]]&lt;&gt;"",Tbl_ResidentData[[#This Row],[PRN Med Started]]&lt;=NOW(),Tbl_ResidentData[[#This Row],[PRN Med Started]]&lt;=BJ$4,OR(Tbl_ResidentData[[#This Row],[PRN Med Discontinued]]&gt;BJ$4,ISBLANK(Tbl_ResidentData[[#This Row],[PRN Med Discontinued]])))</f>
        <v>0</v>
      </c>
      <c r="CI132" s="121" t="b">
        <f ca="1">AND(Tbl_ResidentData[[#This Row],[PRN Med Started]]&lt;&gt;"",Tbl_ResidentData[[#This Row],[PRN Med Started]]&lt;=NOW(),Tbl_ResidentData[[#This Row],[PRN Med Started]]&lt;=BK$4,OR(Tbl_ResidentData[[#This Row],[PRN Med Discontinued]]&gt;BK$4,ISBLANK(Tbl_ResidentData[[#This Row],[PRN Med Discontinued]])))</f>
        <v>0</v>
      </c>
      <c r="CJ132" s="121" t="b">
        <f ca="1">AND(Tbl_ResidentData[[#This Row],[PRN Med Started]]&lt;&gt;"",Tbl_ResidentData[[#This Row],[PRN Med Started]]&lt;=NOW(),Tbl_ResidentData[[#This Row],[PRN Med Started]]&lt;=BL$4,OR(Tbl_ResidentData[[#This Row],[PRN Med Discontinued]]&gt;BL$4,ISBLANK(Tbl_ResidentData[[#This Row],[PRN Med Discontinued]])))</f>
        <v>0</v>
      </c>
      <c r="CK132" s="121" t="b">
        <f ca="1">AND(Tbl_ResidentData[[#This Row],[PRN Med Started]]&lt;&gt;"",Tbl_ResidentData[[#This Row],[PRN Med Started]]&lt;=NOW(),Tbl_ResidentData[[#This Row],[PRN Med Started]]&lt;=BM$4,OR(Tbl_ResidentData[[#This Row],[PRN Med Discontinued]]&gt;BM$4,ISBLANK(Tbl_ResidentData[[#This Row],[PRN Med Discontinued]])))</f>
        <v>0</v>
      </c>
      <c r="CL132" s="121" t="b">
        <f ca="1">AND(Tbl_ResidentData[[#This Row],[PRN Med Started]]&lt;&gt;"",Tbl_ResidentData[[#This Row],[PRN Med Started]]&lt;=NOW(),Tbl_ResidentData[[#This Row],[PRN Med Started]]&lt;=BN$4,OR(Tbl_ResidentData[[#This Row],[PRN Med Discontinued]]&gt;BN$4,ISBLANK(Tbl_ResidentData[[#This Row],[PRN Med Discontinued]])))</f>
        <v>0</v>
      </c>
      <c r="CM132" s="121" t="b">
        <f ca="1">AND(Tbl_ResidentData[[#This Row],[PRN Med Started]]&lt;&gt;"",Tbl_ResidentData[[#This Row],[PRN Med Started]]&lt;=NOW(),Tbl_ResidentData[[#This Row],[PRN Med Started]]&lt;=BO$4,OR(Tbl_ResidentData[[#This Row],[PRN Med Discontinued]]&gt;BO$4,ISBLANK(Tbl_ResidentData[[#This Row],[PRN Med Discontinued]])))</f>
        <v>0</v>
      </c>
      <c r="CN132" s="122" t="b">
        <f ca="1">AND(Tbl_ResidentData[[#This Row],[PRN Med Started]]&lt;&gt;"",Tbl_ResidentData[[#This Row],[PRN Med Started]]&lt;=NOW(),Tbl_ResidentData[[#This Row],[PRN Med Started]]&lt;=BP$4,OR(Tbl_ResidentData[[#This Row],[PRN Med Discontinued]]&gt;BP$4,ISBLANK(Tbl_ResidentData[[#This Row],[PRN Med Discontinued]])))</f>
        <v>0</v>
      </c>
      <c r="CO132" s="120">
        <f ca="1">IF(OR(Tbl_ResidentData[[#This Row],[S1]]=TRUE,Tbl_ResidentData[[#This Row],[P1]]=TRUE),1,0)</f>
        <v>0</v>
      </c>
      <c r="CP132" s="121">
        <f ca="1">IF(OR(Tbl_ResidentData[[#This Row],[S2]]=TRUE,Tbl_ResidentData[[#This Row],[P2]]=TRUE),1,0)</f>
        <v>0</v>
      </c>
      <c r="CQ132" s="121">
        <f ca="1">IF(OR(Tbl_ResidentData[[#This Row],[S3]]=TRUE,Tbl_ResidentData[[#This Row],[P3]]=TRUE),1,0)</f>
        <v>0</v>
      </c>
      <c r="CR132" s="120">
        <f ca="1">IF(OR(Tbl_ResidentData[[#This Row],[S4]]=TRUE,Tbl_ResidentData[[#This Row],[P4]]=TRUE),1,0)</f>
        <v>0</v>
      </c>
      <c r="CS132" s="120">
        <f ca="1">IF(OR(Tbl_ResidentData[[#This Row],[S5]]=TRUE,Tbl_ResidentData[[#This Row],[P5]]=TRUE),1,0)</f>
        <v>0</v>
      </c>
      <c r="CT132" s="120">
        <f ca="1">IF(OR(Tbl_ResidentData[[#This Row],[S6]]=TRUE,Tbl_ResidentData[[#This Row],[P6]]=TRUE),1,0)</f>
        <v>0</v>
      </c>
      <c r="CU132" s="120">
        <f ca="1">IF(OR(Tbl_ResidentData[[#This Row],[S7]]=TRUE,Tbl_ResidentData[[#This Row],[P7]]=TRUE),1,0)</f>
        <v>0</v>
      </c>
      <c r="CV132" s="120">
        <f ca="1">IF(OR(Tbl_ResidentData[[#This Row],[S8]]=TRUE,Tbl_ResidentData[[#This Row],[P8]]=TRUE),1,0)</f>
        <v>0</v>
      </c>
      <c r="CW132" s="120">
        <f ca="1">IF(OR(Tbl_ResidentData[[#This Row],[S9]]=TRUE,Tbl_ResidentData[[#This Row],[P9]]=TRUE),1,0)</f>
        <v>0</v>
      </c>
      <c r="CX132" s="120">
        <f ca="1">IF(OR(Tbl_ResidentData[[#This Row],[S10]]=TRUE,Tbl_ResidentData[[#This Row],[P10]]=TRUE),1,0)</f>
        <v>0</v>
      </c>
      <c r="CY132" s="120">
        <f ca="1">IF(OR(Tbl_ResidentData[[#This Row],[S11]]=TRUE,Tbl_ResidentData[[#This Row],[P11]]=TRUE),1,0)</f>
        <v>0</v>
      </c>
      <c r="CZ132" s="120">
        <f ca="1">IF(OR(Tbl_ResidentData[[#This Row],[S12]]=TRUE,Tbl_ResidentData[[#This Row],[P12]]=TRUE),1,0)</f>
        <v>0</v>
      </c>
      <c r="DA132" s="120">
        <f ca="1">IF(OR(Tbl_ResidentData[[#This Row],[S13]]=TRUE,Tbl_ResidentData[[#This Row],[P13]]=TRUE),1,0)</f>
        <v>0</v>
      </c>
      <c r="DB132" s="120">
        <f ca="1">IF(OR(Tbl_ResidentData[[#This Row],[S14]]=TRUE,Tbl_ResidentData[[#This Row],[P14]]=TRUE),1,0)</f>
        <v>0</v>
      </c>
      <c r="DC132" s="120">
        <f ca="1">IF(OR(Tbl_ResidentData[[#This Row],[S15]]=TRUE,Tbl_ResidentData[[#This Row],[P15]]=TRUE),1,0)</f>
        <v>0</v>
      </c>
      <c r="DD132" s="120">
        <f ca="1">IF(OR(Tbl_ResidentData[[#This Row],[S16]]=TRUE,Tbl_ResidentData[[#This Row],[P16]]=TRUE),1,0)</f>
        <v>0</v>
      </c>
      <c r="DE132" s="120">
        <f ca="1">IF(OR(Tbl_ResidentData[[#This Row],[S17]]=TRUE,Tbl_ResidentData[[#This Row],[P17]]=TRUE),1,0)</f>
        <v>0</v>
      </c>
      <c r="DF132" s="120">
        <f ca="1">IF(OR(Tbl_ResidentData[[#This Row],[S18]]=TRUE,Tbl_ResidentData[[#This Row],[P18]]=TRUE),1,0)</f>
        <v>0</v>
      </c>
      <c r="DG132" s="120">
        <f ca="1">IF(OR(Tbl_ResidentData[[#This Row],[S19]]=TRUE,Tbl_ResidentData[[#This Row],[P19]]=TRUE),1,0)</f>
        <v>0</v>
      </c>
      <c r="DH132" s="120">
        <f ca="1">IF(OR(Tbl_ResidentData[[#This Row],[S20]]=TRUE,Tbl_ResidentData[[#This Row],[P20]]=TRUE),1,0)</f>
        <v>0</v>
      </c>
      <c r="DI132" s="120">
        <f ca="1">IF(OR(Tbl_ResidentData[[#This Row],[S21]]=TRUE,Tbl_ResidentData[[#This Row],[P21]]=TRUE),1,0)</f>
        <v>0</v>
      </c>
      <c r="DJ132" s="120">
        <f ca="1">IF(OR(Tbl_ResidentData[[#This Row],[S22]]=TRUE,Tbl_ResidentData[[#This Row],[P22]]=TRUE),1,0)</f>
        <v>0</v>
      </c>
      <c r="DK132" s="120">
        <f ca="1">IF(OR(Tbl_ResidentData[[#This Row],[S23]]=TRUE,Tbl_ResidentData[[#This Row],[P23]]=TRUE),1,0)</f>
        <v>0</v>
      </c>
      <c r="DL132" s="120">
        <f ca="1">IF(OR(Tbl_ResidentData[[#This Row],[S24]]=TRUE,Tbl_ResidentData[[#This Row],[P24]]=TRUE),1,0)</f>
        <v>0</v>
      </c>
      <c r="DM132" s="123" t="str">
        <f ca="1">IFERROR(INDEX($CO$4:$DL$4,MATCH(TRUE,INDEX((Tbl_ResidentData[[#This Row],[Over1]:[Over24]]&lt;&gt;0),0),0)),"")</f>
        <v/>
      </c>
      <c r="DN132" s="133" t="str">
        <f>IFERROR(INDEX(Tbl_PDSAData[Last DRT],MATCH(Tbl_ResidentData[Resident Name '[last, first']],Tbl_PDSAData[Resident Name (last, first)],0)),"")</f>
        <v/>
      </c>
      <c r="DO132" s="222" t="str">
        <f>IFERROR(INDEX(Tbl_PDSAData[Last MR],MATCH(Tbl_ResidentData[Resident Name '[last, first']],Tbl_PDSAData[Resident Name (last, first)],0)),"")</f>
        <v/>
      </c>
    </row>
    <row r="133" spans="1:119" x14ac:dyDescent="0.25">
      <c r="A133" s="179"/>
      <c r="B133" s="180"/>
      <c r="C133" s="180"/>
      <c r="D133" s="218"/>
      <c r="E133" s="179"/>
      <c r="F133" s="179"/>
      <c r="G133" s="181"/>
      <c r="H133" s="375"/>
      <c r="I133" s="185"/>
      <c r="J133" s="387"/>
      <c r="K133" s="178"/>
      <c r="L133" s="388"/>
      <c r="M133" s="185"/>
      <c r="N133" s="386"/>
      <c r="O133" s="178"/>
      <c r="P133" s="388"/>
      <c r="Q133" s="395"/>
      <c r="R133" s="396"/>
      <c r="S133" s="131" t="str">
        <f>IF(ISBLANK(Tbl_ResidentData[[#This Row],[Discharge '[mmm-yyyy']]]),IF(ISBLANK(Tbl_ResidentData[[#This Row],[Enrollment '[mmm-yyyy']]]),"","In Care Home"),"Discharged")</f>
        <v/>
      </c>
      <c r="T133" s="119" t="str">
        <f>IF(ISBLANK(Tbl_ResidentData[[#This Row],[Diagnosis (RAI)]]),IF(ISBLANK(Tbl_ResidentData[[#This Row],[Resident Name '[last, first']]]),"",0),IF(Tbl_ResidentData[[#This Row],[Diagnosis (RAI)]]="Other (see clinical notes)",0,1))</f>
        <v/>
      </c>
      <c r="U133" s="120" t="str">
        <f ca="1">IF(U$4&gt;NOW(),"-",IF(ISBLANK(Tbl_ResidentData[[#This Row],[Enrollment '[mmm-yyyy']]]),"-",AND((Tbl_ResidentData[[#This Row],[Enrollment '[mmm-yyyy']]]&lt;=U$4),IF(ISBLANK(Tbl_ResidentData[[#This Row],[Discharge '[mmm-yyyy']]]),TRUE,(Tbl_ResidentData[[#This Row],[Discharge '[mmm-yyyy']]]&gt;=U$4)))))</f>
        <v>-</v>
      </c>
      <c r="V133" s="121" t="str">
        <f ca="1">IF(V$4&gt;NOW(),"-",IF(ISBLANK(Tbl_ResidentData[[#This Row],[Enrollment '[mmm-yyyy']]]),"-",AND((Tbl_ResidentData[[#This Row],[Enrollment '[mmm-yyyy']]]&lt;=V$4),IF(ISBLANK(Tbl_ResidentData[[#This Row],[Discharge '[mmm-yyyy']]]),TRUE,(Tbl_ResidentData[[#This Row],[Discharge '[mmm-yyyy']]]&gt;=V$4)))))</f>
        <v>-</v>
      </c>
      <c r="W133" s="121" t="str">
        <f ca="1">IF(W$4&gt;NOW(),"-",IF(ISBLANK(Tbl_ResidentData[[#This Row],[Enrollment '[mmm-yyyy']]]),"-",AND((Tbl_ResidentData[[#This Row],[Enrollment '[mmm-yyyy']]]&lt;=W$4),IF(ISBLANK(Tbl_ResidentData[[#This Row],[Discharge '[mmm-yyyy']]]),TRUE,(Tbl_ResidentData[[#This Row],[Discharge '[mmm-yyyy']]]&gt;=W$4)))))</f>
        <v>-</v>
      </c>
      <c r="X133" s="121" t="str">
        <f ca="1">IF(X$4&gt;NOW(),"-",IF(ISBLANK(Tbl_ResidentData[[#This Row],[Enrollment '[mmm-yyyy']]]),"-",AND((Tbl_ResidentData[[#This Row],[Enrollment '[mmm-yyyy']]]&lt;=X$4),IF(ISBLANK(Tbl_ResidentData[[#This Row],[Discharge '[mmm-yyyy']]]),TRUE,(Tbl_ResidentData[[#This Row],[Discharge '[mmm-yyyy']]]&gt;=X$4)))))</f>
        <v>-</v>
      </c>
      <c r="Y133" s="121" t="str">
        <f ca="1">IF(Y$4&gt;NOW(),"-",IF(ISBLANK(Tbl_ResidentData[[#This Row],[Enrollment '[mmm-yyyy']]]),"-",AND((Tbl_ResidentData[[#This Row],[Enrollment '[mmm-yyyy']]]&lt;=Y$4),IF(ISBLANK(Tbl_ResidentData[[#This Row],[Discharge '[mmm-yyyy']]]),TRUE,(Tbl_ResidentData[[#This Row],[Discharge '[mmm-yyyy']]]&gt;=Y$4)))))</f>
        <v>-</v>
      </c>
      <c r="Z133" s="121" t="str">
        <f ca="1">IF(Z$4&gt;NOW(),"-",IF(ISBLANK(Tbl_ResidentData[[#This Row],[Enrollment '[mmm-yyyy']]]),"-",AND((Tbl_ResidentData[[#This Row],[Enrollment '[mmm-yyyy']]]&lt;=Z$4),IF(ISBLANK(Tbl_ResidentData[[#This Row],[Discharge '[mmm-yyyy']]]),TRUE,(Tbl_ResidentData[[#This Row],[Discharge '[mmm-yyyy']]]&gt;=Z$4)))))</f>
        <v>-</v>
      </c>
      <c r="AA133" s="121" t="str">
        <f ca="1">IF(AA$4&gt;NOW(),"-",IF(ISBLANK(Tbl_ResidentData[[#This Row],[Enrollment '[mmm-yyyy']]]),"-",AND((Tbl_ResidentData[[#This Row],[Enrollment '[mmm-yyyy']]]&lt;=AA$4),IF(ISBLANK(Tbl_ResidentData[[#This Row],[Discharge '[mmm-yyyy']]]),TRUE,(Tbl_ResidentData[[#This Row],[Discharge '[mmm-yyyy']]]&gt;=AA$4)))))</f>
        <v>-</v>
      </c>
      <c r="AB133" s="121" t="str">
        <f ca="1">IF(AB$4&gt;NOW(),"-",IF(ISBLANK(Tbl_ResidentData[[#This Row],[Enrollment '[mmm-yyyy']]]),"-",AND((Tbl_ResidentData[[#This Row],[Enrollment '[mmm-yyyy']]]&lt;=AB$4),IF(ISBLANK(Tbl_ResidentData[[#This Row],[Discharge '[mmm-yyyy']]]),TRUE,(Tbl_ResidentData[[#This Row],[Discharge '[mmm-yyyy']]]&gt;=AB$4)))))</f>
        <v>-</v>
      </c>
      <c r="AC133" s="121" t="str">
        <f ca="1">IF(AC$4&gt;NOW(),"-",IF(ISBLANK(Tbl_ResidentData[[#This Row],[Enrollment '[mmm-yyyy']]]),"-",AND((Tbl_ResidentData[[#This Row],[Enrollment '[mmm-yyyy']]]&lt;=AC$4),IF(ISBLANK(Tbl_ResidentData[[#This Row],[Discharge '[mmm-yyyy']]]),TRUE,(Tbl_ResidentData[[#This Row],[Discharge '[mmm-yyyy']]]&gt;=AC$4)))))</f>
        <v>-</v>
      </c>
      <c r="AD133" s="121" t="str">
        <f ca="1">IF(AD$4&gt;NOW(),"-",IF(ISBLANK(Tbl_ResidentData[[#This Row],[Enrollment '[mmm-yyyy']]]),"-",AND((Tbl_ResidentData[[#This Row],[Enrollment '[mmm-yyyy']]]&lt;=AD$4),IF(ISBLANK(Tbl_ResidentData[[#This Row],[Discharge '[mmm-yyyy']]]),TRUE,(Tbl_ResidentData[[#This Row],[Discharge '[mmm-yyyy']]]&gt;=AD$4)))))</f>
        <v>-</v>
      </c>
      <c r="AE133" s="121" t="str">
        <f ca="1">IF(AE$4&gt;NOW(),"-",IF(ISBLANK(Tbl_ResidentData[[#This Row],[Enrollment '[mmm-yyyy']]]),"-",AND((Tbl_ResidentData[[#This Row],[Enrollment '[mmm-yyyy']]]&lt;=AE$4),IF(ISBLANK(Tbl_ResidentData[[#This Row],[Discharge '[mmm-yyyy']]]),TRUE,(Tbl_ResidentData[[#This Row],[Discharge '[mmm-yyyy']]]&gt;=AE$4)))))</f>
        <v>-</v>
      </c>
      <c r="AF133" s="121" t="str">
        <f ca="1">IF(AF$4&gt;NOW(),"-",IF(ISBLANK(Tbl_ResidentData[[#This Row],[Enrollment '[mmm-yyyy']]]),"-",AND((Tbl_ResidentData[[#This Row],[Enrollment '[mmm-yyyy']]]&lt;=AF$4),IF(ISBLANK(Tbl_ResidentData[[#This Row],[Discharge '[mmm-yyyy']]]),TRUE,(Tbl_ResidentData[[#This Row],[Discharge '[mmm-yyyy']]]&gt;=AF$4)))))</f>
        <v>-</v>
      </c>
      <c r="AG133" s="121" t="str">
        <f ca="1">IF(AG$4&gt;NOW(),"-",IF(ISBLANK(Tbl_ResidentData[[#This Row],[Enrollment '[mmm-yyyy']]]),"-",AND((Tbl_ResidentData[[#This Row],[Enrollment '[mmm-yyyy']]]&lt;=AG$4),IF(ISBLANK(Tbl_ResidentData[[#This Row],[Discharge '[mmm-yyyy']]]),TRUE,(Tbl_ResidentData[[#This Row],[Discharge '[mmm-yyyy']]]&gt;=AG$4)))))</f>
        <v>-</v>
      </c>
      <c r="AH133" s="121" t="str">
        <f ca="1">IF(AH$4&gt;NOW(),"-",IF(ISBLANK(Tbl_ResidentData[[#This Row],[Enrollment '[mmm-yyyy']]]),"-",AND((Tbl_ResidentData[[#This Row],[Enrollment '[mmm-yyyy']]]&lt;=AH$4),IF(ISBLANK(Tbl_ResidentData[[#This Row],[Discharge '[mmm-yyyy']]]),TRUE,(Tbl_ResidentData[[#This Row],[Discharge '[mmm-yyyy']]]&gt;=AH$4)))))</f>
        <v>-</v>
      </c>
      <c r="AI133" s="121" t="str">
        <f ca="1">IF(AI$4&gt;NOW(),"-",IF(ISBLANK(Tbl_ResidentData[[#This Row],[Enrollment '[mmm-yyyy']]]),"-",AND((Tbl_ResidentData[[#This Row],[Enrollment '[mmm-yyyy']]]&lt;=AI$4),IF(ISBLANK(Tbl_ResidentData[[#This Row],[Discharge '[mmm-yyyy']]]),TRUE,(Tbl_ResidentData[[#This Row],[Discharge '[mmm-yyyy']]]&gt;=AI$4)))))</f>
        <v>-</v>
      </c>
      <c r="AJ133" s="121" t="str">
        <f ca="1">IF(AJ$4&gt;NOW(),"-",IF(ISBLANK(Tbl_ResidentData[[#This Row],[Enrollment '[mmm-yyyy']]]),"-",AND((Tbl_ResidentData[[#This Row],[Enrollment '[mmm-yyyy']]]&lt;=AJ$4),IF(ISBLANK(Tbl_ResidentData[[#This Row],[Discharge '[mmm-yyyy']]]),TRUE,(Tbl_ResidentData[[#This Row],[Discharge '[mmm-yyyy']]]&gt;=AJ$4)))))</f>
        <v>-</v>
      </c>
      <c r="AK133" s="121" t="str">
        <f ca="1">IF(AK$4&gt;NOW(),"-",IF(ISBLANK(Tbl_ResidentData[[#This Row],[Enrollment '[mmm-yyyy']]]),"-",AND((Tbl_ResidentData[[#This Row],[Enrollment '[mmm-yyyy']]]&lt;=AK$4),IF(ISBLANK(Tbl_ResidentData[[#This Row],[Discharge '[mmm-yyyy']]]),TRUE,(Tbl_ResidentData[[#This Row],[Discharge '[mmm-yyyy']]]&gt;=AK$4)))))</f>
        <v>-</v>
      </c>
      <c r="AL133" s="121" t="str">
        <f ca="1">IF(AL$4&gt;NOW(),"-",IF(ISBLANK(Tbl_ResidentData[[#This Row],[Enrollment '[mmm-yyyy']]]),"-",AND((Tbl_ResidentData[[#This Row],[Enrollment '[mmm-yyyy']]]&lt;=AL$4),IF(ISBLANK(Tbl_ResidentData[[#This Row],[Discharge '[mmm-yyyy']]]),TRUE,(Tbl_ResidentData[[#This Row],[Discharge '[mmm-yyyy']]]&gt;=AL$4)))))</f>
        <v>-</v>
      </c>
      <c r="AM133" s="121" t="str">
        <f ca="1">IF(AM$4&gt;NOW(),"-",IF(ISBLANK(Tbl_ResidentData[[#This Row],[Enrollment '[mmm-yyyy']]]),"-",AND((Tbl_ResidentData[[#This Row],[Enrollment '[mmm-yyyy']]]&lt;=AM$4),IF(ISBLANK(Tbl_ResidentData[[#This Row],[Discharge '[mmm-yyyy']]]),TRUE,(Tbl_ResidentData[[#This Row],[Discharge '[mmm-yyyy']]]&gt;=AM$4)))))</f>
        <v>-</v>
      </c>
      <c r="AN133" s="121" t="str">
        <f ca="1">IF(AN$4&gt;NOW(),"-",IF(ISBLANK(Tbl_ResidentData[[#This Row],[Enrollment '[mmm-yyyy']]]),"-",AND((Tbl_ResidentData[[#This Row],[Enrollment '[mmm-yyyy']]]&lt;=AN$4),IF(ISBLANK(Tbl_ResidentData[[#This Row],[Discharge '[mmm-yyyy']]]),TRUE,(Tbl_ResidentData[[#This Row],[Discharge '[mmm-yyyy']]]&gt;=AN$4)))))</f>
        <v>-</v>
      </c>
      <c r="AO133" s="121" t="str">
        <f ca="1">IF(AO$4&gt;NOW(),"-",IF(ISBLANK(Tbl_ResidentData[[#This Row],[Enrollment '[mmm-yyyy']]]),"-",AND((Tbl_ResidentData[[#This Row],[Enrollment '[mmm-yyyy']]]&lt;=AO$4),IF(ISBLANK(Tbl_ResidentData[[#This Row],[Discharge '[mmm-yyyy']]]),TRUE,(Tbl_ResidentData[[#This Row],[Discharge '[mmm-yyyy']]]&gt;=AO$4)))))</f>
        <v>-</v>
      </c>
      <c r="AP133" s="121" t="str">
        <f ca="1">IF(AP$4&gt;NOW(),"-",IF(ISBLANK(Tbl_ResidentData[[#This Row],[Enrollment '[mmm-yyyy']]]),"-",AND((Tbl_ResidentData[[#This Row],[Enrollment '[mmm-yyyy']]]&lt;=AP$4),IF(ISBLANK(Tbl_ResidentData[[#This Row],[Discharge '[mmm-yyyy']]]),TRUE,(Tbl_ResidentData[[#This Row],[Discharge '[mmm-yyyy']]]&gt;=AP$4)))))</f>
        <v>-</v>
      </c>
      <c r="AQ133" s="121" t="str">
        <f ca="1">IF(AQ$4&gt;NOW(),"-",IF(ISBLANK(Tbl_ResidentData[[#This Row],[Enrollment '[mmm-yyyy']]]),"-",AND((Tbl_ResidentData[[#This Row],[Enrollment '[mmm-yyyy']]]&lt;=AQ$4),IF(ISBLANK(Tbl_ResidentData[[#This Row],[Discharge '[mmm-yyyy']]]),TRUE,(Tbl_ResidentData[[#This Row],[Discharge '[mmm-yyyy']]]&gt;=AQ$4)))))</f>
        <v>-</v>
      </c>
      <c r="AR133" s="122" t="str">
        <f ca="1">IF(AR$4&gt;NOW(),"-",IF(ISBLANK(Tbl_ResidentData[[#This Row],[Enrollment '[mmm-yyyy']]]),"-",AND((Tbl_ResidentData[[#This Row],[Enrollment '[mmm-yyyy']]]&lt;=AR$4),IF(ISBLANK(Tbl_ResidentData[[#This Row],[Discharge '[mmm-yyyy']]]),TRUE,(Tbl_ResidentData[[#This Row],[Discharge '[mmm-yyyy']]]&gt;=AR$4)))))</f>
        <v>-</v>
      </c>
      <c r="AS13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3" s="120" t="b">
        <f ca="1">AND(Tbl_ResidentData[[#This Row],[PRN Med Started]]&lt;&gt;"",Tbl_ResidentData[[#This Row],[PRN Med Started]]&lt;=NOW(),Tbl_ResidentData[[#This Row],[PRN Med Started]]&lt;=AS$4,OR(Tbl_ResidentData[[#This Row],[PRN Med Discontinued]]&gt;AS$4,ISBLANK(Tbl_ResidentData[[#This Row],[PRN Med Discontinued]])))</f>
        <v>0</v>
      </c>
      <c r="BR133" s="121" t="b">
        <f ca="1">AND(Tbl_ResidentData[[#This Row],[PRN Med Started]]&lt;&gt;"",Tbl_ResidentData[[#This Row],[PRN Med Started]]&lt;=NOW(),Tbl_ResidentData[[#This Row],[PRN Med Started]]&lt;=AT$4,OR(Tbl_ResidentData[[#This Row],[PRN Med Discontinued]]&gt;AT$4,ISBLANK(Tbl_ResidentData[[#This Row],[PRN Med Discontinued]])))</f>
        <v>0</v>
      </c>
      <c r="BS133" s="121" t="b">
        <f ca="1">AND(Tbl_ResidentData[[#This Row],[PRN Med Started]]&lt;&gt;"",Tbl_ResidentData[[#This Row],[PRN Med Started]]&lt;=NOW(),Tbl_ResidentData[[#This Row],[PRN Med Started]]&lt;=AU$4,OR(Tbl_ResidentData[[#This Row],[PRN Med Discontinued]]&gt;AU$4,ISBLANK(Tbl_ResidentData[[#This Row],[PRN Med Discontinued]])))</f>
        <v>0</v>
      </c>
      <c r="BT133" s="121" t="b">
        <f ca="1">AND(Tbl_ResidentData[[#This Row],[PRN Med Started]]&lt;&gt;"",Tbl_ResidentData[[#This Row],[PRN Med Started]]&lt;=NOW(),Tbl_ResidentData[[#This Row],[PRN Med Started]]&lt;=AV$4,OR(Tbl_ResidentData[[#This Row],[PRN Med Discontinued]]&gt;AV$4,ISBLANK(Tbl_ResidentData[[#This Row],[PRN Med Discontinued]])))</f>
        <v>0</v>
      </c>
      <c r="BU133" s="121" t="b">
        <f ca="1">AND(Tbl_ResidentData[[#This Row],[PRN Med Started]]&lt;&gt;"",Tbl_ResidentData[[#This Row],[PRN Med Started]]&lt;=NOW(),Tbl_ResidentData[[#This Row],[PRN Med Started]]&lt;=AW$4,OR(Tbl_ResidentData[[#This Row],[PRN Med Discontinued]]&gt;AW$4,ISBLANK(Tbl_ResidentData[[#This Row],[PRN Med Discontinued]])))</f>
        <v>0</v>
      </c>
      <c r="BV133" s="121" t="b">
        <f ca="1">AND(Tbl_ResidentData[[#This Row],[PRN Med Started]]&lt;&gt;"",Tbl_ResidentData[[#This Row],[PRN Med Started]]&lt;=NOW(),Tbl_ResidentData[[#This Row],[PRN Med Started]]&lt;=AX$4,OR(Tbl_ResidentData[[#This Row],[PRN Med Discontinued]]&gt;AX$4,ISBLANK(Tbl_ResidentData[[#This Row],[PRN Med Discontinued]])))</f>
        <v>0</v>
      </c>
      <c r="BW133" s="121" t="b">
        <f ca="1">AND(Tbl_ResidentData[[#This Row],[PRN Med Started]]&lt;&gt;"",Tbl_ResidentData[[#This Row],[PRN Med Started]]&lt;=NOW(),Tbl_ResidentData[[#This Row],[PRN Med Started]]&lt;=AY$4,OR(Tbl_ResidentData[[#This Row],[PRN Med Discontinued]]&gt;AY$4,ISBLANK(Tbl_ResidentData[[#This Row],[PRN Med Discontinued]])))</f>
        <v>0</v>
      </c>
      <c r="BX133" s="121" t="b">
        <f ca="1">AND(Tbl_ResidentData[[#This Row],[PRN Med Started]]&lt;&gt;"",Tbl_ResidentData[[#This Row],[PRN Med Started]]&lt;=NOW(),Tbl_ResidentData[[#This Row],[PRN Med Started]]&lt;=AZ$4,OR(Tbl_ResidentData[[#This Row],[PRN Med Discontinued]]&gt;AZ$4,ISBLANK(Tbl_ResidentData[[#This Row],[PRN Med Discontinued]])))</f>
        <v>0</v>
      </c>
      <c r="BY133" s="121" t="b">
        <f ca="1">AND(Tbl_ResidentData[[#This Row],[PRN Med Started]]&lt;&gt;"",Tbl_ResidentData[[#This Row],[PRN Med Started]]&lt;=NOW(),Tbl_ResidentData[[#This Row],[PRN Med Started]]&lt;=BA$4,OR(Tbl_ResidentData[[#This Row],[PRN Med Discontinued]]&gt;BA$4,ISBLANK(Tbl_ResidentData[[#This Row],[PRN Med Discontinued]])))</f>
        <v>0</v>
      </c>
      <c r="BZ133" s="121" t="b">
        <f ca="1">AND(Tbl_ResidentData[[#This Row],[PRN Med Started]]&lt;&gt;"",Tbl_ResidentData[[#This Row],[PRN Med Started]]&lt;=NOW(),Tbl_ResidentData[[#This Row],[PRN Med Started]]&lt;=BB$4,OR(Tbl_ResidentData[[#This Row],[PRN Med Discontinued]]&gt;BB$4,ISBLANK(Tbl_ResidentData[[#This Row],[PRN Med Discontinued]])))</f>
        <v>0</v>
      </c>
      <c r="CA133" s="121" t="b">
        <f ca="1">AND(Tbl_ResidentData[[#This Row],[PRN Med Started]]&lt;&gt;"",Tbl_ResidentData[[#This Row],[PRN Med Started]]&lt;=NOW(),Tbl_ResidentData[[#This Row],[PRN Med Started]]&lt;=BC$4,OR(Tbl_ResidentData[[#This Row],[PRN Med Discontinued]]&gt;BC$4,ISBLANK(Tbl_ResidentData[[#This Row],[PRN Med Discontinued]])))</f>
        <v>0</v>
      </c>
      <c r="CB133" s="121" t="b">
        <f ca="1">AND(Tbl_ResidentData[[#This Row],[PRN Med Started]]&lt;&gt;"",Tbl_ResidentData[[#This Row],[PRN Med Started]]&lt;=NOW(),Tbl_ResidentData[[#This Row],[PRN Med Started]]&lt;=BD$4,OR(Tbl_ResidentData[[#This Row],[PRN Med Discontinued]]&gt;BD$4,ISBLANK(Tbl_ResidentData[[#This Row],[PRN Med Discontinued]])))</f>
        <v>0</v>
      </c>
      <c r="CC133" s="121" t="b">
        <f ca="1">AND(Tbl_ResidentData[[#This Row],[PRN Med Started]]&lt;&gt;"",Tbl_ResidentData[[#This Row],[PRN Med Started]]&lt;=NOW(),Tbl_ResidentData[[#This Row],[PRN Med Started]]&lt;=BE$4,OR(Tbl_ResidentData[[#This Row],[PRN Med Discontinued]]&gt;BE$4,ISBLANK(Tbl_ResidentData[[#This Row],[PRN Med Discontinued]])))</f>
        <v>0</v>
      </c>
      <c r="CD133" s="121" t="b">
        <f ca="1">AND(Tbl_ResidentData[[#This Row],[PRN Med Started]]&lt;&gt;"",Tbl_ResidentData[[#This Row],[PRN Med Started]]&lt;=NOW(),Tbl_ResidentData[[#This Row],[PRN Med Started]]&lt;=BF$4,OR(Tbl_ResidentData[[#This Row],[PRN Med Discontinued]]&gt;BF$4,ISBLANK(Tbl_ResidentData[[#This Row],[PRN Med Discontinued]])))</f>
        <v>0</v>
      </c>
      <c r="CE133" s="121" t="b">
        <f ca="1">AND(Tbl_ResidentData[[#This Row],[PRN Med Started]]&lt;&gt;"",Tbl_ResidentData[[#This Row],[PRN Med Started]]&lt;=NOW(),Tbl_ResidentData[[#This Row],[PRN Med Started]]&lt;=BG$4,OR(Tbl_ResidentData[[#This Row],[PRN Med Discontinued]]&gt;BG$4,ISBLANK(Tbl_ResidentData[[#This Row],[PRN Med Discontinued]])))</f>
        <v>0</v>
      </c>
      <c r="CF133" s="121" t="b">
        <f ca="1">AND(Tbl_ResidentData[[#This Row],[PRN Med Started]]&lt;&gt;"",Tbl_ResidentData[[#This Row],[PRN Med Started]]&lt;=NOW(),Tbl_ResidentData[[#This Row],[PRN Med Started]]&lt;=BH$4,OR(Tbl_ResidentData[[#This Row],[PRN Med Discontinued]]&gt;BH$4,ISBLANK(Tbl_ResidentData[[#This Row],[PRN Med Discontinued]])))</f>
        <v>0</v>
      </c>
      <c r="CG133" s="121" t="b">
        <f ca="1">AND(Tbl_ResidentData[[#This Row],[PRN Med Started]]&lt;&gt;"",Tbl_ResidentData[[#This Row],[PRN Med Started]]&lt;=NOW(),Tbl_ResidentData[[#This Row],[PRN Med Started]]&lt;=BI$4,OR(Tbl_ResidentData[[#This Row],[PRN Med Discontinued]]&gt;BI$4,ISBLANK(Tbl_ResidentData[[#This Row],[PRN Med Discontinued]])))</f>
        <v>0</v>
      </c>
      <c r="CH133" s="121" t="b">
        <f ca="1">AND(Tbl_ResidentData[[#This Row],[PRN Med Started]]&lt;&gt;"",Tbl_ResidentData[[#This Row],[PRN Med Started]]&lt;=NOW(),Tbl_ResidentData[[#This Row],[PRN Med Started]]&lt;=BJ$4,OR(Tbl_ResidentData[[#This Row],[PRN Med Discontinued]]&gt;BJ$4,ISBLANK(Tbl_ResidentData[[#This Row],[PRN Med Discontinued]])))</f>
        <v>0</v>
      </c>
      <c r="CI133" s="121" t="b">
        <f ca="1">AND(Tbl_ResidentData[[#This Row],[PRN Med Started]]&lt;&gt;"",Tbl_ResidentData[[#This Row],[PRN Med Started]]&lt;=NOW(),Tbl_ResidentData[[#This Row],[PRN Med Started]]&lt;=BK$4,OR(Tbl_ResidentData[[#This Row],[PRN Med Discontinued]]&gt;BK$4,ISBLANK(Tbl_ResidentData[[#This Row],[PRN Med Discontinued]])))</f>
        <v>0</v>
      </c>
      <c r="CJ133" s="121" t="b">
        <f ca="1">AND(Tbl_ResidentData[[#This Row],[PRN Med Started]]&lt;&gt;"",Tbl_ResidentData[[#This Row],[PRN Med Started]]&lt;=NOW(),Tbl_ResidentData[[#This Row],[PRN Med Started]]&lt;=BL$4,OR(Tbl_ResidentData[[#This Row],[PRN Med Discontinued]]&gt;BL$4,ISBLANK(Tbl_ResidentData[[#This Row],[PRN Med Discontinued]])))</f>
        <v>0</v>
      </c>
      <c r="CK133" s="121" t="b">
        <f ca="1">AND(Tbl_ResidentData[[#This Row],[PRN Med Started]]&lt;&gt;"",Tbl_ResidentData[[#This Row],[PRN Med Started]]&lt;=NOW(),Tbl_ResidentData[[#This Row],[PRN Med Started]]&lt;=BM$4,OR(Tbl_ResidentData[[#This Row],[PRN Med Discontinued]]&gt;BM$4,ISBLANK(Tbl_ResidentData[[#This Row],[PRN Med Discontinued]])))</f>
        <v>0</v>
      </c>
      <c r="CL133" s="121" t="b">
        <f ca="1">AND(Tbl_ResidentData[[#This Row],[PRN Med Started]]&lt;&gt;"",Tbl_ResidentData[[#This Row],[PRN Med Started]]&lt;=NOW(),Tbl_ResidentData[[#This Row],[PRN Med Started]]&lt;=BN$4,OR(Tbl_ResidentData[[#This Row],[PRN Med Discontinued]]&gt;BN$4,ISBLANK(Tbl_ResidentData[[#This Row],[PRN Med Discontinued]])))</f>
        <v>0</v>
      </c>
      <c r="CM133" s="121" t="b">
        <f ca="1">AND(Tbl_ResidentData[[#This Row],[PRN Med Started]]&lt;&gt;"",Tbl_ResidentData[[#This Row],[PRN Med Started]]&lt;=NOW(),Tbl_ResidentData[[#This Row],[PRN Med Started]]&lt;=BO$4,OR(Tbl_ResidentData[[#This Row],[PRN Med Discontinued]]&gt;BO$4,ISBLANK(Tbl_ResidentData[[#This Row],[PRN Med Discontinued]])))</f>
        <v>0</v>
      </c>
      <c r="CN133" s="122" t="b">
        <f ca="1">AND(Tbl_ResidentData[[#This Row],[PRN Med Started]]&lt;&gt;"",Tbl_ResidentData[[#This Row],[PRN Med Started]]&lt;=NOW(),Tbl_ResidentData[[#This Row],[PRN Med Started]]&lt;=BP$4,OR(Tbl_ResidentData[[#This Row],[PRN Med Discontinued]]&gt;BP$4,ISBLANK(Tbl_ResidentData[[#This Row],[PRN Med Discontinued]])))</f>
        <v>0</v>
      </c>
      <c r="CO133" s="120">
        <f ca="1">IF(OR(Tbl_ResidentData[[#This Row],[S1]]=TRUE,Tbl_ResidentData[[#This Row],[P1]]=TRUE),1,0)</f>
        <v>0</v>
      </c>
      <c r="CP133" s="121">
        <f ca="1">IF(OR(Tbl_ResidentData[[#This Row],[S2]]=TRUE,Tbl_ResidentData[[#This Row],[P2]]=TRUE),1,0)</f>
        <v>0</v>
      </c>
      <c r="CQ133" s="121">
        <f ca="1">IF(OR(Tbl_ResidentData[[#This Row],[S3]]=TRUE,Tbl_ResidentData[[#This Row],[P3]]=TRUE),1,0)</f>
        <v>0</v>
      </c>
      <c r="CR133" s="120">
        <f ca="1">IF(OR(Tbl_ResidentData[[#This Row],[S4]]=TRUE,Tbl_ResidentData[[#This Row],[P4]]=TRUE),1,0)</f>
        <v>0</v>
      </c>
      <c r="CS133" s="120">
        <f ca="1">IF(OR(Tbl_ResidentData[[#This Row],[S5]]=TRUE,Tbl_ResidentData[[#This Row],[P5]]=TRUE),1,0)</f>
        <v>0</v>
      </c>
      <c r="CT133" s="120">
        <f ca="1">IF(OR(Tbl_ResidentData[[#This Row],[S6]]=TRUE,Tbl_ResidentData[[#This Row],[P6]]=TRUE),1,0)</f>
        <v>0</v>
      </c>
      <c r="CU133" s="120">
        <f ca="1">IF(OR(Tbl_ResidentData[[#This Row],[S7]]=TRUE,Tbl_ResidentData[[#This Row],[P7]]=TRUE),1,0)</f>
        <v>0</v>
      </c>
      <c r="CV133" s="120">
        <f ca="1">IF(OR(Tbl_ResidentData[[#This Row],[S8]]=TRUE,Tbl_ResidentData[[#This Row],[P8]]=TRUE),1,0)</f>
        <v>0</v>
      </c>
      <c r="CW133" s="120">
        <f ca="1">IF(OR(Tbl_ResidentData[[#This Row],[S9]]=TRUE,Tbl_ResidentData[[#This Row],[P9]]=TRUE),1,0)</f>
        <v>0</v>
      </c>
      <c r="CX133" s="120">
        <f ca="1">IF(OR(Tbl_ResidentData[[#This Row],[S10]]=TRUE,Tbl_ResidentData[[#This Row],[P10]]=TRUE),1,0)</f>
        <v>0</v>
      </c>
      <c r="CY133" s="120">
        <f ca="1">IF(OR(Tbl_ResidentData[[#This Row],[S11]]=TRUE,Tbl_ResidentData[[#This Row],[P11]]=TRUE),1,0)</f>
        <v>0</v>
      </c>
      <c r="CZ133" s="120">
        <f ca="1">IF(OR(Tbl_ResidentData[[#This Row],[S12]]=TRUE,Tbl_ResidentData[[#This Row],[P12]]=TRUE),1,0)</f>
        <v>0</v>
      </c>
      <c r="DA133" s="120">
        <f ca="1">IF(OR(Tbl_ResidentData[[#This Row],[S13]]=TRUE,Tbl_ResidentData[[#This Row],[P13]]=TRUE),1,0)</f>
        <v>0</v>
      </c>
      <c r="DB133" s="120">
        <f ca="1">IF(OR(Tbl_ResidentData[[#This Row],[S14]]=TRUE,Tbl_ResidentData[[#This Row],[P14]]=TRUE),1,0)</f>
        <v>0</v>
      </c>
      <c r="DC133" s="120">
        <f ca="1">IF(OR(Tbl_ResidentData[[#This Row],[S15]]=TRUE,Tbl_ResidentData[[#This Row],[P15]]=TRUE),1,0)</f>
        <v>0</v>
      </c>
      <c r="DD133" s="120">
        <f ca="1">IF(OR(Tbl_ResidentData[[#This Row],[S16]]=TRUE,Tbl_ResidentData[[#This Row],[P16]]=TRUE),1,0)</f>
        <v>0</v>
      </c>
      <c r="DE133" s="120">
        <f ca="1">IF(OR(Tbl_ResidentData[[#This Row],[S17]]=TRUE,Tbl_ResidentData[[#This Row],[P17]]=TRUE),1,0)</f>
        <v>0</v>
      </c>
      <c r="DF133" s="120">
        <f ca="1">IF(OR(Tbl_ResidentData[[#This Row],[S18]]=TRUE,Tbl_ResidentData[[#This Row],[P18]]=TRUE),1,0)</f>
        <v>0</v>
      </c>
      <c r="DG133" s="120">
        <f ca="1">IF(OR(Tbl_ResidentData[[#This Row],[S19]]=TRUE,Tbl_ResidentData[[#This Row],[P19]]=TRUE),1,0)</f>
        <v>0</v>
      </c>
      <c r="DH133" s="120">
        <f ca="1">IF(OR(Tbl_ResidentData[[#This Row],[S20]]=TRUE,Tbl_ResidentData[[#This Row],[P20]]=TRUE),1,0)</f>
        <v>0</v>
      </c>
      <c r="DI133" s="120">
        <f ca="1">IF(OR(Tbl_ResidentData[[#This Row],[S21]]=TRUE,Tbl_ResidentData[[#This Row],[P21]]=TRUE),1,0)</f>
        <v>0</v>
      </c>
      <c r="DJ133" s="120">
        <f ca="1">IF(OR(Tbl_ResidentData[[#This Row],[S22]]=TRUE,Tbl_ResidentData[[#This Row],[P22]]=TRUE),1,0)</f>
        <v>0</v>
      </c>
      <c r="DK133" s="120">
        <f ca="1">IF(OR(Tbl_ResidentData[[#This Row],[S23]]=TRUE,Tbl_ResidentData[[#This Row],[P23]]=TRUE),1,0)</f>
        <v>0</v>
      </c>
      <c r="DL133" s="120">
        <f ca="1">IF(OR(Tbl_ResidentData[[#This Row],[S24]]=TRUE,Tbl_ResidentData[[#This Row],[P24]]=TRUE),1,0)</f>
        <v>0</v>
      </c>
      <c r="DM133" s="123" t="str">
        <f ca="1">IFERROR(INDEX($CO$4:$DL$4,MATCH(TRUE,INDEX((Tbl_ResidentData[[#This Row],[Over1]:[Over24]]&lt;&gt;0),0),0)),"")</f>
        <v/>
      </c>
      <c r="DN133" s="133" t="str">
        <f>IFERROR(INDEX(Tbl_PDSAData[Last DRT],MATCH(Tbl_ResidentData[Resident Name '[last, first']],Tbl_PDSAData[Resident Name (last, first)],0)),"")</f>
        <v/>
      </c>
      <c r="DO133" s="222" t="str">
        <f>IFERROR(INDEX(Tbl_PDSAData[Last MR],MATCH(Tbl_ResidentData[Resident Name '[last, first']],Tbl_PDSAData[Resident Name (last, first)],0)),"")</f>
        <v/>
      </c>
    </row>
    <row r="134" spans="1:119" x14ac:dyDescent="0.25">
      <c r="A134" s="179"/>
      <c r="B134" s="180"/>
      <c r="C134" s="180"/>
      <c r="D134" s="218"/>
      <c r="E134" s="179"/>
      <c r="F134" s="179"/>
      <c r="G134" s="181"/>
      <c r="H134" s="375"/>
      <c r="I134" s="185"/>
      <c r="J134" s="387"/>
      <c r="K134" s="178"/>
      <c r="L134" s="388"/>
      <c r="M134" s="185"/>
      <c r="N134" s="386"/>
      <c r="O134" s="178"/>
      <c r="P134" s="388"/>
      <c r="Q134" s="394"/>
      <c r="R134" s="388"/>
      <c r="S134" s="131" t="str">
        <f>IF(ISBLANK(Tbl_ResidentData[[#This Row],[Discharge '[mmm-yyyy']]]),IF(ISBLANK(Tbl_ResidentData[[#This Row],[Enrollment '[mmm-yyyy']]]),"","In Care Home"),"Discharged")</f>
        <v/>
      </c>
      <c r="T134" s="119" t="str">
        <f>IF(ISBLANK(Tbl_ResidentData[[#This Row],[Diagnosis (RAI)]]),IF(ISBLANK(Tbl_ResidentData[[#This Row],[Resident Name '[last, first']]]),"",0),IF(Tbl_ResidentData[[#This Row],[Diagnosis (RAI)]]="Other (see clinical notes)",0,1))</f>
        <v/>
      </c>
      <c r="U134" s="120" t="str">
        <f ca="1">IF(U$4&gt;NOW(),"-",IF(ISBLANK(Tbl_ResidentData[[#This Row],[Enrollment '[mmm-yyyy']]]),"-",AND((Tbl_ResidentData[[#This Row],[Enrollment '[mmm-yyyy']]]&lt;=U$4),IF(ISBLANK(Tbl_ResidentData[[#This Row],[Discharge '[mmm-yyyy']]]),TRUE,(Tbl_ResidentData[[#This Row],[Discharge '[mmm-yyyy']]]&gt;=U$4)))))</f>
        <v>-</v>
      </c>
      <c r="V134" s="121" t="str">
        <f ca="1">IF(V$4&gt;NOW(),"-",IF(ISBLANK(Tbl_ResidentData[[#This Row],[Enrollment '[mmm-yyyy']]]),"-",AND((Tbl_ResidentData[[#This Row],[Enrollment '[mmm-yyyy']]]&lt;=V$4),IF(ISBLANK(Tbl_ResidentData[[#This Row],[Discharge '[mmm-yyyy']]]),TRUE,(Tbl_ResidentData[[#This Row],[Discharge '[mmm-yyyy']]]&gt;=V$4)))))</f>
        <v>-</v>
      </c>
      <c r="W134" s="121" t="str">
        <f ca="1">IF(W$4&gt;NOW(),"-",IF(ISBLANK(Tbl_ResidentData[[#This Row],[Enrollment '[mmm-yyyy']]]),"-",AND((Tbl_ResidentData[[#This Row],[Enrollment '[mmm-yyyy']]]&lt;=W$4),IF(ISBLANK(Tbl_ResidentData[[#This Row],[Discharge '[mmm-yyyy']]]),TRUE,(Tbl_ResidentData[[#This Row],[Discharge '[mmm-yyyy']]]&gt;=W$4)))))</f>
        <v>-</v>
      </c>
      <c r="X134" s="121" t="str">
        <f ca="1">IF(X$4&gt;NOW(),"-",IF(ISBLANK(Tbl_ResidentData[[#This Row],[Enrollment '[mmm-yyyy']]]),"-",AND((Tbl_ResidentData[[#This Row],[Enrollment '[mmm-yyyy']]]&lt;=X$4),IF(ISBLANK(Tbl_ResidentData[[#This Row],[Discharge '[mmm-yyyy']]]),TRUE,(Tbl_ResidentData[[#This Row],[Discharge '[mmm-yyyy']]]&gt;=X$4)))))</f>
        <v>-</v>
      </c>
      <c r="Y134" s="121" t="str">
        <f ca="1">IF(Y$4&gt;NOW(),"-",IF(ISBLANK(Tbl_ResidentData[[#This Row],[Enrollment '[mmm-yyyy']]]),"-",AND((Tbl_ResidentData[[#This Row],[Enrollment '[mmm-yyyy']]]&lt;=Y$4),IF(ISBLANK(Tbl_ResidentData[[#This Row],[Discharge '[mmm-yyyy']]]),TRUE,(Tbl_ResidentData[[#This Row],[Discharge '[mmm-yyyy']]]&gt;=Y$4)))))</f>
        <v>-</v>
      </c>
      <c r="Z134" s="121" t="str">
        <f ca="1">IF(Z$4&gt;NOW(),"-",IF(ISBLANK(Tbl_ResidentData[[#This Row],[Enrollment '[mmm-yyyy']]]),"-",AND((Tbl_ResidentData[[#This Row],[Enrollment '[mmm-yyyy']]]&lt;=Z$4),IF(ISBLANK(Tbl_ResidentData[[#This Row],[Discharge '[mmm-yyyy']]]),TRUE,(Tbl_ResidentData[[#This Row],[Discharge '[mmm-yyyy']]]&gt;=Z$4)))))</f>
        <v>-</v>
      </c>
      <c r="AA134" s="121" t="str">
        <f ca="1">IF(AA$4&gt;NOW(),"-",IF(ISBLANK(Tbl_ResidentData[[#This Row],[Enrollment '[mmm-yyyy']]]),"-",AND((Tbl_ResidentData[[#This Row],[Enrollment '[mmm-yyyy']]]&lt;=AA$4),IF(ISBLANK(Tbl_ResidentData[[#This Row],[Discharge '[mmm-yyyy']]]),TRUE,(Tbl_ResidentData[[#This Row],[Discharge '[mmm-yyyy']]]&gt;=AA$4)))))</f>
        <v>-</v>
      </c>
      <c r="AB134" s="121" t="str">
        <f ca="1">IF(AB$4&gt;NOW(),"-",IF(ISBLANK(Tbl_ResidentData[[#This Row],[Enrollment '[mmm-yyyy']]]),"-",AND((Tbl_ResidentData[[#This Row],[Enrollment '[mmm-yyyy']]]&lt;=AB$4),IF(ISBLANK(Tbl_ResidentData[[#This Row],[Discharge '[mmm-yyyy']]]),TRUE,(Tbl_ResidentData[[#This Row],[Discharge '[mmm-yyyy']]]&gt;=AB$4)))))</f>
        <v>-</v>
      </c>
      <c r="AC134" s="121" t="str">
        <f ca="1">IF(AC$4&gt;NOW(),"-",IF(ISBLANK(Tbl_ResidentData[[#This Row],[Enrollment '[mmm-yyyy']]]),"-",AND((Tbl_ResidentData[[#This Row],[Enrollment '[mmm-yyyy']]]&lt;=AC$4),IF(ISBLANK(Tbl_ResidentData[[#This Row],[Discharge '[mmm-yyyy']]]),TRUE,(Tbl_ResidentData[[#This Row],[Discharge '[mmm-yyyy']]]&gt;=AC$4)))))</f>
        <v>-</v>
      </c>
      <c r="AD134" s="121" t="str">
        <f ca="1">IF(AD$4&gt;NOW(),"-",IF(ISBLANK(Tbl_ResidentData[[#This Row],[Enrollment '[mmm-yyyy']]]),"-",AND((Tbl_ResidentData[[#This Row],[Enrollment '[mmm-yyyy']]]&lt;=AD$4),IF(ISBLANK(Tbl_ResidentData[[#This Row],[Discharge '[mmm-yyyy']]]),TRUE,(Tbl_ResidentData[[#This Row],[Discharge '[mmm-yyyy']]]&gt;=AD$4)))))</f>
        <v>-</v>
      </c>
      <c r="AE134" s="121" t="str">
        <f ca="1">IF(AE$4&gt;NOW(),"-",IF(ISBLANK(Tbl_ResidentData[[#This Row],[Enrollment '[mmm-yyyy']]]),"-",AND((Tbl_ResidentData[[#This Row],[Enrollment '[mmm-yyyy']]]&lt;=AE$4),IF(ISBLANK(Tbl_ResidentData[[#This Row],[Discharge '[mmm-yyyy']]]),TRUE,(Tbl_ResidentData[[#This Row],[Discharge '[mmm-yyyy']]]&gt;=AE$4)))))</f>
        <v>-</v>
      </c>
      <c r="AF134" s="121" t="str">
        <f ca="1">IF(AF$4&gt;NOW(),"-",IF(ISBLANK(Tbl_ResidentData[[#This Row],[Enrollment '[mmm-yyyy']]]),"-",AND((Tbl_ResidentData[[#This Row],[Enrollment '[mmm-yyyy']]]&lt;=AF$4),IF(ISBLANK(Tbl_ResidentData[[#This Row],[Discharge '[mmm-yyyy']]]),TRUE,(Tbl_ResidentData[[#This Row],[Discharge '[mmm-yyyy']]]&gt;=AF$4)))))</f>
        <v>-</v>
      </c>
      <c r="AG134" s="121" t="str">
        <f ca="1">IF(AG$4&gt;NOW(),"-",IF(ISBLANK(Tbl_ResidentData[[#This Row],[Enrollment '[mmm-yyyy']]]),"-",AND((Tbl_ResidentData[[#This Row],[Enrollment '[mmm-yyyy']]]&lt;=AG$4),IF(ISBLANK(Tbl_ResidentData[[#This Row],[Discharge '[mmm-yyyy']]]),TRUE,(Tbl_ResidentData[[#This Row],[Discharge '[mmm-yyyy']]]&gt;=AG$4)))))</f>
        <v>-</v>
      </c>
      <c r="AH134" s="121" t="str">
        <f ca="1">IF(AH$4&gt;NOW(),"-",IF(ISBLANK(Tbl_ResidentData[[#This Row],[Enrollment '[mmm-yyyy']]]),"-",AND((Tbl_ResidentData[[#This Row],[Enrollment '[mmm-yyyy']]]&lt;=AH$4),IF(ISBLANK(Tbl_ResidentData[[#This Row],[Discharge '[mmm-yyyy']]]),TRUE,(Tbl_ResidentData[[#This Row],[Discharge '[mmm-yyyy']]]&gt;=AH$4)))))</f>
        <v>-</v>
      </c>
      <c r="AI134" s="121" t="str">
        <f ca="1">IF(AI$4&gt;NOW(),"-",IF(ISBLANK(Tbl_ResidentData[[#This Row],[Enrollment '[mmm-yyyy']]]),"-",AND((Tbl_ResidentData[[#This Row],[Enrollment '[mmm-yyyy']]]&lt;=AI$4),IF(ISBLANK(Tbl_ResidentData[[#This Row],[Discharge '[mmm-yyyy']]]),TRUE,(Tbl_ResidentData[[#This Row],[Discharge '[mmm-yyyy']]]&gt;=AI$4)))))</f>
        <v>-</v>
      </c>
      <c r="AJ134" s="121" t="str">
        <f ca="1">IF(AJ$4&gt;NOW(),"-",IF(ISBLANK(Tbl_ResidentData[[#This Row],[Enrollment '[mmm-yyyy']]]),"-",AND((Tbl_ResidentData[[#This Row],[Enrollment '[mmm-yyyy']]]&lt;=AJ$4),IF(ISBLANK(Tbl_ResidentData[[#This Row],[Discharge '[mmm-yyyy']]]),TRUE,(Tbl_ResidentData[[#This Row],[Discharge '[mmm-yyyy']]]&gt;=AJ$4)))))</f>
        <v>-</v>
      </c>
      <c r="AK134" s="121" t="str">
        <f ca="1">IF(AK$4&gt;NOW(),"-",IF(ISBLANK(Tbl_ResidentData[[#This Row],[Enrollment '[mmm-yyyy']]]),"-",AND((Tbl_ResidentData[[#This Row],[Enrollment '[mmm-yyyy']]]&lt;=AK$4),IF(ISBLANK(Tbl_ResidentData[[#This Row],[Discharge '[mmm-yyyy']]]),TRUE,(Tbl_ResidentData[[#This Row],[Discharge '[mmm-yyyy']]]&gt;=AK$4)))))</f>
        <v>-</v>
      </c>
      <c r="AL134" s="121" t="str">
        <f ca="1">IF(AL$4&gt;NOW(),"-",IF(ISBLANK(Tbl_ResidentData[[#This Row],[Enrollment '[mmm-yyyy']]]),"-",AND((Tbl_ResidentData[[#This Row],[Enrollment '[mmm-yyyy']]]&lt;=AL$4),IF(ISBLANK(Tbl_ResidentData[[#This Row],[Discharge '[mmm-yyyy']]]),TRUE,(Tbl_ResidentData[[#This Row],[Discharge '[mmm-yyyy']]]&gt;=AL$4)))))</f>
        <v>-</v>
      </c>
      <c r="AM134" s="121" t="str">
        <f ca="1">IF(AM$4&gt;NOW(),"-",IF(ISBLANK(Tbl_ResidentData[[#This Row],[Enrollment '[mmm-yyyy']]]),"-",AND((Tbl_ResidentData[[#This Row],[Enrollment '[mmm-yyyy']]]&lt;=AM$4),IF(ISBLANK(Tbl_ResidentData[[#This Row],[Discharge '[mmm-yyyy']]]),TRUE,(Tbl_ResidentData[[#This Row],[Discharge '[mmm-yyyy']]]&gt;=AM$4)))))</f>
        <v>-</v>
      </c>
      <c r="AN134" s="121" t="str">
        <f ca="1">IF(AN$4&gt;NOW(),"-",IF(ISBLANK(Tbl_ResidentData[[#This Row],[Enrollment '[mmm-yyyy']]]),"-",AND((Tbl_ResidentData[[#This Row],[Enrollment '[mmm-yyyy']]]&lt;=AN$4),IF(ISBLANK(Tbl_ResidentData[[#This Row],[Discharge '[mmm-yyyy']]]),TRUE,(Tbl_ResidentData[[#This Row],[Discharge '[mmm-yyyy']]]&gt;=AN$4)))))</f>
        <v>-</v>
      </c>
      <c r="AO134" s="121" t="str">
        <f ca="1">IF(AO$4&gt;NOW(),"-",IF(ISBLANK(Tbl_ResidentData[[#This Row],[Enrollment '[mmm-yyyy']]]),"-",AND((Tbl_ResidentData[[#This Row],[Enrollment '[mmm-yyyy']]]&lt;=AO$4),IF(ISBLANK(Tbl_ResidentData[[#This Row],[Discharge '[mmm-yyyy']]]),TRUE,(Tbl_ResidentData[[#This Row],[Discharge '[mmm-yyyy']]]&gt;=AO$4)))))</f>
        <v>-</v>
      </c>
      <c r="AP134" s="121" t="str">
        <f ca="1">IF(AP$4&gt;NOW(),"-",IF(ISBLANK(Tbl_ResidentData[[#This Row],[Enrollment '[mmm-yyyy']]]),"-",AND((Tbl_ResidentData[[#This Row],[Enrollment '[mmm-yyyy']]]&lt;=AP$4),IF(ISBLANK(Tbl_ResidentData[[#This Row],[Discharge '[mmm-yyyy']]]),TRUE,(Tbl_ResidentData[[#This Row],[Discharge '[mmm-yyyy']]]&gt;=AP$4)))))</f>
        <v>-</v>
      </c>
      <c r="AQ134" s="121" t="str">
        <f ca="1">IF(AQ$4&gt;NOW(),"-",IF(ISBLANK(Tbl_ResidentData[[#This Row],[Enrollment '[mmm-yyyy']]]),"-",AND((Tbl_ResidentData[[#This Row],[Enrollment '[mmm-yyyy']]]&lt;=AQ$4),IF(ISBLANK(Tbl_ResidentData[[#This Row],[Discharge '[mmm-yyyy']]]),TRUE,(Tbl_ResidentData[[#This Row],[Discharge '[mmm-yyyy']]]&gt;=AQ$4)))))</f>
        <v>-</v>
      </c>
      <c r="AR134" s="122" t="str">
        <f ca="1">IF(AR$4&gt;NOW(),"-",IF(ISBLANK(Tbl_ResidentData[[#This Row],[Enrollment '[mmm-yyyy']]]),"-",AND((Tbl_ResidentData[[#This Row],[Enrollment '[mmm-yyyy']]]&lt;=AR$4),IF(ISBLANK(Tbl_ResidentData[[#This Row],[Discharge '[mmm-yyyy']]]),TRUE,(Tbl_ResidentData[[#This Row],[Discharge '[mmm-yyyy']]]&gt;=AR$4)))))</f>
        <v>-</v>
      </c>
      <c r="AS13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4" s="120" t="b">
        <f ca="1">AND(Tbl_ResidentData[[#This Row],[PRN Med Started]]&lt;&gt;"",Tbl_ResidentData[[#This Row],[PRN Med Started]]&lt;=NOW(),Tbl_ResidentData[[#This Row],[PRN Med Started]]&lt;=AS$4,OR(Tbl_ResidentData[[#This Row],[PRN Med Discontinued]]&gt;AS$4,ISBLANK(Tbl_ResidentData[[#This Row],[PRN Med Discontinued]])))</f>
        <v>0</v>
      </c>
      <c r="BR134" s="121" t="b">
        <f ca="1">AND(Tbl_ResidentData[[#This Row],[PRN Med Started]]&lt;&gt;"",Tbl_ResidentData[[#This Row],[PRN Med Started]]&lt;=NOW(),Tbl_ResidentData[[#This Row],[PRN Med Started]]&lt;=AT$4,OR(Tbl_ResidentData[[#This Row],[PRN Med Discontinued]]&gt;AT$4,ISBLANK(Tbl_ResidentData[[#This Row],[PRN Med Discontinued]])))</f>
        <v>0</v>
      </c>
      <c r="BS134" s="121" t="b">
        <f ca="1">AND(Tbl_ResidentData[[#This Row],[PRN Med Started]]&lt;&gt;"",Tbl_ResidentData[[#This Row],[PRN Med Started]]&lt;=NOW(),Tbl_ResidentData[[#This Row],[PRN Med Started]]&lt;=AU$4,OR(Tbl_ResidentData[[#This Row],[PRN Med Discontinued]]&gt;AU$4,ISBLANK(Tbl_ResidentData[[#This Row],[PRN Med Discontinued]])))</f>
        <v>0</v>
      </c>
      <c r="BT134" s="121" t="b">
        <f ca="1">AND(Tbl_ResidentData[[#This Row],[PRN Med Started]]&lt;&gt;"",Tbl_ResidentData[[#This Row],[PRN Med Started]]&lt;=NOW(),Tbl_ResidentData[[#This Row],[PRN Med Started]]&lt;=AV$4,OR(Tbl_ResidentData[[#This Row],[PRN Med Discontinued]]&gt;AV$4,ISBLANK(Tbl_ResidentData[[#This Row],[PRN Med Discontinued]])))</f>
        <v>0</v>
      </c>
      <c r="BU134" s="121" t="b">
        <f ca="1">AND(Tbl_ResidentData[[#This Row],[PRN Med Started]]&lt;&gt;"",Tbl_ResidentData[[#This Row],[PRN Med Started]]&lt;=NOW(),Tbl_ResidentData[[#This Row],[PRN Med Started]]&lt;=AW$4,OR(Tbl_ResidentData[[#This Row],[PRN Med Discontinued]]&gt;AW$4,ISBLANK(Tbl_ResidentData[[#This Row],[PRN Med Discontinued]])))</f>
        <v>0</v>
      </c>
      <c r="BV134" s="121" t="b">
        <f ca="1">AND(Tbl_ResidentData[[#This Row],[PRN Med Started]]&lt;&gt;"",Tbl_ResidentData[[#This Row],[PRN Med Started]]&lt;=NOW(),Tbl_ResidentData[[#This Row],[PRN Med Started]]&lt;=AX$4,OR(Tbl_ResidentData[[#This Row],[PRN Med Discontinued]]&gt;AX$4,ISBLANK(Tbl_ResidentData[[#This Row],[PRN Med Discontinued]])))</f>
        <v>0</v>
      </c>
      <c r="BW134" s="121" t="b">
        <f ca="1">AND(Tbl_ResidentData[[#This Row],[PRN Med Started]]&lt;&gt;"",Tbl_ResidentData[[#This Row],[PRN Med Started]]&lt;=NOW(),Tbl_ResidentData[[#This Row],[PRN Med Started]]&lt;=AY$4,OR(Tbl_ResidentData[[#This Row],[PRN Med Discontinued]]&gt;AY$4,ISBLANK(Tbl_ResidentData[[#This Row],[PRN Med Discontinued]])))</f>
        <v>0</v>
      </c>
      <c r="BX134" s="121" t="b">
        <f ca="1">AND(Tbl_ResidentData[[#This Row],[PRN Med Started]]&lt;&gt;"",Tbl_ResidentData[[#This Row],[PRN Med Started]]&lt;=NOW(),Tbl_ResidentData[[#This Row],[PRN Med Started]]&lt;=AZ$4,OR(Tbl_ResidentData[[#This Row],[PRN Med Discontinued]]&gt;AZ$4,ISBLANK(Tbl_ResidentData[[#This Row],[PRN Med Discontinued]])))</f>
        <v>0</v>
      </c>
      <c r="BY134" s="121" t="b">
        <f ca="1">AND(Tbl_ResidentData[[#This Row],[PRN Med Started]]&lt;&gt;"",Tbl_ResidentData[[#This Row],[PRN Med Started]]&lt;=NOW(),Tbl_ResidentData[[#This Row],[PRN Med Started]]&lt;=BA$4,OR(Tbl_ResidentData[[#This Row],[PRN Med Discontinued]]&gt;BA$4,ISBLANK(Tbl_ResidentData[[#This Row],[PRN Med Discontinued]])))</f>
        <v>0</v>
      </c>
      <c r="BZ134" s="121" t="b">
        <f ca="1">AND(Tbl_ResidentData[[#This Row],[PRN Med Started]]&lt;&gt;"",Tbl_ResidentData[[#This Row],[PRN Med Started]]&lt;=NOW(),Tbl_ResidentData[[#This Row],[PRN Med Started]]&lt;=BB$4,OR(Tbl_ResidentData[[#This Row],[PRN Med Discontinued]]&gt;BB$4,ISBLANK(Tbl_ResidentData[[#This Row],[PRN Med Discontinued]])))</f>
        <v>0</v>
      </c>
      <c r="CA134" s="121" t="b">
        <f ca="1">AND(Tbl_ResidentData[[#This Row],[PRN Med Started]]&lt;&gt;"",Tbl_ResidentData[[#This Row],[PRN Med Started]]&lt;=NOW(),Tbl_ResidentData[[#This Row],[PRN Med Started]]&lt;=BC$4,OR(Tbl_ResidentData[[#This Row],[PRN Med Discontinued]]&gt;BC$4,ISBLANK(Tbl_ResidentData[[#This Row],[PRN Med Discontinued]])))</f>
        <v>0</v>
      </c>
      <c r="CB134" s="121" t="b">
        <f ca="1">AND(Tbl_ResidentData[[#This Row],[PRN Med Started]]&lt;&gt;"",Tbl_ResidentData[[#This Row],[PRN Med Started]]&lt;=NOW(),Tbl_ResidentData[[#This Row],[PRN Med Started]]&lt;=BD$4,OR(Tbl_ResidentData[[#This Row],[PRN Med Discontinued]]&gt;BD$4,ISBLANK(Tbl_ResidentData[[#This Row],[PRN Med Discontinued]])))</f>
        <v>0</v>
      </c>
      <c r="CC134" s="121" t="b">
        <f ca="1">AND(Tbl_ResidentData[[#This Row],[PRN Med Started]]&lt;&gt;"",Tbl_ResidentData[[#This Row],[PRN Med Started]]&lt;=NOW(),Tbl_ResidentData[[#This Row],[PRN Med Started]]&lt;=BE$4,OR(Tbl_ResidentData[[#This Row],[PRN Med Discontinued]]&gt;BE$4,ISBLANK(Tbl_ResidentData[[#This Row],[PRN Med Discontinued]])))</f>
        <v>0</v>
      </c>
      <c r="CD134" s="121" t="b">
        <f ca="1">AND(Tbl_ResidentData[[#This Row],[PRN Med Started]]&lt;&gt;"",Tbl_ResidentData[[#This Row],[PRN Med Started]]&lt;=NOW(),Tbl_ResidentData[[#This Row],[PRN Med Started]]&lt;=BF$4,OR(Tbl_ResidentData[[#This Row],[PRN Med Discontinued]]&gt;BF$4,ISBLANK(Tbl_ResidentData[[#This Row],[PRN Med Discontinued]])))</f>
        <v>0</v>
      </c>
      <c r="CE134" s="121" t="b">
        <f ca="1">AND(Tbl_ResidentData[[#This Row],[PRN Med Started]]&lt;&gt;"",Tbl_ResidentData[[#This Row],[PRN Med Started]]&lt;=NOW(),Tbl_ResidentData[[#This Row],[PRN Med Started]]&lt;=BG$4,OR(Tbl_ResidentData[[#This Row],[PRN Med Discontinued]]&gt;BG$4,ISBLANK(Tbl_ResidentData[[#This Row],[PRN Med Discontinued]])))</f>
        <v>0</v>
      </c>
      <c r="CF134" s="121" t="b">
        <f ca="1">AND(Tbl_ResidentData[[#This Row],[PRN Med Started]]&lt;&gt;"",Tbl_ResidentData[[#This Row],[PRN Med Started]]&lt;=NOW(),Tbl_ResidentData[[#This Row],[PRN Med Started]]&lt;=BH$4,OR(Tbl_ResidentData[[#This Row],[PRN Med Discontinued]]&gt;BH$4,ISBLANK(Tbl_ResidentData[[#This Row],[PRN Med Discontinued]])))</f>
        <v>0</v>
      </c>
      <c r="CG134" s="121" t="b">
        <f ca="1">AND(Tbl_ResidentData[[#This Row],[PRN Med Started]]&lt;&gt;"",Tbl_ResidentData[[#This Row],[PRN Med Started]]&lt;=NOW(),Tbl_ResidentData[[#This Row],[PRN Med Started]]&lt;=BI$4,OR(Tbl_ResidentData[[#This Row],[PRN Med Discontinued]]&gt;BI$4,ISBLANK(Tbl_ResidentData[[#This Row],[PRN Med Discontinued]])))</f>
        <v>0</v>
      </c>
      <c r="CH134" s="121" t="b">
        <f ca="1">AND(Tbl_ResidentData[[#This Row],[PRN Med Started]]&lt;&gt;"",Tbl_ResidentData[[#This Row],[PRN Med Started]]&lt;=NOW(),Tbl_ResidentData[[#This Row],[PRN Med Started]]&lt;=BJ$4,OR(Tbl_ResidentData[[#This Row],[PRN Med Discontinued]]&gt;BJ$4,ISBLANK(Tbl_ResidentData[[#This Row],[PRN Med Discontinued]])))</f>
        <v>0</v>
      </c>
      <c r="CI134" s="121" t="b">
        <f ca="1">AND(Tbl_ResidentData[[#This Row],[PRN Med Started]]&lt;&gt;"",Tbl_ResidentData[[#This Row],[PRN Med Started]]&lt;=NOW(),Tbl_ResidentData[[#This Row],[PRN Med Started]]&lt;=BK$4,OR(Tbl_ResidentData[[#This Row],[PRN Med Discontinued]]&gt;BK$4,ISBLANK(Tbl_ResidentData[[#This Row],[PRN Med Discontinued]])))</f>
        <v>0</v>
      </c>
      <c r="CJ134" s="121" t="b">
        <f ca="1">AND(Tbl_ResidentData[[#This Row],[PRN Med Started]]&lt;&gt;"",Tbl_ResidentData[[#This Row],[PRN Med Started]]&lt;=NOW(),Tbl_ResidentData[[#This Row],[PRN Med Started]]&lt;=BL$4,OR(Tbl_ResidentData[[#This Row],[PRN Med Discontinued]]&gt;BL$4,ISBLANK(Tbl_ResidentData[[#This Row],[PRN Med Discontinued]])))</f>
        <v>0</v>
      </c>
      <c r="CK134" s="121" t="b">
        <f ca="1">AND(Tbl_ResidentData[[#This Row],[PRN Med Started]]&lt;&gt;"",Tbl_ResidentData[[#This Row],[PRN Med Started]]&lt;=NOW(),Tbl_ResidentData[[#This Row],[PRN Med Started]]&lt;=BM$4,OR(Tbl_ResidentData[[#This Row],[PRN Med Discontinued]]&gt;BM$4,ISBLANK(Tbl_ResidentData[[#This Row],[PRN Med Discontinued]])))</f>
        <v>0</v>
      </c>
      <c r="CL134" s="121" t="b">
        <f ca="1">AND(Tbl_ResidentData[[#This Row],[PRN Med Started]]&lt;&gt;"",Tbl_ResidentData[[#This Row],[PRN Med Started]]&lt;=NOW(),Tbl_ResidentData[[#This Row],[PRN Med Started]]&lt;=BN$4,OR(Tbl_ResidentData[[#This Row],[PRN Med Discontinued]]&gt;BN$4,ISBLANK(Tbl_ResidentData[[#This Row],[PRN Med Discontinued]])))</f>
        <v>0</v>
      </c>
      <c r="CM134" s="121" t="b">
        <f ca="1">AND(Tbl_ResidentData[[#This Row],[PRN Med Started]]&lt;&gt;"",Tbl_ResidentData[[#This Row],[PRN Med Started]]&lt;=NOW(),Tbl_ResidentData[[#This Row],[PRN Med Started]]&lt;=BO$4,OR(Tbl_ResidentData[[#This Row],[PRN Med Discontinued]]&gt;BO$4,ISBLANK(Tbl_ResidentData[[#This Row],[PRN Med Discontinued]])))</f>
        <v>0</v>
      </c>
      <c r="CN134" s="122" t="b">
        <f ca="1">AND(Tbl_ResidentData[[#This Row],[PRN Med Started]]&lt;&gt;"",Tbl_ResidentData[[#This Row],[PRN Med Started]]&lt;=NOW(),Tbl_ResidentData[[#This Row],[PRN Med Started]]&lt;=BP$4,OR(Tbl_ResidentData[[#This Row],[PRN Med Discontinued]]&gt;BP$4,ISBLANK(Tbl_ResidentData[[#This Row],[PRN Med Discontinued]])))</f>
        <v>0</v>
      </c>
      <c r="CO134" s="120">
        <f ca="1">IF(OR(Tbl_ResidentData[[#This Row],[S1]]=TRUE,Tbl_ResidentData[[#This Row],[P1]]=TRUE),1,0)</f>
        <v>0</v>
      </c>
      <c r="CP134" s="121">
        <f ca="1">IF(OR(Tbl_ResidentData[[#This Row],[S2]]=TRUE,Tbl_ResidentData[[#This Row],[P2]]=TRUE),1,0)</f>
        <v>0</v>
      </c>
      <c r="CQ134" s="121">
        <f ca="1">IF(OR(Tbl_ResidentData[[#This Row],[S3]]=TRUE,Tbl_ResidentData[[#This Row],[P3]]=TRUE),1,0)</f>
        <v>0</v>
      </c>
      <c r="CR134" s="120">
        <f ca="1">IF(OR(Tbl_ResidentData[[#This Row],[S4]]=TRUE,Tbl_ResidentData[[#This Row],[P4]]=TRUE),1,0)</f>
        <v>0</v>
      </c>
      <c r="CS134" s="120">
        <f ca="1">IF(OR(Tbl_ResidentData[[#This Row],[S5]]=TRUE,Tbl_ResidentData[[#This Row],[P5]]=TRUE),1,0)</f>
        <v>0</v>
      </c>
      <c r="CT134" s="120">
        <f ca="1">IF(OR(Tbl_ResidentData[[#This Row],[S6]]=TRUE,Tbl_ResidentData[[#This Row],[P6]]=TRUE),1,0)</f>
        <v>0</v>
      </c>
      <c r="CU134" s="120">
        <f ca="1">IF(OR(Tbl_ResidentData[[#This Row],[S7]]=TRUE,Tbl_ResidentData[[#This Row],[P7]]=TRUE),1,0)</f>
        <v>0</v>
      </c>
      <c r="CV134" s="120">
        <f ca="1">IF(OR(Tbl_ResidentData[[#This Row],[S8]]=TRUE,Tbl_ResidentData[[#This Row],[P8]]=TRUE),1,0)</f>
        <v>0</v>
      </c>
      <c r="CW134" s="120">
        <f ca="1">IF(OR(Tbl_ResidentData[[#This Row],[S9]]=TRUE,Tbl_ResidentData[[#This Row],[P9]]=TRUE),1,0)</f>
        <v>0</v>
      </c>
      <c r="CX134" s="120">
        <f ca="1">IF(OR(Tbl_ResidentData[[#This Row],[S10]]=TRUE,Tbl_ResidentData[[#This Row],[P10]]=TRUE),1,0)</f>
        <v>0</v>
      </c>
      <c r="CY134" s="120">
        <f ca="1">IF(OR(Tbl_ResidentData[[#This Row],[S11]]=TRUE,Tbl_ResidentData[[#This Row],[P11]]=TRUE),1,0)</f>
        <v>0</v>
      </c>
      <c r="CZ134" s="120">
        <f ca="1">IF(OR(Tbl_ResidentData[[#This Row],[S12]]=TRUE,Tbl_ResidentData[[#This Row],[P12]]=TRUE),1,0)</f>
        <v>0</v>
      </c>
      <c r="DA134" s="120">
        <f ca="1">IF(OR(Tbl_ResidentData[[#This Row],[S13]]=TRUE,Tbl_ResidentData[[#This Row],[P13]]=TRUE),1,0)</f>
        <v>0</v>
      </c>
      <c r="DB134" s="120">
        <f ca="1">IF(OR(Tbl_ResidentData[[#This Row],[S14]]=TRUE,Tbl_ResidentData[[#This Row],[P14]]=TRUE),1,0)</f>
        <v>0</v>
      </c>
      <c r="DC134" s="120">
        <f ca="1">IF(OR(Tbl_ResidentData[[#This Row],[S15]]=TRUE,Tbl_ResidentData[[#This Row],[P15]]=TRUE),1,0)</f>
        <v>0</v>
      </c>
      <c r="DD134" s="120">
        <f ca="1">IF(OR(Tbl_ResidentData[[#This Row],[S16]]=TRUE,Tbl_ResidentData[[#This Row],[P16]]=TRUE),1,0)</f>
        <v>0</v>
      </c>
      <c r="DE134" s="120">
        <f ca="1">IF(OR(Tbl_ResidentData[[#This Row],[S17]]=TRUE,Tbl_ResidentData[[#This Row],[P17]]=TRUE),1,0)</f>
        <v>0</v>
      </c>
      <c r="DF134" s="120">
        <f ca="1">IF(OR(Tbl_ResidentData[[#This Row],[S18]]=TRUE,Tbl_ResidentData[[#This Row],[P18]]=TRUE),1,0)</f>
        <v>0</v>
      </c>
      <c r="DG134" s="120">
        <f ca="1">IF(OR(Tbl_ResidentData[[#This Row],[S19]]=TRUE,Tbl_ResidentData[[#This Row],[P19]]=TRUE),1,0)</f>
        <v>0</v>
      </c>
      <c r="DH134" s="120">
        <f ca="1">IF(OR(Tbl_ResidentData[[#This Row],[S20]]=TRUE,Tbl_ResidentData[[#This Row],[P20]]=TRUE),1,0)</f>
        <v>0</v>
      </c>
      <c r="DI134" s="120">
        <f ca="1">IF(OR(Tbl_ResidentData[[#This Row],[S21]]=TRUE,Tbl_ResidentData[[#This Row],[P21]]=TRUE),1,0)</f>
        <v>0</v>
      </c>
      <c r="DJ134" s="120">
        <f ca="1">IF(OR(Tbl_ResidentData[[#This Row],[S22]]=TRUE,Tbl_ResidentData[[#This Row],[P22]]=TRUE),1,0)</f>
        <v>0</v>
      </c>
      <c r="DK134" s="120">
        <f ca="1">IF(OR(Tbl_ResidentData[[#This Row],[S23]]=TRUE,Tbl_ResidentData[[#This Row],[P23]]=TRUE),1,0)</f>
        <v>0</v>
      </c>
      <c r="DL134" s="120">
        <f ca="1">IF(OR(Tbl_ResidentData[[#This Row],[S24]]=TRUE,Tbl_ResidentData[[#This Row],[P24]]=TRUE),1,0)</f>
        <v>0</v>
      </c>
      <c r="DM134" s="123" t="str">
        <f ca="1">IFERROR(INDEX($CO$4:$DL$4,MATCH(TRUE,INDEX((Tbl_ResidentData[[#This Row],[Over1]:[Over24]]&lt;&gt;0),0),0)),"")</f>
        <v/>
      </c>
      <c r="DN134" s="133" t="str">
        <f>IFERROR(INDEX(Tbl_PDSAData[Last DRT],MATCH(Tbl_ResidentData[Resident Name '[last, first']],Tbl_PDSAData[Resident Name (last, first)],0)),"")</f>
        <v/>
      </c>
      <c r="DO134" s="222" t="str">
        <f>IFERROR(INDEX(Tbl_PDSAData[Last MR],MATCH(Tbl_ResidentData[Resident Name '[last, first']],Tbl_PDSAData[Resident Name (last, first)],0)),"")</f>
        <v/>
      </c>
    </row>
    <row r="135" spans="1:119" x14ac:dyDescent="0.25">
      <c r="A135" s="179"/>
      <c r="B135" s="180"/>
      <c r="C135" s="180"/>
      <c r="D135" s="218"/>
      <c r="E135" s="179"/>
      <c r="F135" s="179"/>
      <c r="G135" s="181"/>
      <c r="H135" s="182"/>
      <c r="I135" s="185"/>
      <c r="J135" s="387"/>
      <c r="K135" s="178"/>
      <c r="L135" s="388"/>
      <c r="M135" s="185"/>
      <c r="N135" s="386"/>
      <c r="O135" s="178"/>
      <c r="P135" s="388"/>
      <c r="Q135" s="395"/>
      <c r="R135" s="396"/>
      <c r="S135" s="131" t="str">
        <f>IF(ISBLANK(Tbl_ResidentData[[#This Row],[Discharge '[mmm-yyyy']]]),IF(ISBLANK(Tbl_ResidentData[[#This Row],[Enrollment '[mmm-yyyy']]]),"","In Care Home"),"Discharged")</f>
        <v/>
      </c>
      <c r="T135" s="119" t="str">
        <f>IF(ISBLANK(Tbl_ResidentData[[#This Row],[Diagnosis (RAI)]]),IF(ISBLANK(Tbl_ResidentData[[#This Row],[Resident Name '[last, first']]]),"",0),IF(Tbl_ResidentData[[#This Row],[Diagnosis (RAI)]]="Other (see clinical notes)",0,1))</f>
        <v/>
      </c>
      <c r="U135" s="120" t="str">
        <f ca="1">IF(U$4&gt;NOW(),"-",IF(ISBLANK(Tbl_ResidentData[[#This Row],[Enrollment '[mmm-yyyy']]]),"-",AND((Tbl_ResidentData[[#This Row],[Enrollment '[mmm-yyyy']]]&lt;=U$4),IF(ISBLANK(Tbl_ResidentData[[#This Row],[Discharge '[mmm-yyyy']]]),TRUE,(Tbl_ResidentData[[#This Row],[Discharge '[mmm-yyyy']]]&gt;=U$4)))))</f>
        <v>-</v>
      </c>
      <c r="V135" s="121" t="str">
        <f ca="1">IF(V$4&gt;NOW(),"-",IF(ISBLANK(Tbl_ResidentData[[#This Row],[Enrollment '[mmm-yyyy']]]),"-",AND((Tbl_ResidentData[[#This Row],[Enrollment '[mmm-yyyy']]]&lt;=V$4),IF(ISBLANK(Tbl_ResidentData[[#This Row],[Discharge '[mmm-yyyy']]]),TRUE,(Tbl_ResidentData[[#This Row],[Discharge '[mmm-yyyy']]]&gt;=V$4)))))</f>
        <v>-</v>
      </c>
      <c r="W135" s="121" t="str">
        <f ca="1">IF(W$4&gt;NOW(),"-",IF(ISBLANK(Tbl_ResidentData[[#This Row],[Enrollment '[mmm-yyyy']]]),"-",AND((Tbl_ResidentData[[#This Row],[Enrollment '[mmm-yyyy']]]&lt;=W$4),IF(ISBLANK(Tbl_ResidentData[[#This Row],[Discharge '[mmm-yyyy']]]),TRUE,(Tbl_ResidentData[[#This Row],[Discharge '[mmm-yyyy']]]&gt;=W$4)))))</f>
        <v>-</v>
      </c>
      <c r="X135" s="121" t="str">
        <f ca="1">IF(X$4&gt;NOW(),"-",IF(ISBLANK(Tbl_ResidentData[[#This Row],[Enrollment '[mmm-yyyy']]]),"-",AND((Tbl_ResidentData[[#This Row],[Enrollment '[mmm-yyyy']]]&lt;=X$4),IF(ISBLANK(Tbl_ResidentData[[#This Row],[Discharge '[mmm-yyyy']]]),TRUE,(Tbl_ResidentData[[#This Row],[Discharge '[mmm-yyyy']]]&gt;=X$4)))))</f>
        <v>-</v>
      </c>
      <c r="Y135" s="121" t="str">
        <f ca="1">IF(Y$4&gt;NOW(),"-",IF(ISBLANK(Tbl_ResidentData[[#This Row],[Enrollment '[mmm-yyyy']]]),"-",AND((Tbl_ResidentData[[#This Row],[Enrollment '[mmm-yyyy']]]&lt;=Y$4),IF(ISBLANK(Tbl_ResidentData[[#This Row],[Discharge '[mmm-yyyy']]]),TRUE,(Tbl_ResidentData[[#This Row],[Discharge '[mmm-yyyy']]]&gt;=Y$4)))))</f>
        <v>-</v>
      </c>
      <c r="Z135" s="121" t="str">
        <f ca="1">IF(Z$4&gt;NOW(),"-",IF(ISBLANK(Tbl_ResidentData[[#This Row],[Enrollment '[mmm-yyyy']]]),"-",AND((Tbl_ResidentData[[#This Row],[Enrollment '[mmm-yyyy']]]&lt;=Z$4),IF(ISBLANK(Tbl_ResidentData[[#This Row],[Discharge '[mmm-yyyy']]]),TRUE,(Tbl_ResidentData[[#This Row],[Discharge '[mmm-yyyy']]]&gt;=Z$4)))))</f>
        <v>-</v>
      </c>
      <c r="AA135" s="121" t="str">
        <f ca="1">IF(AA$4&gt;NOW(),"-",IF(ISBLANK(Tbl_ResidentData[[#This Row],[Enrollment '[mmm-yyyy']]]),"-",AND((Tbl_ResidentData[[#This Row],[Enrollment '[mmm-yyyy']]]&lt;=AA$4),IF(ISBLANK(Tbl_ResidentData[[#This Row],[Discharge '[mmm-yyyy']]]),TRUE,(Tbl_ResidentData[[#This Row],[Discharge '[mmm-yyyy']]]&gt;=AA$4)))))</f>
        <v>-</v>
      </c>
      <c r="AB135" s="121" t="str">
        <f ca="1">IF(AB$4&gt;NOW(),"-",IF(ISBLANK(Tbl_ResidentData[[#This Row],[Enrollment '[mmm-yyyy']]]),"-",AND((Tbl_ResidentData[[#This Row],[Enrollment '[mmm-yyyy']]]&lt;=AB$4),IF(ISBLANK(Tbl_ResidentData[[#This Row],[Discharge '[mmm-yyyy']]]),TRUE,(Tbl_ResidentData[[#This Row],[Discharge '[mmm-yyyy']]]&gt;=AB$4)))))</f>
        <v>-</v>
      </c>
      <c r="AC135" s="121" t="str">
        <f ca="1">IF(AC$4&gt;NOW(),"-",IF(ISBLANK(Tbl_ResidentData[[#This Row],[Enrollment '[mmm-yyyy']]]),"-",AND((Tbl_ResidentData[[#This Row],[Enrollment '[mmm-yyyy']]]&lt;=AC$4),IF(ISBLANK(Tbl_ResidentData[[#This Row],[Discharge '[mmm-yyyy']]]),TRUE,(Tbl_ResidentData[[#This Row],[Discharge '[mmm-yyyy']]]&gt;=AC$4)))))</f>
        <v>-</v>
      </c>
      <c r="AD135" s="121" t="str">
        <f ca="1">IF(AD$4&gt;NOW(),"-",IF(ISBLANK(Tbl_ResidentData[[#This Row],[Enrollment '[mmm-yyyy']]]),"-",AND((Tbl_ResidentData[[#This Row],[Enrollment '[mmm-yyyy']]]&lt;=AD$4),IF(ISBLANK(Tbl_ResidentData[[#This Row],[Discharge '[mmm-yyyy']]]),TRUE,(Tbl_ResidentData[[#This Row],[Discharge '[mmm-yyyy']]]&gt;=AD$4)))))</f>
        <v>-</v>
      </c>
      <c r="AE135" s="121" t="str">
        <f ca="1">IF(AE$4&gt;NOW(),"-",IF(ISBLANK(Tbl_ResidentData[[#This Row],[Enrollment '[mmm-yyyy']]]),"-",AND((Tbl_ResidentData[[#This Row],[Enrollment '[mmm-yyyy']]]&lt;=AE$4),IF(ISBLANK(Tbl_ResidentData[[#This Row],[Discharge '[mmm-yyyy']]]),TRUE,(Tbl_ResidentData[[#This Row],[Discharge '[mmm-yyyy']]]&gt;=AE$4)))))</f>
        <v>-</v>
      </c>
      <c r="AF135" s="121" t="str">
        <f ca="1">IF(AF$4&gt;NOW(),"-",IF(ISBLANK(Tbl_ResidentData[[#This Row],[Enrollment '[mmm-yyyy']]]),"-",AND((Tbl_ResidentData[[#This Row],[Enrollment '[mmm-yyyy']]]&lt;=AF$4),IF(ISBLANK(Tbl_ResidentData[[#This Row],[Discharge '[mmm-yyyy']]]),TRUE,(Tbl_ResidentData[[#This Row],[Discharge '[mmm-yyyy']]]&gt;=AF$4)))))</f>
        <v>-</v>
      </c>
      <c r="AG135" s="121" t="str">
        <f ca="1">IF(AG$4&gt;NOW(),"-",IF(ISBLANK(Tbl_ResidentData[[#This Row],[Enrollment '[mmm-yyyy']]]),"-",AND((Tbl_ResidentData[[#This Row],[Enrollment '[mmm-yyyy']]]&lt;=AG$4),IF(ISBLANK(Tbl_ResidentData[[#This Row],[Discharge '[mmm-yyyy']]]),TRUE,(Tbl_ResidentData[[#This Row],[Discharge '[mmm-yyyy']]]&gt;=AG$4)))))</f>
        <v>-</v>
      </c>
      <c r="AH135" s="121" t="str">
        <f ca="1">IF(AH$4&gt;NOW(),"-",IF(ISBLANK(Tbl_ResidentData[[#This Row],[Enrollment '[mmm-yyyy']]]),"-",AND((Tbl_ResidentData[[#This Row],[Enrollment '[mmm-yyyy']]]&lt;=AH$4),IF(ISBLANK(Tbl_ResidentData[[#This Row],[Discharge '[mmm-yyyy']]]),TRUE,(Tbl_ResidentData[[#This Row],[Discharge '[mmm-yyyy']]]&gt;=AH$4)))))</f>
        <v>-</v>
      </c>
      <c r="AI135" s="121" t="str">
        <f ca="1">IF(AI$4&gt;NOW(),"-",IF(ISBLANK(Tbl_ResidentData[[#This Row],[Enrollment '[mmm-yyyy']]]),"-",AND((Tbl_ResidentData[[#This Row],[Enrollment '[mmm-yyyy']]]&lt;=AI$4),IF(ISBLANK(Tbl_ResidentData[[#This Row],[Discharge '[mmm-yyyy']]]),TRUE,(Tbl_ResidentData[[#This Row],[Discharge '[mmm-yyyy']]]&gt;=AI$4)))))</f>
        <v>-</v>
      </c>
      <c r="AJ135" s="121" t="str">
        <f ca="1">IF(AJ$4&gt;NOW(),"-",IF(ISBLANK(Tbl_ResidentData[[#This Row],[Enrollment '[mmm-yyyy']]]),"-",AND((Tbl_ResidentData[[#This Row],[Enrollment '[mmm-yyyy']]]&lt;=AJ$4),IF(ISBLANK(Tbl_ResidentData[[#This Row],[Discharge '[mmm-yyyy']]]),TRUE,(Tbl_ResidentData[[#This Row],[Discharge '[mmm-yyyy']]]&gt;=AJ$4)))))</f>
        <v>-</v>
      </c>
      <c r="AK135" s="121" t="str">
        <f ca="1">IF(AK$4&gt;NOW(),"-",IF(ISBLANK(Tbl_ResidentData[[#This Row],[Enrollment '[mmm-yyyy']]]),"-",AND((Tbl_ResidentData[[#This Row],[Enrollment '[mmm-yyyy']]]&lt;=AK$4),IF(ISBLANK(Tbl_ResidentData[[#This Row],[Discharge '[mmm-yyyy']]]),TRUE,(Tbl_ResidentData[[#This Row],[Discharge '[mmm-yyyy']]]&gt;=AK$4)))))</f>
        <v>-</v>
      </c>
      <c r="AL135" s="121" t="str">
        <f ca="1">IF(AL$4&gt;NOW(),"-",IF(ISBLANK(Tbl_ResidentData[[#This Row],[Enrollment '[mmm-yyyy']]]),"-",AND((Tbl_ResidentData[[#This Row],[Enrollment '[mmm-yyyy']]]&lt;=AL$4),IF(ISBLANK(Tbl_ResidentData[[#This Row],[Discharge '[mmm-yyyy']]]),TRUE,(Tbl_ResidentData[[#This Row],[Discharge '[mmm-yyyy']]]&gt;=AL$4)))))</f>
        <v>-</v>
      </c>
      <c r="AM135" s="121" t="str">
        <f ca="1">IF(AM$4&gt;NOW(),"-",IF(ISBLANK(Tbl_ResidentData[[#This Row],[Enrollment '[mmm-yyyy']]]),"-",AND((Tbl_ResidentData[[#This Row],[Enrollment '[mmm-yyyy']]]&lt;=AM$4),IF(ISBLANK(Tbl_ResidentData[[#This Row],[Discharge '[mmm-yyyy']]]),TRUE,(Tbl_ResidentData[[#This Row],[Discharge '[mmm-yyyy']]]&gt;=AM$4)))))</f>
        <v>-</v>
      </c>
      <c r="AN135" s="121" t="str">
        <f ca="1">IF(AN$4&gt;NOW(),"-",IF(ISBLANK(Tbl_ResidentData[[#This Row],[Enrollment '[mmm-yyyy']]]),"-",AND((Tbl_ResidentData[[#This Row],[Enrollment '[mmm-yyyy']]]&lt;=AN$4),IF(ISBLANK(Tbl_ResidentData[[#This Row],[Discharge '[mmm-yyyy']]]),TRUE,(Tbl_ResidentData[[#This Row],[Discharge '[mmm-yyyy']]]&gt;=AN$4)))))</f>
        <v>-</v>
      </c>
      <c r="AO135" s="121" t="str">
        <f ca="1">IF(AO$4&gt;NOW(),"-",IF(ISBLANK(Tbl_ResidentData[[#This Row],[Enrollment '[mmm-yyyy']]]),"-",AND((Tbl_ResidentData[[#This Row],[Enrollment '[mmm-yyyy']]]&lt;=AO$4),IF(ISBLANK(Tbl_ResidentData[[#This Row],[Discharge '[mmm-yyyy']]]),TRUE,(Tbl_ResidentData[[#This Row],[Discharge '[mmm-yyyy']]]&gt;=AO$4)))))</f>
        <v>-</v>
      </c>
      <c r="AP135" s="121" t="str">
        <f ca="1">IF(AP$4&gt;NOW(),"-",IF(ISBLANK(Tbl_ResidentData[[#This Row],[Enrollment '[mmm-yyyy']]]),"-",AND((Tbl_ResidentData[[#This Row],[Enrollment '[mmm-yyyy']]]&lt;=AP$4),IF(ISBLANK(Tbl_ResidentData[[#This Row],[Discharge '[mmm-yyyy']]]),TRUE,(Tbl_ResidentData[[#This Row],[Discharge '[mmm-yyyy']]]&gt;=AP$4)))))</f>
        <v>-</v>
      </c>
      <c r="AQ135" s="121" t="str">
        <f ca="1">IF(AQ$4&gt;NOW(),"-",IF(ISBLANK(Tbl_ResidentData[[#This Row],[Enrollment '[mmm-yyyy']]]),"-",AND((Tbl_ResidentData[[#This Row],[Enrollment '[mmm-yyyy']]]&lt;=AQ$4),IF(ISBLANK(Tbl_ResidentData[[#This Row],[Discharge '[mmm-yyyy']]]),TRUE,(Tbl_ResidentData[[#This Row],[Discharge '[mmm-yyyy']]]&gt;=AQ$4)))))</f>
        <v>-</v>
      </c>
      <c r="AR135" s="122" t="str">
        <f ca="1">IF(AR$4&gt;NOW(),"-",IF(ISBLANK(Tbl_ResidentData[[#This Row],[Enrollment '[mmm-yyyy']]]),"-",AND((Tbl_ResidentData[[#This Row],[Enrollment '[mmm-yyyy']]]&lt;=AR$4),IF(ISBLANK(Tbl_ResidentData[[#This Row],[Discharge '[mmm-yyyy']]]),TRUE,(Tbl_ResidentData[[#This Row],[Discharge '[mmm-yyyy']]]&gt;=AR$4)))))</f>
        <v>-</v>
      </c>
      <c r="AS13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5" s="120" t="b">
        <f ca="1">AND(Tbl_ResidentData[[#This Row],[PRN Med Started]]&lt;&gt;"",Tbl_ResidentData[[#This Row],[PRN Med Started]]&lt;=NOW(),Tbl_ResidentData[[#This Row],[PRN Med Started]]&lt;=AS$4,OR(Tbl_ResidentData[[#This Row],[PRN Med Discontinued]]&gt;AS$4,ISBLANK(Tbl_ResidentData[[#This Row],[PRN Med Discontinued]])))</f>
        <v>0</v>
      </c>
      <c r="BR135" s="121" t="b">
        <f ca="1">AND(Tbl_ResidentData[[#This Row],[PRN Med Started]]&lt;&gt;"",Tbl_ResidentData[[#This Row],[PRN Med Started]]&lt;=NOW(),Tbl_ResidentData[[#This Row],[PRN Med Started]]&lt;=AT$4,OR(Tbl_ResidentData[[#This Row],[PRN Med Discontinued]]&gt;AT$4,ISBLANK(Tbl_ResidentData[[#This Row],[PRN Med Discontinued]])))</f>
        <v>0</v>
      </c>
      <c r="BS135" s="121" t="b">
        <f ca="1">AND(Tbl_ResidentData[[#This Row],[PRN Med Started]]&lt;&gt;"",Tbl_ResidentData[[#This Row],[PRN Med Started]]&lt;=NOW(),Tbl_ResidentData[[#This Row],[PRN Med Started]]&lt;=AU$4,OR(Tbl_ResidentData[[#This Row],[PRN Med Discontinued]]&gt;AU$4,ISBLANK(Tbl_ResidentData[[#This Row],[PRN Med Discontinued]])))</f>
        <v>0</v>
      </c>
      <c r="BT135" s="121" t="b">
        <f ca="1">AND(Tbl_ResidentData[[#This Row],[PRN Med Started]]&lt;&gt;"",Tbl_ResidentData[[#This Row],[PRN Med Started]]&lt;=NOW(),Tbl_ResidentData[[#This Row],[PRN Med Started]]&lt;=AV$4,OR(Tbl_ResidentData[[#This Row],[PRN Med Discontinued]]&gt;AV$4,ISBLANK(Tbl_ResidentData[[#This Row],[PRN Med Discontinued]])))</f>
        <v>0</v>
      </c>
      <c r="BU135" s="121" t="b">
        <f ca="1">AND(Tbl_ResidentData[[#This Row],[PRN Med Started]]&lt;&gt;"",Tbl_ResidentData[[#This Row],[PRN Med Started]]&lt;=NOW(),Tbl_ResidentData[[#This Row],[PRN Med Started]]&lt;=AW$4,OR(Tbl_ResidentData[[#This Row],[PRN Med Discontinued]]&gt;AW$4,ISBLANK(Tbl_ResidentData[[#This Row],[PRN Med Discontinued]])))</f>
        <v>0</v>
      </c>
      <c r="BV135" s="121" t="b">
        <f ca="1">AND(Tbl_ResidentData[[#This Row],[PRN Med Started]]&lt;&gt;"",Tbl_ResidentData[[#This Row],[PRN Med Started]]&lt;=NOW(),Tbl_ResidentData[[#This Row],[PRN Med Started]]&lt;=AX$4,OR(Tbl_ResidentData[[#This Row],[PRN Med Discontinued]]&gt;AX$4,ISBLANK(Tbl_ResidentData[[#This Row],[PRN Med Discontinued]])))</f>
        <v>0</v>
      </c>
      <c r="BW135" s="121" t="b">
        <f ca="1">AND(Tbl_ResidentData[[#This Row],[PRN Med Started]]&lt;&gt;"",Tbl_ResidentData[[#This Row],[PRN Med Started]]&lt;=NOW(),Tbl_ResidentData[[#This Row],[PRN Med Started]]&lt;=AY$4,OR(Tbl_ResidentData[[#This Row],[PRN Med Discontinued]]&gt;AY$4,ISBLANK(Tbl_ResidentData[[#This Row],[PRN Med Discontinued]])))</f>
        <v>0</v>
      </c>
      <c r="BX135" s="121" t="b">
        <f ca="1">AND(Tbl_ResidentData[[#This Row],[PRN Med Started]]&lt;&gt;"",Tbl_ResidentData[[#This Row],[PRN Med Started]]&lt;=NOW(),Tbl_ResidentData[[#This Row],[PRN Med Started]]&lt;=AZ$4,OR(Tbl_ResidentData[[#This Row],[PRN Med Discontinued]]&gt;AZ$4,ISBLANK(Tbl_ResidentData[[#This Row],[PRN Med Discontinued]])))</f>
        <v>0</v>
      </c>
      <c r="BY135" s="121" t="b">
        <f ca="1">AND(Tbl_ResidentData[[#This Row],[PRN Med Started]]&lt;&gt;"",Tbl_ResidentData[[#This Row],[PRN Med Started]]&lt;=NOW(),Tbl_ResidentData[[#This Row],[PRN Med Started]]&lt;=BA$4,OR(Tbl_ResidentData[[#This Row],[PRN Med Discontinued]]&gt;BA$4,ISBLANK(Tbl_ResidentData[[#This Row],[PRN Med Discontinued]])))</f>
        <v>0</v>
      </c>
      <c r="BZ135" s="121" t="b">
        <f ca="1">AND(Tbl_ResidentData[[#This Row],[PRN Med Started]]&lt;&gt;"",Tbl_ResidentData[[#This Row],[PRN Med Started]]&lt;=NOW(),Tbl_ResidentData[[#This Row],[PRN Med Started]]&lt;=BB$4,OR(Tbl_ResidentData[[#This Row],[PRN Med Discontinued]]&gt;BB$4,ISBLANK(Tbl_ResidentData[[#This Row],[PRN Med Discontinued]])))</f>
        <v>0</v>
      </c>
      <c r="CA135" s="121" t="b">
        <f ca="1">AND(Tbl_ResidentData[[#This Row],[PRN Med Started]]&lt;&gt;"",Tbl_ResidentData[[#This Row],[PRN Med Started]]&lt;=NOW(),Tbl_ResidentData[[#This Row],[PRN Med Started]]&lt;=BC$4,OR(Tbl_ResidentData[[#This Row],[PRN Med Discontinued]]&gt;BC$4,ISBLANK(Tbl_ResidentData[[#This Row],[PRN Med Discontinued]])))</f>
        <v>0</v>
      </c>
      <c r="CB135" s="121" t="b">
        <f ca="1">AND(Tbl_ResidentData[[#This Row],[PRN Med Started]]&lt;&gt;"",Tbl_ResidentData[[#This Row],[PRN Med Started]]&lt;=NOW(),Tbl_ResidentData[[#This Row],[PRN Med Started]]&lt;=BD$4,OR(Tbl_ResidentData[[#This Row],[PRN Med Discontinued]]&gt;BD$4,ISBLANK(Tbl_ResidentData[[#This Row],[PRN Med Discontinued]])))</f>
        <v>0</v>
      </c>
      <c r="CC135" s="121" t="b">
        <f ca="1">AND(Tbl_ResidentData[[#This Row],[PRN Med Started]]&lt;&gt;"",Tbl_ResidentData[[#This Row],[PRN Med Started]]&lt;=NOW(),Tbl_ResidentData[[#This Row],[PRN Med Started]]&lt;=BE$4,OR(Tbl_ResidentData[[#This Row],[PRN Med Discontinued]]&gt;BE$4,ISBLANK(Tbl_ResidentData[[#This Row],[PRN Med Discontinued]])))</f>
        <v>0</v>
      </c>
      <c r="CD135" s="121" t="b">
        <f ca="1">AND(Tbl_ResidentData[[#This Row],[PRN Med Started]]&lt;&gt;"",Tbl_ResidentData[[#This Row],[PRN Med Started]]&lt;=NOW(),Tbl_ResidentData[[#This Row],[PRN Med Started]]&lt;=BF$4,OR(Tbl_ResidentData[[#This Row],[PRN Med Discontinued]]&gt;BF$4,ISBLANK(Tbl_ResidentData[[#This Row],[PRN Med Discontinued]])))</f>
        <v>0</v>
      </c>
      <c r="CE135" s="121" t="b">
        <f ca="1">AND(Tbl_ResidentData[[#This Row],[PRN Med Started]]&lt;&gt;"",Tbl_ResidentData[[#This Row],[PRN Med Started]]&lt;=NOW(),Tbl_ResidentData[[#This Row],[PRN Med Started]]&lt;=BG$4,OR(Tbl_ResidentData[[#This Row],[PRN Med Discontinued]]&gt;BG$4,ISBLANK(Tbl_ResidentData[[#This Row],[PRN Med Discontinued]])))</f>
        <v>0</v>
      </c>
      <c r="CF135" s="121" t="b">
        <f ca="1">AND(Tbl_ResidentData[[#This Row],[PRN Med Started]]&lt;&gt;"",Tbl_ResidentData[[#This Row],[PRN Med Started]]&lt;=NOW(),Tbl_ResidentData[[#This Row],[PRN Med Started]]&lt;=BH$4,OR(Tbl_ResidentData[[#This Row],[PRN Med Discontinued]]&gt;BH$4,ISBLANK(Tbl_ResidentData[[#This Row],[PRN Med Discontinued]])))</f>
        <v>0</v>
      </c>
      <c r="CG135" s="121" t="b">
        <f ca="1">AND(Tbl_ResidentData[[#This Row],[PRN Med Started]]&lt;&gt;"",Tbl_ResidentData[[#This Row],[PRN Med Started]]&lt;=NOW(),Tbl_ResidentData[[#This Row],[PRN Med Started]]&lt;=BI$4,OR(Tbl_ResidentData[[#This Row],[PRN Med Discontinued]]&gt;BI$4,ISBLANK(Tbl_ResidentData[[#This Row],[PRN Med Discontinued]])))</f>
        <v>0</v>
      </c>
      <c r="CH135" s="121" t="b">
        <f ca="1">AND(Tbl_ResidentData[[#This Row],[PRN Med Started]]&lt;&gt;"",Tbl_ResidentData[[#This Row],[PRN Med Started]]&lt;=NOW(),Tbl_ResidentData[[#This Row],[PRN Med Started]]&lt;=BJ$4,OR(Tbl_ResidentData[[#This Row],[PRN Med Discontinued]]&gt;BJ$4,ISBLANK(Tbl_ResidentData[[#This Row],[PRN Med Discontinued]])))</f>
        <v>0</v>
      </c>
      <c r="CI135" s="121" t="b">
        <f ca="1">AND(Tbl_ResidentData[[#This Row],[PRN Med Started]]&lt;&gt;"",Tbl_ResidentData[[#This Row],[PRN Med Started]]&lt;=NOW(),Tbl_ResidentData[[#This Row],[PRN Med Started]]&lt;=BK$4,OR(Tbl_ResidentData[[#This Row],[PRN Med Discontinued]]&gt;BK$4,ISBLANK(Tbl_ResidentData[[#This Row],[PRN Med Discontinued]])))</f>
        <v>0</v>
      </c>
      <c r="CJ135" s="121" t="b">
        <f ca="1">AND(Tbl_ResidentData[[#This Row],[PRN Med Started]]&lt;&gt;"",Tbl_ResidentData[[#This Row],[PRN Med Started]]&lt;=NOW(),Tbl_ResidentData[[#This Row],[PRN Med Started]]&lt;=BL$4,OR(Tbl_ResidentData[[#This Row],[PRN Med Discontinued]]&gt;BL$4,ISBLANK(Tbl_ResidentData[[#This Row],[PRN Med Discontinued]])))</f>
        <v>0</v>
      </c>
      <c r="CK135" s="121" t="b">
        <f ca="1">AND(Tbl_ResidentData[[#This Row],[PRN Med Started]]&lt;&gt;"",Tbl_ResidentData[[#This Row],[PRN Med Started]]&lt;=NOW(),Tbl_ResidentData[[#This Row],[PRN Med Started]]&lt;=BM$4,OR(Tbl_ResidentData[[#This Row],[PRN Med Discontinued]]&gt;BM$4,ISBLANK(Tbl_ResidentData[[#This Row],[PRN Med Discontinued]])))</f>
        <v>0</v>
      </c>
      <c r="CL135" s="121" t="b">
        <f ca="1">AND(Tbl_ResidentData[[#This Row],[PRN Med Started]]&lt;&gt;"",Tbl_ResidentData[[#This Row],[PRN Med Started]]&lt;=NOW(),Tbl_ResidentData[[#This Row],[PRN Med Started]]&lt;=BN$4,OR(Tbl_ResidentData[[#This Row],[PRN Med Discontinued]]&gt;BN$4,ISBLANK(Tbl_ResidentData[[#This Row],[PRN Med Discontinued]])))</f>
        <v>0</v>
      </c>
      <c r="CM135" s="121" t="b">
        <f ca="1">AND(Tbl_ResidentData[[#This Row],[PRN Med Started]]&lt;&gt;"",Tbl_ResidentData[[#This Row],[PRN Med Started]]&lt;=NOW(),Tbl_ResidentData[[#This Row],[PRN Med Started]]&lt;=BO$4,OR(Tbl_ResidentData[[#This Row],[PRN Med Discontinued]]&gt;BO$4,ISBLANK(Tbl_ResidentData[[#This Row],[PRN Med Discontinued]])))</f>
        <v>0</v>
      </c>
      <c r="CN135" s="122" t="b">
        <f ca="1">AND(Tbl_ResidentData[[#This Row],[PRN Med Started]]&lt;&gt;"",Tbl_ResidentData[[#This Row],[PRN Med Started]]&lt;=NOW(),Tbl_ResidentData[[#This Row],[PRN Med Started]]&lt;=BP$4,OR(Tbl_ResidentData[[#This Row],[PRN Med Discontinued]]&gt;BP$4,ISBLANK(Tbl_ResidentData[[#This Row],[PRN Med Discontinued]])))</f>
        <v>0</v>
      </c>
      <c r="CO135" s="120">
        <f ca="1">IF(OR(Tbl_ResidentData[[#This Row],[S1]]=TRUE,Tbl_ResidentData[[#This Row],[P1]]=TRUE),1,0)</f>
        <v>0</v>
      </c>
      <c r="CP135" s="121">
        <f ca="1">IF(OR(Tbl_ResidentData[[#This Row],[S2]]=TRUE,Tbl_ResidentData[[#This Row],[P2]]=TRUE),1,0)</f>
        <v>0</v>
      </c>
      <c r="CQ135" s="121">
        <f ca="1">IF(OR(Tbl_ResidentData[[#This Row],[S3]]=TRUE,Tbl_ResidentData[[#This Row],[P3]]=TRUE),1,0)</f>
        <v>0</v>
      </c>
      <c r="CR135" s="120">
        <f ca="1">IF(OR(Tbl_ResidentData[[#This Row],[S4]]=TRUE,Tbl_ResidentData[[#This Row],[P4]]=TRUE),1,0)</f>
        <v>0</v>
      </c>
      <c r="CS135" s="120">
        <f ca="1">IF(OR(Tbl_ResidentData[[#This Row],[S5]]=TRUE,Tbl_ResidentData[[#This Row],[P5]]=TRUE),1,0)</f>
        <v>0</v>
      </c>
      <c r="CT135" s="120">
        <f ca="1">IF(OR(Tbl_ResidentData[[#This Row],[S6]]=TRUE,Tbl_ResidentData[[#This Row],[P6]]=TRUE),1,0)</f>
        <v>0</v>
      </c>
      <c r="CU135" s="120">
        <f ca="1">IF(OR(Tbl_ResidentData[[#This Row],[S7]]=TRUE,Tbl_ResidentData[[#This Row],[P7]]=TRUE),1,0)</f>
        <v>0</v>
      </c>
      <c r="CV135" s="120">
        <f ca="1">IF(OR(Tbl_ResidentData[[#This Row],[S8]]=TRUE,Tbl_ResidentData[[#This Row],[P8]]=TRUE),1,0)</f>
        <v>0</v>
      </c>
      <c r="CW135" s="120">
        <f ca="1">IF(OR(Tbl_ResidentData[[#This Row],[S9]]=TRUE,Tbl_ResidentData[[#This Row],[P9]]=TRUE),1,0)</f>
        <v>0</v>
      </c>
      <c r="CX135" s="120">
        <f ca="1">IF(OR(Tbl_ResidentData[[#This Row],[S10]]=TRUE,Tbl_ResidentData[[#This Row],[P10]]=TRUE),1,0)</f>
        <v>0</v>
      </c>
      <c r="CY135" s="120">
        <f ca="1">IF(OR(Tbl_ResidentData[[#This Row],[S11]]=TRUE,Tbl_ResidentData[[#This Row],[P11]]=TRUE),1,0)</f>
        <v>0</v>
      </c>
      <c r="CZ135" s="120">
        <f ca="1">IF(OR(Tbl_ResidentData[[#This Row],[S12]]=TRUE,Tbl_ResidentData[[#This Row],[P12]]=TRUE),1,0)</f>
        <v>0</v>
      </c>
      <c r="DA135" s="120">
        <f ca="1">IF(OR(Tbl_ResidentData[[#This Row],[S13]]=TRUE,Tbl_ResidentData[[#This Row],[P13]]=TRUE),1,0)</f>
        <v>0</v>
      </c>
      <c r="DB135" s="120">
        <f ca="1">IF(OR(Tbl_ResidentData[[#This Row],[S14]]=TRUE,Tbl_ResidentData[[#This Row],[P14]]=TRUE),1,0)</f>
        <v>0</v>
      </c>
      <c r="DC135" s="120">
        <f ca="1">IF(OR(Tbl_ResidentData[[#This Row],[S15]]=TRUE,Tbl_ResidentData[[#This Row],[P15]]=TRUE),1,0)</f>
        <v>0</v>
      </c>
      <c r="DD135" s="120">
        <f ca="1">IF(OR(Tbl_ResidentData[[#This Row],[S16]]=TRUE,Tbl_ResidentData[[#This Row],[P16]]=TRUE),1,0)</f>
        <v>0</v>
      </c>
      <c r="DE135" s="120">
        <f ca="1">IF(OR(Tbl_ResidentData[[#This Row],[S17]]=TRUE,Tbl_ResidentData[[#This Row],[P17]]=TRUE),1,0)</f>
        <v>0</v>
      </c>
      <c r="DF135" s="120">
        <f ca="1">IF(OR(Tbl_ResidentData[[#This Row],[S18]]=TRUE,Tbl_ResidentData[[#This Row],[P18]]=TRUE),1,0)</f>
        <v>0</v>
      </c>
      <c r="DG135" s="120">
        <f ca="1">IF(OR(Tbl_ResidentData[[#This Row],[S19]]=TRUE,Tbl_ResidentData[[#This Row],[P19]]=TRUE),1,0)</f>
        <v>0</v>
      </c>
      <c r="DH135" s="120">
        <f ca="1">IF(OR(Tbl_ResidentData[[#This Row],[S20]]=TRUE,Tbl_ResidentData[[#This Row],[P20]]=TRUE),1,0)</f>
        <v>0</v>
      </c>
      <c r="DI135" s="120">
        <f ca="1">IF(OR(Tbl_ResidentData[[#This Row],[S21]]=TRUE,Tbl_ResidentData[[#This Row],[P21]]=TRUE),1,0)</f>
        <v>0</v>
      </c>
      <c r="DJ135" s="120">
        <f ca="1">IF(OR(Tbl_ResidentData[[#This Row],[S22]]=TRUE,Tbl_ResidentData[[#This Row],[P22]]=TRUE),1,0)</f>
        <v>0</v>
      </c>
      <c r="DK135" s="120">
        <f ca="1">IF(OR(Tbl_ResidentData[[#This Row],[S23]]=TRUE,Tbl_ResidentData[[#This Row],[P23]]=TRUE),1,0)</f>
        <v>0</v>
      </c>
      <c r="DL135" s="120">
        <f ca="1">IF(OR(Tbl_ResidentData[[#This Row],[S24]]=TRUE,Tbl_ResidentData[[#This Row],[P24]]=TRUE),1,0)</f>
        <v>0</v>
      </c>
      <c r="DM135" s="123" t="str">
        <f ca="1">IFERROR(INDEX($CO$4:$DL$4,MATCH(TRUE,INDEX((Tbl_ResidentData[[#This Row],[Over1]:[Over24]]&lt;&gt;0),0),0)),"")</f>
        <v/>
      </c>
      <c r="DN135" s="133" t="str">
        <f>IFERROR(INDEX(Tbl_PDSAData[Last DRT],MATCH(Tbl_ResidentData[Resident Name '[last, first']],Tbl_PDSAData[Resident Name (last, first)],0)),"")</f>
        <v/>
      </c>
      <c r="DO135" s="222" t="str">
        <f>IFERROR(INDEX(Tbl_PDSAData[Last MR],MATCH(Tbl_ResidentData[Resident Name '[last, first']],Tbl_PDSAData[Resident Name (last, first)],0)),"")</f>
        <v/>
      </c>
    </row>
    <row r="136" spans="1:119" x14ac:dyDescent="0.25">
      <c r="A136" s="179"/>
      <c r="B136" s="180"/>
      <c r="C136" s="180"/>
      <c r="D136" s="218"/>
      <c r="E136" s="179"/>
      <c r="F136" s="179"/>
      <c r="G136" s="181"/>
      <c r="H136" s="375"/>
      <c r="I136" s="185"/>
      <c r="J136" s="387"/>
      <c r="K136" s="178"/>
      <c r="L136" s="388"/>
      <c r="M136" s="185"/>
      <c r="N136" s="386"/>
      <c r="O136" s="178"/>
      <c r="P136" s="388"/>
      <c r="Q136" s="394"/>
      <c r="R136" s="388"/>
      <c r="S136" s="131" t="str">
        <f>IF(ISBLANK(Tbl_ResidentData[[#This Row],[Discharge '[mmm-yyyy']]]),IF(ISBLANK(Tbl_ResidentData[[#This Row],[Enrollment '[mmm-yyyy']]]),"","In Care Home"),"Discharged")</f>
        <v/>
      </c>
      <c r="T136" s="119" t="str">
        <f>IF(ISBLANK(Tbl_ResidentData[[#This Row],[Diagnosis (RAI)]]),IF(ISBLANK(Tbl_ResidentData[[#This Row],[Resident Name '[last, first']]]),"",0),IF(Tbl_ResidentData[[#This Row],[Diagnosis (RAI)]]="Other (see clinical notes)",0,1))</f>
        <v/>
      </c>
      <c r="U136" s="120" t="str">
        <f ca="1">IF(U$4&gt;NOW(),"-",IF(ISBLANK(Tbl_ResidentData[[#This Row],[Enrollment '[mmm-yyyy']]]),"-",AND((Tbl_ResidentData[[#This Row],[Enrollment '[mmm-yyyy']]]&lt;=U$4),IF(ISBLANK(Tbl_ResidentData[[#This Row],[Discharge '[mmm-yyyy']]]),TRUE,(Tbl_ResidentData[[#This Row],[Discharge '[mmm-yyyy']]]&gt;=U$4)))))</f>
        <v>-</v>
      </c>
      <c r="V136" s="121" t="str">
        <f ca="1">IF(V$4&gt;NOW(),"-",IF(ISBLANK(Tbl_ResidentData[[#This Row],[Enrollment '[mmm-yyyy']]]),"-",AND((Tbl_ResidentData[[#This Row],[Enrollment '[mmm-yyyy']]]&lt;=V$4),IF(ISBLANK(Tbl_ResidentData[[#This Row],[Discharge '[mmm-yyyy']]]),TRUE,(Tbl_ResidentData[[#This Row],[Discharge '[mmm-yyyy']]]&gt;=V$4)))))</f>
        <v>-</v>
      </c>
      <c r="W136" s="121" t="str">
        <f ca="1">IF(W$4&gt;NOW(),"-",IF(ISBLANK(Tbl_ResidentData[[#This Row],[Enrollment '[mmm-yyyy']]]),"-",AND((Tbl_ResidentData[[#This Row],[Enrollment '[mmm-yyyy']]]&lt;=W$4),IF(ISBLANK(Tbl_ResidentData[[#This Row],[Discharge '[mmm-yyyy']]]),TRUE,(Tbl_ResidentData[[#This Row],[Discharge '[mmm-yyyy']]]&gt;=W$4)))))</f>
        <v>-</v>
      </c>
      <c r="X136" s="121" t="str">
        <f ca="1">IF(X$4&gt;NOW(),"-",IF(ISBLANK(Tbl_ResidentData[[#This Row],[Enrollment '[mmm-yyyy']]]),"-",AND((Tbl_ResidentData[[#This Row],[Enrollment '[mmm-yyyy']]]&lt;=X$4),IF(ISBLANK(Tbl_ResidentData[[#This Row],[Discharge '[mmm-yyyy']]]),TRUE,(Tbl_ResidentData[[#This Row],[Discharge '[mmm-yyyy']]]&gt;=X$4)))))</f>
        <v>-</v>
      </c>
      <c r="Y136" s="121" t="str">
        <f ca="1">IF(Y$4&gt;NOW(),"-",IF(ISBLANK(Tbl_ResidentData[[#This Row],[Enrollment '[mmm-yyyy']]]),"-",AND((Tbl_ResidentData[[#This Row],[Enrollment '[mmm-yyyy']]]&lt;=Y$4),IF(ISBLANK(Tbl_ResidentData[[#This Row],[Discharge '[mmm-yyyy']]]),TRUE,(Tbl_ResidentData[[#This Row],[Discharge '[mmm-yyyy']]]&gt;=Y$4)))))</f>
        <v>-</v>
      </c>
      <c r="Z136" s="121" t="str">
        <f ca="1">IF(Z$4&gt;NOW(),"-",IF(ISBLANK(Tbl_ResidentData[[#This Row],[Enrollment '[mmm-yyyy']]]),"-",AND((Tbl_ResidentData[[#This Row],[Enrollment '[mmm-yyyy']]]&lt;=Z$4),IF(ISBLANK(Tbl_ResidentData[[#This Row],[Discharge '[mmm-yyyy']]]),TRUE,(Tbl_ResidentData[[#This Row],[Discharge '[mmm-yyyy']]]&gt;=Z$4)))))</f>
        <v>-</v>
      </c>
      <c r="AA136" s="121" t="str">
        <f ca="1">IF(AA$4&gt;NOW(),"-",IF(ISBLANK(Tbl_ResidentData[[#This Row],[Enrollment '[mmm-yyyy']]]),"-",AND((Tbl_ResidentData[[#This Row],[Enrollment '[mmm-yyyy']]]&lt;=AA$4),IF(ISBLANK(Tbl_ResidentData[[#This Row],[Discharge '[mmm-yyyy']]]),TRUE,(Tbl_ResidentData[[#This Row],[Discharge '[mmm-yyyy']]]&gt;=AA$4)))))</f>
        <v>-</v>
      </c>
      <c r="AB136" s="121" t="str">
        <f ca="1">IF(AB$4&gt;NOW(),"-",IF(ISBLANK(Tbl_ResidentData[[#This Row],[Enrollment '[mmm-yyyy']]]),"-",AND((Tbl_ResidentData[[#This Row],[Enrollment '[mmm-yyyy']]]&lt;=AB$4),IF(ISBLANK(Tbl_ResidentData[[#This Row],[Discharge '[mmm-yyyy']]]),TRUE,(Tbl_ResidentData[[#This Row],[Discharge '[mmm-yyyy']]]&gt;=AB$4)))))</f>
        <v>-</v>
      </c>
      <c r="AC136" s="121" t="str">
        <f ca="1">IF(AC$4&gt;NOW(),"-",IF(ISBLANK(Tbl_ResidentData[[#This Row],[Enrollment '[mmm-yyyy']]]),"-",AND((Tbl_ResidentData[[#This Row],[Enrollment '[mmm-yyyy']]]&lt;=AC$4),IF(ISBLANK(Tbl_ResidentData[[#This Row],[Discharge '[mmm-yyyy']]]),TRUE,(Tbl_ResidentData[[#This Row],[Discharge '[mmm-yyyy']]]&gt;=AC$4)))))</f>
        <v>-</v>
      </c>
      <c r="AD136" s="121" t="str">
        <f ca="1">IF(AD$4&gt;NOW(),"-",IF(ISBLANK(Tbl_ResidentData[[#This Row],[Enrollment '[mmm-yyyy']]]),"-",AND((Tbl_ResidentData[[#This Row],[Enrollment '[mmm-yyyy']]]&lt;=AD$4),IF(ISBLANK(Tbl_ResidentData[[#This Row],[Discharge '[mmm-yyyy']]]),TRUE,(Tbl_ResidentData[[#This Row],[Discharge '[mmm-yyyy']]]&gt;=AD$4)))))</f>
        <v>-</v>
      </c>
      <c r="AE136" s="121" t="str">
        <f ca="1">IF(AE$4&gt;NOW(),"-",IF(ISBLANK(Tbl_ResidentData[[#This Row],[Enrollment '[mmm-yyyy']]]),"-",AND((Tbl_ResidentData[[#This Row],[Enrollment '[mmm-yyyy']]]&lt;=AE$4),IF(ISBLANK(Tbl_ResidentData[[#This Row],[Discharge '[mmm-yyyy']]]),TRUE,(Tbl_ResidentData[[#This Row],[Discharge '[mmm-yyyy']]]&gt;=AE$4)))))</f>
        <v>-</v>
      </c>
      <c r="AF136" s="121" t="str">
        <f ca="1">IF(AF$4&gt;NOW(),"-",IF(ISBLANK(Tbl_ResidentData[[#This Row],[Enrollment '[mmm-yyyy']]]),"-",AND((Tbl_ResidentData[[#This Row],[Enrollment '[mmm-yyyy']]]&lt;=AF$4),IF(ISBLANK(Tbl_ResidentData[[#This Row],[Discharge '[mmm-yyyy']]]),TRUE,(Tbl_ResidentData[[#This Row],[Discharge '[mmm-yyyy']]]&gt;=AF$4)))))</f>
        <v>-</v>
      </c>
      <c r="AG136" s="121" t="str">
        <f ca="1">IF(AG$4&gt;NOW(),"-",IF(ISBLANK(Tbl_ResidentData[[#This Row],[Enrollment '[mmm-yyyy']]]),"-",AND((Tbl_ResidentData[[#This Row],[Enrollment '[mmm-yyyy']]]&lt;=AG$4),IF(ISBLANK(Tbl_ResidentData[[#This Row],[Discharge '[mmm-yyyy']]]),TRUE,(Tbl_ResidentData[[#This Row],[Discharge '[mmm-yyyy']]]&gt;=AG$4)))))</f>
        <v>-</v>
      </c>
      <c r="AH136" s="121" t="str">
        <f ca="1">IF(AH$4&gt;NOW(),"-",IF(ISBLANK(Tbl_ResidentData[[#This Row],[Enrollment '[mmm-yyyy']]]),"-",AND((Tbl_ResidentData[[#This Row],[Enrollment '[mmm-yyyy']]]&lt;=AH$4),IF(ISBLANK(Tbl_ResidentData[[#This Row],[Discharge '[mmm-yyyy']]]),TRUE,(Tbl_ResidentData[[#This Row],[Discharge '[mmm-yyyy']]]&gt;=AH$4)))))</f>
        <v>-</v>
      </c>
      <c r="AI136" s="121" t="str">
        <f ca="1">IF(AI$4&gt;NOW(),"-",IF(ISBLANK(Tbl_ResidentData[[#This Row],[Enrollment '[mmm-yyyy']]]),"-",AND((Tbl_ResidentData[[#This Row],[Enrollment '[mmm-yyyy']]]&lt;=AI$4),IF(ISBLANK(Tbl_ResidentData[[#This Row],[Discharge '[mmm-yyyy']]]),TRUE,(Tbl_ResidentData[[#This Row],[Discharge '[mmm-yyyy']]]&gt;=AI$4)))))</f>
        <v>-</v>
      </c>
      <c r="AJ136" s="121" t="str">
        <f ca="1">IF(AJ$4&gt;NOW(),"-",IF(ISBLANK(Tbl_ResidentData[[#This Row],[Enrollment '[mmm-yyyy']]]),"-",AND((Tbl_ResidentData[[#This Row],[Enrollment '[mmm-yyyy']]]&lt;=AJ$4),IF(ISBLANK(Tbl_ResidentData[[#This Row],[Discharge '[mmm-yyyy']]]),TRUE,(Tbl_ResidentData[[#This Row],[Discharge '[mmm-yyyy']]]&gt;=AJ$4)))))</f>
        <v>-</v>
      </c>
      <c r="AK136" s="121" t="str">
        <f ca="1">IF(AK$4&gt;NOW(),"-",IF(ISBLANK(Tbl_ResidentData[[#This Row],[Enrollment '[mmm-yyyy']]]),"-",AND((Tbl_ResidentData[[#This Row],[Enrollment '[mmm-yyyy']]]&lt;=AK$4),IF(ISBLANK(Tbl_ResidentData[[#This Row],[Discharge '[mmm-yyyy']]]),TRUE,(Tbl_ResidentData[[#This Row],[Discharge '[mmm-yyyy']]]&gt;=AK$4)))))</f>
        <v>-</v>
      </c>
      <c r="AL136" s="121" t="str">
        <f ca="1">IF(AL$4&gt;NOW(),"-",IF(ISBLANK(Tbl_ResidentData[[#This Row],[Enrollment '[mmm-yyyy']]]),"-",AND((Tbl_ResidentData[[#This Row],[Enrollment '[mmm-yyyy']]]&lt;=AL$4),IF(ISBLANK(Tbl_ResidentData[[#This Row],[Discharge '[mmm-yyyy']]]),TRUE,(Tbl_ResidentData[[#This Row],[Discharge '[mmm-yyyy']]]&gt;=AL$4)))))</f>
        <v>-</v>
      </c>
      <c r="AM136" s="121" t="str">
        <f ca="1">IF(AM$4&gt;NOW(),"-",IF(ISBLANK(Tbl_ResidentData[[#This Row],[Enrollment '[mmm-yyyy']]]),"-",AND((Tbl_ResidentData[[#This Row],[Enrollment '[mmm-yyyy']]]&lt;=AM$4),IF(ISBLANK(Tbl_ResidentData[[#This Row],[Discharge '[mmm-yyyy']]]),TRUE,(Tbl_ResidentData[[#This Row],[Discharge '[mmm-yyyy']]]&gt;=AM$4)))))</f>
        <v>-</v>
      </c>
      <c r="AN136" s="121" t="str">
        <f ca="1">IF(AN$4&gt;NOW(),"-",IF(ISBLANK(Tbl_ResidentData[[#This Row],[Enrollment '[mmm-yyyy']]]),"-",AND((Tbl_ResidentData[[#This Row],[Enrollment '[mmm-yyyy']]]&lt;=AN$4),IF(ISBLANK(Tbl_ResidentData[[#This Row],[Discharge '[mmm-yyyy']]]),TRUE,(Tbl_ResidentData[[#This Row],[Discharge '[mmm-yyyy']]]&gt;=AN$4)))))</f>
        <v>-</v>
      </c>
      <c r="AO136" s="121" t="str">
        <f ca="1">IF(AO$4&gt;NOW(),"-",IF(ISBLANK(Tbl_ResidentData[[#This Row],[Enrollment '[mmm-yyyy']]]),"-",AND((Tbl_ResidentData[[#This Row],[Enrollment '[mmm-yyyy']]]&lt;=AO$4),IF(ISBLANK(Tbl_ResidentData[[#This Row],[Discharge '[mmm-yyyy']]]),TRUE,(Tbl_ResidentData[[#This Row],[Discharge '[mmm-yyyy']]]&gt;=AO$4)))))</f>
        <v>-</v>
      </c>
      <c r="AP136" s="121" t="str">
        <f ca="1">IF(AP$4&gt;NOW(),"-",IF(ISBLANK(Tbl_ResidentData[[#This Row],[Enrollment '[mmm-yyyy']]]),"-",AND((Tbl_ResidentData[[#This Row],[Enrollment '[mmm-yyyy']]]&lt;=AP$4),IF(ISBLANK(Tbl_ResidentData[[#This Row],[Discharge '[mmm-yyyy']]]),TRUE,(Tbl_ResidentData[[#This Row],[Discharge '[mmm-yyyy']]]&gt;=AP$4)))))</f>
        <v>-</v>
      </c>
      <c r="AQ136" s="121" t="str">
        <f ca="1">IF(AQ$4&gt;NOW(),"-",IF(ISBLANK(Tbl_ResidentData[[#This Row],[Enrollment '[mmm-yyyy']]]),"-",AND((Tbl_ResidentData[[#This Row],[Enrollment '[mmm-yyyy']]]&lt;=AQ$4),IF(ISBLANK(Tbl_ResidentData[[#This Row],[Discharge '[mmm-yyyy']]]),TRUE,(Tbl_ResidentData[[#This Row],[Discharge '[mmm-yyyy']]]&gt;=AQ$4)))))</f>
        <v>-</v>
      </c>
      <c r="AR136" s="122" t="str">
        <f ca="1">IF(AR$4&gt;NOW(),"-",IF(ISBLANK(Tbl_ResidentData[[#This Row],[Enrollment '[mmm-yyyy']]]),"-",AND((Tbl_ResidentData[[#This Row],[Enrollment '[mmm-yyyy']]]&lt;=AR$4),IF(ISBLANK(Tbl_ResidentData[[#This Row],[Discharge '[mmm-yyyy']]]),TRUE,(Tbl_ResidentData[[#This Row],[Discharge '[mmm-yyyy']]]&gt;=AR$4)))))</f>
        <v>-</v>
      </c>
      <c r="AS13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6" s="120" t="b">
        <f ca="1">AND(Tbl_ResidentData[[#This Row],[PRN Med Started]]&lt;&gt;"",Tbl_ResidentData[[#This Row],[PRN Med Started]]&lt;=NOW(),Tbl_ResidentData[[#This Row],[PRN Med Started]]&lt;=AS$4,OR(Tbl_ResidentData[[#This Row],[PRN Med Discontinued]]&gt;AS$4,ISBLANK(Tbl_ResidentData[[#This Row],[PRN Med Discontinued]])))</f>
        <v>0</v>
      </c>
      <c r="BR136" s="121" t="b">
        <f ca="1">AND(Tbl_ResidentData[[#This Row],[PRN Med Started]]&lt;&gt;"",Tbl_ResidentData[[#This Row],[PRN Med Started]]&lt;=NOW(),Tbl_ResidentData[[#This Row],[PRN Med Started]]&lt;=AT$4,OR(Tbl_ResidentData[[#This Row],[PRN Med Discontinued]]&gt;AT$4,ISBLANK(Tbl_ResidentData[[#This Row],[PRN Med Discontinued]])))</f>
        <v>0</v>
      </c>
      <c r="BS136" s="121" t="b">
        <f ca="1">AND(Tbl_ResidentData[[#This Row],[PRN Med Started]]&lt;&gt;"",Tbl_ResidentData[[#This Row],[PRN Med Started]]&lt;=NOW(),Tbl_ResidentData[[#This Row],[PRN Med Started]]&lt;=AU$4,OR(Tbl_ResidentData[[#This Row],[PRN Med Discontinued]]&gt;AU$4,ISBLANK(Tbl_ResidentData[[#This Row],[PRN Med Discontinued]])))</f>
        <v>0</v>
      </c>
      <c r="BT136" s="121" t="b">
        <f ca="1">AND(Tbl_ResidentData[[#This Row],[PRN Med Started]]&lt;&gt;"",Tbl_ResidentData[[#This Row],[PRN Med Started]]&lt;=NOW(),Tbl_ResidentData[[#This Row],[PRN Med Started]]&lt;=AV$4,OR(Tbl_ResidentData[[#This Row],[PRN Med Discontinued]]&gt;AV$4,ISBLANK(Tbl_ResidentData[[#This Row],[PRN Med Discontinued]])))</f>
        <v>0</v>
      </c>
      <c r="BU136" s="121" t="b">
        <f ca="1">AND(Tbl_ResidentData[[#This Row],[PRN Med Started]]&lt;&gt;"",Tbl_ResidentData[[#This Row],[PRN Med Started]]&lt;=NOW(),Tbl_ResidentData[[#This Row],[PRN Med Started]]&lt;=AW$4,OR(Tbl_ResidentData[[#This Row],[PRN Med Discontinued]]&gt;AW$4,ISBLANK(Tbl_ResidentData[[#This Row],[PRN Med Discontinued]])))</f>
        <v>0</v>
      </c>
      <c r="BV136" s="121" t="b">
        <f ca="1">AND(Tbl_ResidentData[[#This Row],[PRN Med Started]]&lt;&gt;"",Tbl_ResidentData[[#This Row],[PRN Med Started]]&lt;=NOW(),Tbl_ResidentData[[#This Row],[PRN Med Started]]&lt;=AX$4,OR(Tbl_ResidentData[[#This Row],[PRN Med Discontinued]]&gt;AX$4,ISBLANK(Tbl_ResidentData[[#This Row],[PRN Med Discontinued]])))</f>
        <v>0</v>
      </c>
      <c r="BW136" s="121" t="b">
        <f ca="1">AND(Tbl_ResidentData[[#This Row],[PRN Med Started]]&lt;&gt;"",Tbl_ResidentData[[#This Row],[PRN Med Started]]&lt;=NOW(),Tbl_ResidentData[[#This Row],[PRN Med Started]]&lt;=AY$4,OR(Tbl_ResidentData[[#This Row],[PRN Med Discontinued]]&gt;AY$4,ISBLANK(Tbl_ResidentData[[#This Row],[PRN Med Discontinued]])))</f>
        <v>0</v>
      </c>
      <c r="BX136" s="121" t="b">
        <f ca="1">AND(Tbl_ResidentData[[#This Row],[PRN Med Started]]&lt;&gt;"",Tbl_ResidentData[[#This Row],[PRN Med Started]]&lt;=NOW(),Tbl_ResidentData[[#This Row],[PRN Med Started]]&lt;=AZ$4,OR(Tbl_ResidentData[[#This Row],[PRN Med Discontinued]]&gt;AZ$4,ISBLANK(Tbl_ResidentData[[#This Row],[PRN Med Discontinued]])))</f>
        <v>0</v>
      </c>
      <c r="BY136" s="121" t="b">
        <f ca="1">AND(Tbl_ResidentData[[#This Row],[PRN Med Started]]&lt;&gt;"",Tbl_ResidentData[[#This Row],[PRN Med Started]]&lt;=NOW(),Tbl_ResidentData[[#This Row],[PRN Med Started]]&lt;=BA$4,OR(Tbl_ResidentData[[#This Row],[PRN Med Discontinued]]&gt;BA$4,ISBLANK(Tbl_ResidentData[[#This Row],[PRN Med Discontinued]])))</f>
        <v>0</v>
      </c>
      <c r="BZ136" s="121" t="b">
        <f ca="1">AND(Tbl_ResidentData[[#This Row],[PRN Med Started]]&lt;&gt;"",Tbl_ResidentData[[#This Row],[PRN Med Started]]&lt;=NOW(),Tbl_ResidentData[[#This Row],[PRN Med Started]]&lt;=BB$4,OR(Tbl_ResidentData[[#This Row],[PRN Med Discontinued]]&gt;BB$4,ISBLANK(Tbl_ResidentData[[#This Row],[PRN Med Discontinued]])))</f>
        <v>0</v>
      </c>
      <c r="CA136" s="121" t="b">
        <f ca="1">AND(Tbl_ResidentData[[#This Row],[PRN Med Started]]&lt;&gt;"",Tbl_ResidentData[[#This Row],[PRN Med Started]]&lt;=NOW(),Tbl_ResidentData[[#This Row],[PRN Med Started]]&lt;=BC$4,OR(Tbl_ResidentData[[#This Row],[PRN Med Discontinued]]&gt;BC$4,ISBLANK(Tbl_ResidentData[[#This Row],[PRN Med Discontinued]])))</f>
        <v>0</v>
      </c>
      <c r="CB136" s="121" t="b">
        <f ca="1">AND(Tbl_ResidentData[[#This Row],[PRN Med Started]]&lt;&gt;"",Tbl_ResidentData[[#This Row],[PRN Med Started]]&lt;=NOW(),Tbl_ResidentData[[#This Row],[PRN Med Started]]&lt;=BD$4,OR(Tbl_ResidentData[[#This Row],[PRN Med Discontinued]]&gt;BD$4,ISBLANK(Tbl_ResidentData[[#This Row],[PRN Med Discontinued]])))</f>
        <v>0</v>
      </c>
      <c r="CC136" s="121" t="b">
        <f ca="1">AND(Tbl_ResidentData[[#This Row],[PRN Med Started]]&lt;&gt;"",Tbl_ResidentData[[#This Row],[PRN Med Started]]&lt;=NOW(),Tbl_ResidentData[[#This Row],[PRN Med Started]]&lt;=BE$4,OR(Tbl_ResidentData[[#This Row],[PRN Med Discontinued]]&gt;BE$4,ISBLANK(Tbl_ResidentData[[#This Row],[PRN Med Discontinued]])))</f>
        <v>0</v>
      </c>
      <c r="CD136" s="121" t="b">
        <f ca="1">AND(Tbl_ResidentData[[#This Row],[PRN Med Started]]&lt;&gt;"",Tbl_ResidentData[[#This Row],[PRN Med Started]]&lt;=NOW(),Tbl_ResidentData[[#This Row],[PRN Med Started]]&lt;=BF$4,OR(Tbl_ResidentData[[#This Row],[PRN Med Discontinued]]&gt;BF$4,ISBLANK(Tbl_ResidentData[[#This Row],[PRN Med Discontinued]])))</f>
        <v>0</v>
      </c>
      <c r="CE136" s="121" t="b">
        <f ca="1">AND(Tbl_ResidentData[[#This Row],[PRN Med Started]]&lt;&gt;"",Tbl_ResidentData[[#This Row],[PRN Med Started]]&lt;=NOW(),Tbl_ResidentData[[#This Row],[PRN Med Started]]&lt;=BG$4,OR(Tbl_ResidentData[[#This Row],[PRN Med Discontinued]]&gt;BG$4,ISBLANK(Tbl_ResidentData[[#This Row],[PRN Med Discontinued]])))</f>
        <v>0</v>
      </c>
      <c r="CF136" s="121" t="b">
        <f ca="1">AND(Tbl_ResidentData[[#This Row],[PRN Med Started]]&lt;&gt;"",Tbl_ResidentData[[#This Row],[PRN Med Started]]&lt;=NOW(),Tbl_ResidentData[[#This Row],[PRN Med Started]]&lt;=BH$4,OR(Tbl_ResidentData[[#This Row],[PRN Med Discontinued]]&gt;BH$4,ISBLANK(Tbl_ResidentData[[#This Row],[PRN Med Discontinued]])))</f>
        <v>0</v>
      </c>
      <c r="CG136" s="121" t="b">
        <f ca="1">AND(Tbl_ResidentData[[#This Row],[PRN Med Started]]&lt;&gt;"",Tbl_ResidentData[[#This Row],[PRN Med Started]]&lt;=NOW(),Tbl_ResidentData[[#This Row],[PRN Med Started]]&lt;=BI$4,OR(Tbl_ResidentData[[#This Row],[PRN Med Discontinued]]&gt;BI$4,ISBLANK(Tbl_ResidentData[[#This Row],[PRN Med Discontinued]])))</f>
        <v>0</v>
      </c>
      <c r="CH136" s="121" t="b">
        <f ca="1">AND(Tbl_ResidentData[[#This Row],[PRN Med Started]]&lt;&gt;"",Tbl_ResidentData[[#This Row],[PRN Med Started]]&lt;=NOW(),Tbl_ResidentData[[#This Row],[PRN Med Started]]&lt;=BJ$4,OR(Tbl_ResidentData[[#This Row],[PRN Med Discontinued]]&gt;BJ$4,ISBLANK(Tbl_ResidentData[[#This Row],[PRN Med Discontinued]])))</f>
        <v>0</v>
      </c>
      <c r="CI136" s="121" t="b">
        <f ca="1">AND(Tbl_ResidentData[[#This Row],[PRN Med Started]]&lt;&gt;"",Tbl_ResidentData[[#This Row],[PRN Med Started]]&lt;=NOW(),Tbl_ResidentData[[#This Row],[PRN Med Started]]&lt;=BK$4,OR(Tbl_ResidentData[[#This Row],[PRN Med Discontinued]]&gt;BK$4,ISBLANK(Tbl_ResidentData[[#This Row],[PRN Med Discontinued]])))</f>
        <v>0</v>
      </c>
      <c r="CJ136" s="121" t="b">
        <f ca="1">AND(Tbl_ResidentData[[#This Row],[PRN Med Started]]&lt;&gt;"",Tbl_ResidentData[[#This Row],[PRN Med Started]]&lt;=NOW(),Tbl_ResidentData[[#This Row],[PRN Med Started]]&lt;=BL$4,OR(Tbl_ResidentData[[#This Row],[PRN Med Discontinued]]&gt;BL$4,ISBLANK(Tbl_ResidentData[[#This Row],[PRN Med Discontinued]])))</f>
        <v>0</v>
      </c>
      <c r="CK136" s="121" t="b">
        <f ca="1">AND(Tbl_ResidentData[[#This Row],[PRN Med Started]]&lt;&gt;"",Tbl_ResidentData[[#This Row],[PRN Med Started]]&lt;=NOW(),Tbl_ResidentData[[#This Row],[PRN Med Started]]&lt;=BM$4,OR(Tbl_ResidentData[[#This Row],[PRN Med Discontinued]]&gt;BM$4,ISBLANK(Tbl_ResidentData[[#This Row],[PRN Med Discontinued]])))</f>
        <v>0</v>
      </c>
      <c r="CL136" s="121" t="b">
        <f ca="1">AND(Tbl_ResidentData[[#This Row],[PRN Med Started]]&lt;&gt;"",Tbl_ResidentData[[#This Row],[PRN Med Started]]&lt;=NOW(),Tbl_ResidentData[[#This Row],[PRN Med Started]]&lt;=BN$4,OR(Tbl_ResidentData[[#This Row],[PRN Med Discontinued]]&gt;BN$4,ISBLANK(Tbl_ResidentData[[#This Row],[PRN Med Discontinued]])))</f>
        <v>0</v>
      </c>
      <c r="CM136" s="121" t="b">
        <f ca="1">AND(Tbl_ResidentData[[#This Row],[PRN Med Started]]&lt;&gt;"",Tbl_ResidentData[[#This Row],[PRN Med Started]]&lt;=NOW(),Tbl_ResidentData[[#This Row],[PRN Med Started]]&lt;=BO$4,OR(Tbl_ResidentData[[#This Row],[PRN Med Discontinued]]&gt;BO$4,ISBLANK(Tbl_ResidentData[[#This Row],[PRN Med Discontinued]])))</f>
        <v>0</v>
      </c>
      <c r="CN136" s="122" t="b">
        <f ca="1">AND(Tbl_ResidentData[[#This Row],[PRN Med Started]]&lt;&gt;"",Tbl_ResidentData[[#This Row],[PRN Med Started]]&lt;=NOW(),Tbl_ResidentData[[#This Row],[PRN Med Started]]&lt;=BP$4,OR(Tbl_ResidentData[[#This Row],[PRN Med Discontinued]]&gt;BP$4,ISBLANK(Tbl_ResidentData[[#This Row],[PRN Med Discontinued]])))</f>
        <v>0</v>
      </c>
      <c r="CO136" s="120">
        <f ca="1">IF(OR(Tbl_ResidentData[[#This Row],[S1]]=TRUE,Tbl_ResidentData[[#This Row],[P1]]=TRUE),1,0)</f>
        <v>0</v>
      </c>
      <c r="CP136" s="121">
        <f ca="1">IF(OR(Tbl_ResidentData[[#This Row],[S2]]=TRUE,Tbl_ResidentData[[#This Row],[P2]]=TRUE),1,0)</f>
        <v>0</v>
      </c>
      <c r="CQ136" s="121">
        <f ca="1">IF(OR(Tbl_ResidentData[[#This Row],[S3]]=TRUE,Tbl_ResidentData[[#This Row],[P3]]=TRUE),1,0)</f>
        <v>0</v>
      </c>
      <c r="CR136" s="120">
        <f ca="1">IF(OR(Tbl_ResidentData[[#This Row],[S4]]=TRUE,Tbl_ResidentData[[#This Row],[P4]]=TRUE),1,0)</f>
        <v>0</v>
      </c>
      <c r="CS136" s="120">
        <f ca="1">IF(OR(Tbl_ResidentData[[#This Row],[S5]]=TRUE,Tbl_ResidentData[[#This Row],[P5]]=TRUE),1,0)</f>
        <v>0</v>
      </c>
      <c r="CT136" s="120">
        <f ca="1">IF(OR(Tbl_ResidentData[[#This Row],[S6]]=TRUE,Tbl_ResidentData[[#This Row],[P6]]=TRUE),1,0)</f>
        <v>0</v>
      </c>
      <c r="CU136" s="120">
        <f ca="1">IF(OR(Tbl_ResidentData[[#This Row],[S7]]=TRUE,Tbl_ResidentData[[#This Row],[P7]]=TRUE),1,0)</f>
        <v>0</v>
      </c>
      <c r="CV136" s="120">
        <f ca="1">IF(OR(Tbl_ResidentData[[#This Row],[S8]]=TRUE,Tbl_ResidentData[[#This Row],[P8]]=TRUE),1,0)</f>
        <v>0</v>
      </c>
      <c r="CW136" s="120">
        <f ca="1">IF(OR(Tbl_ResidentData[[#This Row],[S9]]=TRUE,Tbl_ResidentData[[#This Row],[P9]]=TRUE),1,0)</f>
        <v>0</v>
      </c>
      <c r="CX136" s="120">
        <f ca="1">IF(OR(Tbl_ResidentData[[#This Row],[S10]]=TRUE,Tbl_ResidentData[[#This Row],[P10]]=TRUE),1,0)</f>
        <v>0</v>
      </c>
      <c r="CY136" s="120">
        <f ca="1">IF(OR(Tbl_ResidentData[[#This Row],[S11]]=TRUE,Tbl_ResidentData[[#This Row],[P11]]=TRUE),1,0)</f>
        <v>0</v>
      </c>
      <c r="CZ136" s="120">
        <f ca="1">IF(OR(Tbl_ResidentData[[#This Row],[S12]]=TRUE,Tbl_ResidentData[[#This Row],[P12]]=TRUE),1,0)</f>
        <v>0</v>
      </c>
      <c r="DA136" s="120">
        <f ca="1">IF(OR(Tbl_ResidentData[[#This Row],[S13]]=TRUE,Tbl_ResidentData[[#This Row],[P13]]=TRUE),1,0)</f>
        <v>0</v>
      </c>
      <c r="DB136" s="120">
        <f ca="1">IF(OR(Tbl_ResidentData[[#This Row],[S14]]=TRUE,Tbl_ResidentData[[#This Row],[P14]]=TRUE),1,0)</f>
        <v>0</v>
      </c>
      <c r="DC136" s="120">
        <f ca="1">IF(OR(Tbl_ResidentData[[#This Row],[S15]]=TRUE,Tbl_ResidentData[[#This Row],[P15]]=TRUE),1,0)</f>
        <v>0</v>
      </c>
      <c r="DD136" s="120">
        <f ca="1">IF(OR(Tbl_ResidentData[[#This Row],[S16]]=TRUE,Tbl_ResidentData[[#This Row],[P16]]=TRUE),1,0)</f>
        <v>0</v>
      </c>
      <c r="DE136" s="120">
        <f ca="1">IF(OR(Tbl_ResidentData[[#This Row],[S17]]=TRUE,Tbl_ResidentData[[#This Row],[P17]]=TRUE),1,0)</f>
        <v>0</v>
      </c>
      <c r="DF136" s="120">
        <f ca="1">IF(OR(Tbl_ResidentData[[#This Row],[S18]]=TRUE,Tbl_ResidentData[[#This Row],[P18]]=TRUE),1,0)</f>
        <v>0</v>
      </c>
      <c r="DG136" s="120">
        <f ca="1">IF(OR(Tbl_ResidentData[[#This Row],[S19]]=TRUE,Tbl_ResidentData[[#This Row],[P19]]=TRUE),1,0)</f>
        <v>0</v>
      </c>
      <c r="DH136" s="120">
        <f ca="1">IF(OR(Tbl_ResidentData[[#This Row],[S20]]=TRUE,Tbl_ResidentData[[#This Row],[P20]]=TRUE),1,0)</f>
        <v>0</v>
      </c>
      <c r="DI136" s="120">
        <f ca="1">IF(OR(Tbl_ResidentData[[#This Row],[S21]]=TRUE,Tbl_ResidentData[[#This Row],[P21]]=TRUE),1,0)</f>
        <v>0</v>
      </c>
      <c r="DJ136" s="120">
        <f ca="1">IF(OR(Tbl_ResidentData[[#This Row],[S22]]=TRUE,Tbl_ResidentData[[#This Row],[P22]]=TRUE),1,0)</f>
        <v>0</v>
      </c>
      <c r="DK136" s="120">
        <f ca="1">IF(OR(Tbl_ResidentData[[#This Row],[S23]]=TRUE,Tbl_ResidentData[[#This Row],[P23]]=TRUE),1,0)</f>
        <v>0</v>
      </c>
      <c r="DL136" s="120">
        <f ca="1">IF(OR(Tbl_ResidentData[[#This Row],[S24]]=TRUE,Tbl_ResidentData[[#This Row],[P24]]=TRUE),1,0)</f>
        <v>0</v>
      </c>
      <c r="DM136" s="123" t="str">
        <f ca="1">IFERROR(INDEX($CO$4:$DL$4,MATCH(TRUE,INDEX((Tbl_ResidentData[[#This Row],[Over1]:[Over24]]&lt;&gt;0),0),0)),"")</f>
        <v/>
      </c>
      <c r="DN136" s="133" t="str">
        <f>IFERROR(INDEX(Tbl_PDSAData[Last DRT],MATCH(Tbl_ResidentData[Resident Name '[last, first']],Tbl_PDSAData[Resident Name (last, first)],0)),"")</f>
        <v/>
      </c>
      <c r="DO136" s="222" t="str">
        <f>IFERROR(INDEX(Tbl_PDSAData[Last MR],MATCH(Tbl_ResidentData[Resident Name '[last, first']],Tbl_PDSAData[Resident Name (last, first)],0)),"")</f>
        <v/>
      </c>
    </row>
    <row r="137" spans="1:119" x14ac:dyDescent="0.25">
      <c r="A137" s="179"/>
      <c r="B137" s="180"/>
      <c r="C137" s="180"/>
      <c r="D137" s="218"/>
      <c r="E137" s="179"/>
      <c r="F137" s="179"/>
      <c r="G137" s="181"/>
      <c r="H137" s="375"/>
      <c r="I137" s="185"/>
      <c r="J137" s="387"/>
      <c r="K137" s="178"/>
      <c r="L137" s="388"/>
      <c r="M137" s="185"/>
      <c r="N137" s="386"/>
      <c r="O137" s="178"/>
      <c r="P137" s="388"/>
      <c r="Q137" s="395"/>
      <c r="R137" s="396"/>
      <c r="S137" s="131" t="str">
        <f>IF(ISBLANK(Tbl_ResidentData[[#This Row],[Discharge '[mmm-yyyy']]]),IF(ISBLANK(Tbl_ResidentData[[#This Row],[Enrollment '[mmm-yyyy']]]),"","In Care Home"),"Discharged")</f>
        <v/>
      </c>
      <c r="T137" s="119" t="str">
        <f>IF(ISBLANK(Tbl_ResidentData[[#This Row],[Diagnosis (RAI)]]),IF(ISBLANK(Tbl_ResidentData[[#This Row],[Resident Name '[last, first']]]),"",0),IF(Tbl_ResidentData[[#This Row],[Diagnosis (RAI)]]="Other (see clinical notes)",0,1))</f>
        <v/>
      </c>
      <c r="U137" s="120" t="str">
        <f ca="1">IF(U$4&gt;NOW(),"-",IF(ISBLANK(Tbl_ResidentData[[#This Row],[Enrollment '[mmm-yyyy']]]),"-",AND((Tbl_ResidentData[[#This Row],[Enrollment '[mmm-yyyy']]]&lt;=U$4),IF(ISBLANK(Tbl_ResidentData[[#This Row],[Discharge '[mmm-yyyy']]]),TRUE,(Tbl_ResidentData[[#This Row],[Discharge '[mmm-yyyy']]]&gt;=U$4)))))</f>
        <v>-</v>
      </c>
      <c r="V137" s="121" t="str">
        <f ca="1">IF(V$4&gt;NOW(),"-",IF(ISBLANK(Tbl_ResidentData[[#This Row],[Enrollment '[mmm-yyyy']]]),"-",AND((Tbl_ResidentData[[#This Row],[Enrollment '[mmm-yyyy']]]&lt;=V$4),IF(ISBLANK(Tbl_ResidentData[[#This Row],[Discharge '[mmm-yyyy']]]),TRUE,(Tbl_ResidentData[[#This Row],[Discharge '[mmm-yyyy']]]&gt;=V$4)))))</f>
        <v>-</v>
      </c>
      <c r="W137" s="121" t="str">
        <f ca="1">IF(W$4&gt;NOW(),"-",IF(ISBLANK(Tbl_ResidentData[[#This Row],[Enrollment '[mmm-yyyy']]]),"-",AND((Tbl_ResidentData[[#This Row],[Enrollment '[mmm-yyyy']]]&lt;=W$4),IF(ISBLANK(Tbl_ResidentData[[#This Row],[Discharge '[mmm-yyyy']]]),TRUE,(Tbl_ResidentData[[#This Row],[Discharge '[mmm-yyyy']]]&gt;=W$4)))))</f>
        <v>-</v>
      </c>
      <c r="X137" s="121" t="str">
        <f ca="1">IF(X$4&gt;NOW(),"-",IF(ISBLANK(Tbl_ResidentData[[#This Row],[Enrollment '[mmm-yyyy']]]),"-",AND((Tbl_ResidentData[[#This Row],[Enrollment '[mmm-yyyy']]]&lt;=X$4),IF(ISBLANK(Tbl_ResidentData[[#This Row],[Discharge '[mmm-yyyy']]]),TRUE,(Tbl_ResidentData[[#This Row],[Discharge '[mmm-yyyy']]]&gt;=X$4)))))</f>
        <v>-</v>
      </c>
      <c r="Y137" s="121" t="str">
        <f ca="1">IF(Y$4&gt;NOW(),"-",IF(ISBLANK(Tbl_ResidentData[[#This Row],[Enrollment '[mmm-yyyy']]]),"-",AND((Tbl_ResidentData[[#This Row],[Enrollment '[mmm-yyyy']]]&lt;=Y$4),IF(ISBLANK(Tbl_ResidentData[[#This Row],[Discharge '[mmm-yyyy']]]),TRUE,(Tbl_ResidentData[[#This Row],[Discharge '[mmm-yyyy']]]&gt;=Y$4)))))</f>
        <v>-</v>
      </c>
      <c r="Z137" s="121" t="str">
        <f ca="1">IF(Z$4&gt;NOW(),"-",IF(ISBLANK(Tbl_ResidentData[[#This Row],[Enrollment '[mmm-yyyy']]]),"-",AND((Tbl_ResidentData[[#This Row],[Enrollment '[mmm-yyyy']]]&lt;=Z$4),IF(ISBLANK(Tbl_ResidentData[[#This Row],[Discharge '[mmm-yyyy']]]),TRUE,(Tbl_ResidentData[[#This Row],[Discharge '[mmm-yyyy']]]&gt;=Z$4)))))</f>
        <v>-</v>
      </c>
      <c r="AA137" s="121" t="str">
        <f ca="1">IF(AA$4&gt;NOW(),"-",IF(ISBLANK(Tbl_ResidentData[[#This Row],[Enrollment '[mmm-yyyy']]]),"-",AND((Tbl_ResidentData[[#This Row],[Enrollment '[mmm-yyyy']]]&lt;=AA$4),IF(ISBLANK(Tbl_ResidentData[[#This Row],[Discharge '[mmm-yyyy']]]),TRUE,(Tbl_ResidentData[[#This Row],[Discharge '[mmm-yyyy']]]&gt;=AA$4)))))</f>
        <v>-</v>
      </c>
      <c r="AB137" s="121" t="str">
        <f ca="1">IF(AB$4&gt;NOW(),"-",IF(ISBLANK(Tbl_ResidentData[[#This Row],[Enrollment '[mmm-yyyy']]]),"-",AND((Tbl_ResidentData[[#This Row],[Enrollment '[mmm-yyyy']]]&lt;=AB$4),IF(ISBLANK(Tbl_ResidentData[[#This Row],[Discharge '[mmm-yyyy']]]),TRUE,(Tbl_ResidentData[[#This Row],[Discharge '[mmm-yyyy']]]&gt;=AB$4)))))</f>
        <v>-</v>
      </c>
      <c r="AC137" s="121" t="str">
        <f ca="1">IF(AC$4&gt;NOW(),"-",IF(ISBLANK(Tbl_ResidentData[[#This Row],[Enrollment '[mmm-yyyy']]]),"-",AND((Tbl_ResidentData[[#This Row],[Enrollment '[mmm-yyyy']]]&lt;=AC$4),IF(ISBLANK(Tbl_ResidentData[[#This Row],[Discharge '[mmm-yyyy']]]),TRUE,(Tbl_ResidentData[[#This Row],[Discharge '[mmm-yyyy']]]&gt;=AC$4)))))</f>
        <v>-</v>
      </c>
      <c r="AD137" s="121" t="str">
        <f ca="1">IF(AD$4&gt;NOW(),"-",IF(ISBLANK(Tbl_ResidentData[[#This Row],[Enrollment '[mmm-yyyy']]]),"-",AND((Tbl_ResidentData[[#This Row],[Enrollment '[mmm-yyyy']]]&lt;=AD$4),IF(ISBLANK(Tbl_ResidentData[[#This Row],[Discharge '[mmm-yyyy']]]),TRUE,(Tbl_ResidentData[[#This Row],[Discharge '[mmm-yyyy']]]&gt;=AD$4)))))</f>
        <v>-</v>
      </c>
      <c r="AE137" s="121" t="str">
        <f ca="1">IF(AE$4&gt;NOW(),"-",IF(ISBLANK(Tbl_ResidentData[[#This Row],[Enrollment '[mmm-yyyy']]]),"-",AND((Tbl_ResidentData[[#This Row],[Enrollment '[mmm-yyyy']]]&lt;=AE$4),IF(ISBLANK(Tbl_ResidentData[[#This Row],[Discharge '[mmm-yyyy']]]),TRUE,(Tbl_ResidentData[[#This Row],[Discharge '[mmm-yyyy']]]&gt;=AE$4)))))</f>
        <v>-</v>
      </c>
      <c r="AF137" s="121" t="str">
        <f ca="1">IF(AF$4&gt;NOW(),"-",IF(ISBLANK(Tbl_ResidentData[[#This Row],[Enrollment '[mmm-yyyy']]]),"-",AND((Tbl_ResidentData[[#This Row],[Enrollment '[mmm-yyyy']]]&lt;=AF$4),IF(ISBLANK(Tbl_ResidentData[[#This Row],[Discharge '[mmm-yyyy']]]),TRUE,(Tbl_ResidentData[[#This Row],[Discharge '[mmm-yyyy']]]&gt;=AF$4)))))</f>
        <v>-</v>
      </c>
      <c r="AG137" s="121" t="str">
        <f ca="1">IF(AG$4&gt;NOW(),"-",IF(ISBLANK(Tbl_ResidentData[[#This Row],[Enrollment '[mmm-yyyy']]]),"-",AND((Tbl_ResidentData[[#This Row],[Enrollment '[mmm-yyyy']]]&lt;=AG$4),IF(ISBLANK(Tbl_ResidentData[[#This Row],[Discharge '[mmm-yyyy']]]),TRUE,(Tbl_ResidentData[[#This Row],[Discharge '[mmm-yyyy']]]&gt;=AG$4)))))</f>
        <v>-</v>
      </c>
      <c r="AH137" s="121" t="str">
        <f ca="1">IF(AH$4&gt;NOW(),"-",IF(ISBLANK(Tbl_ResidentData[[#This Row],[Enrollment '[mmm-yyyy']]]),"-",AND((Tbl_ResidentData[[#This Row],[Enrollment '[mmm-yyyy']]]&lt;=AH$4),IF(ISBLANK(Tbl_ResidentData[[#This Row],[Discharge '[mmm-yyyy']]]),TRUE,(Tbl_ResidentData[[#This Row],[Discharge '[mmm-yyyy']]]&gt;=AH$4)))))</f>
        <v>-</v>
      </c>
      <c r="AI137" s="121" t="str">
        <f ca="1">IF(AI$4&gt;NOW(),"-",IF(ISBLANK(Tbl_ResidentData[[#This Row],[Enrollment '[mmm-yyyy']]]),"-",AND((Tbl_ResidentData[[#This Row],[Enrollment '[mmm-yyyy']]]&lt;=AI$4),IF(ISBLANK(Tbl_ResidentData[[#This Row],[Discharge '[mmm-yyyy']]]),TRUE,(Tbl_ResidentData[[#This Row],[Discharge '[mmm-yyyy']]]&gt;=AI$4)))))</f>
        <v>-</v>
      </c>
      <c r="AJ137" s="121" t="str">
        <f ca="1">IF(AJ$4&gt;NOW(),"-",IF(ISBLANK(Tbl_ResidentData[[#This Row],[Enrollment '[mmm-yyyy']]]),"-",AND((Tbl_ResidentData[[#This Row],[Enrollment '[mmm-yyyy']]]&lt;=AJ$4),IF(ISBLANK(Tbl_ResidentData[[#This Row],[Discharge '[mmm-yyyy']]]),TRUE,(Tbl_ResidentData[[#This Row],[Discharge '[mmm-yyyy']]]&gt;=AJ$4)))))</f>
        <v>-</v>
      </c>
      <c r="AK137" s="121" t="str">
        <f ca="1">IF(AK$4&gt;NOW(),"-",IF(ISBLANK(Tbl_ResidentData[[#This Row],[Enrollment '[mmm-yyyy']]]),"-",AND((Tbl_ResidentData[[#This Row],[Enrollment '[mmm-yyyy']]]&lt;=AK$4),IF(ISBLANK(Tbl_ResidentData[[#This Row],[Discharge '[mmm-yyyy']]]),TRUE,(Tbl_ResidentData[[#This Row],[Discharge '[mmm-yyyy']]]&gt;=AK$4)))))</f>
        <v>-</v>
      </c>
      <c r="AL137" s="121" t="str">
        <f ca="1">IF(AL$4&gt;NOW(),"-",IF(ISBLANK(Tbl_ResidentData[[#This Row],[Enrollment '[mmm-yyyy']]]),"-",AND((Tbl_ResidentData[[#This Row],[Enrollment '[mmm-yyyy']]]&lt;=AL$4),IF(ISBLANK(Tbl_ResidentData[[#This Row],[Discharge '[mmm-yyyy']]]),TRUE,(Tbl_ResidentData[[#This Row],[Discharge '[mmm-yyyy']]]&gt;=AL$4)))))</f>
        <v>-</v>
      </c>
      <c r="AM137" s="121" t="str">
        <f ca="1">IF(AM$4&gt;NOW(),"-",IF(ISBLANK(Tbl_ResidentData[[#This Row],[Enrollment '[mmm-yyyy']]]),"-",AND((Tbl_ResidentData[[#This Row],[Enrollment '[mmm-yyyy']]]&lt;=AM$4),IF(ISBLANK(Tbl_ResidentData[[#This Row],[Discharge '[mmm-yyyy']]]),TRUE,(Tbl_ResidentData[[#This Row],[Discharge '[mmm-yyyy']]]&gt;=AM$4)))))</f>
        <v>-</v>
      </c>
      <c r="AN137" s="121" t="str">
        <f ca="1">IF(AN$4&gt;NOW(),"-",IF(ISBLANK(Tbl_ResidentData[[#This Row],[Enrollment '[mmm-yyyy']]]),"-",AND((Tbl_ResidentData[[#This Row],[Enrollment '[mmm-yyyy']]]&lt;=AN$4),IF(ISBLANK(Tbl_ResidentData[[#This Row],[Discharge '[mmm-yyyy']]]),TRUE,(Tbl_ResidentData[[#This Row],[Discharge '[mmm-yyyy']]]&gt;=AN$4)))))</f>
        <v>-</v>
      </c>
      <c r="AO137" s="121" t="str">
        <f ca="1">IF(AO$4&gt;NOW(),"-",IF(ISBLANK(Tbl_ResidentData[[#This Row],[Enrollment '[mmm-yyyy']]]),"-",AND((Tbl_ResidentData[[#This Row],[Enrollment '[mmm-yyyy']]]&lt;=AO$4),IF(ISBLANK(Tbl_ResidentData[[#This Row],[Discharge '[mmm-yyyy']]]),TRUE,(Tbl_ResidentData[[#This Row],[Discharge '[mmm-yyyy']]]&gt;=AO$4)))))</f>
        <v>-</v>
      </c>
      <c r="AP137" s="121" t="str">
        <f ca="1">IF(AP$4&gt;NOW(),"-",IF(ISBLANK(Tbl_ResidentData[[#This Row],[Enrollment '[mmm-yyyy']]]),"-",AND((Tbl_ResidentData[[#This Row],[Enrollment '[mmm-yyyy']]]&lt;=AP$4),IF(ISBLANK(Tbl_ResidentData[[#This Row],[Discharge '[mmm-yyyy']]]),TRUE,(Tbl_ResidentData[[#This Row],[Discharge '[mmm-yyyy']]]&gt;=AP$4)))))</f>
        <v>-</v>
      </c>
      <c r="AQ137" s="121" t="str">
        <f ca="1">IF(AQ$4&gt;NOW(),"-",IF(ISBLANK(Tbl_ResidentData[[#This Row],[Enrollment '[mmm-yyyy']]]),"-",AND((Tbl_ResidentData[[#This Row],[Enrollment '[mmm-yyyy']]]&lt;=AQ$4),IF(ISBLANK(Tbl_ResidentData[[#This Row],[Discharge '[mmm-yyyy']]]),TRUE,(Tbl_ResidentData[[#This Row],[Discharge '[mmm-yyyy']]]&gt;=AQ$4)))))</f>
        <v>-</v>
      </c>
      <c r="AR137" s="122" t="str">
        <f ca="1">IF(AR$4&gt;NOW(),"-",IF(ISBLANK(Tbl_ResidentData[[#This Row],[Enrollment '[mmm-yyyy']]]),"-",AND((Tbl_ResidentData[[#This Row],[Enrollment '[mmm-yyyy']]]&lt;=AR$4),IF(ISBLANK(Tbl_ResidentData[[#This Row],[Discharge '[mmm-yyyy']]]),TRUE,(Tbl_ResidentData[[#This Row],[Discharge '[mmm-yyyy']]]&gt;=AR$4)))))</f>
        <v>-</v>
      </c>
      <c r="AS13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7" s="120" t="b">
        <f ca="1">AND(Tbl_ResidentData[[#This Row],[PRN Med Started]]&lt;&gt;"",Tbl_ResidentData[[#This Row],[PRN Med Started]]&lt;=NOW(),Tbl_ResidentData[[#This Row],[PRN Med Started]]&lt;=AS$4,OR(Tbl_ResidentData[[#This Row],[PRN Med Discontinued]]&gt;AS$4,ISBLANK(Tbl_ResidentData[[#This Row],[PRN Med Discontinued]])))</f>
        <v>0</v>
      </c>
      <c r="BR137" s="121" t="b">
        <f ca="1">AND(Tbl_ResidentData[[#This Row],[PRN Med Started]]&lt;&gt;"",Tbl_ResidentData[[#This Row],[PRN Med Started]]&lt;=NOW(),Tbl_ResidentData[[#This Row],[PRN Med Started]]&lt;=AT$4,OR(Tbl_ResidentData[[#This Row],[PRN Med Discontinued]]&gt;AT$4,ISBLANK(Tbl_ResidentData[[#This Row],[PRN Med Discontinued]])))</f>
        <v>0</v>
      </c>
      <c r="BS137" s="121" t="b">
        <f ca="1">AND(Tbl_ResidentData[[#This Row],[PRN Med Started]]&lt;&gt;"",Tbl_ResidentData[[#This Row],[PRN Med Started]]&lt;=NOW(),Tbl_ResidentData[[#This Row],[PRN Med Started]]&lt;=AU$4,OR(Tbl_ResidentData[[#This Row],[PRN Med Discontinued]]&gt;AU$4,ISBLANK(Tbl_ResidentData[[#This Row],[PRN Med Discontinued]])))</f>
        <v>0</v>
      </c>
      <c r="BT137" s="121" t="b">
        <f ca="1">AND(Tbl_ResidentData[[#This Row],[PRN Med Started]]&lt;&gt;"",Tbl_ResidentData[[#This Row],[PRN Med Started]]&lt;=NOW(),Tbl_ResidentData[[#This Row],[PRN Med Started]]&lt;=AV$4,OR(Tbl_ResidentData[[#This Row],[PRN Med Discontinued]]&gt;AV$4,ISBLANK(Tbl_ResidentData[[#This Row],[PRN Med Discontinued]])))</f>
        <v>0</v>
      </c>
      <c r="BU137" s="121" t="b">
        <f ca="1">AND(Tbl_ResidentData[[#This Row],[PRN Med Started]]&lt;&gt;"",Tbl_ResidentData[[#This Row],[PRN Med Started]]&lt;=NOW(),Tbl_ResidentData[[#This Row],[PRN Med Started]]&lt;=AW$4,OR(Tbl_ResidentData[[#This Row],[PRN Med Discontinued]]&gt;AW$4,ISBLANK(Tbl_ResidentData[[#This Row],[PRN Med Discontinued]])))</f>
        <v>0</v>
      </c>
      <c r="BV137" s="121" t="b">
        <f ca="1">AND(Tbl_ResidentData[[#This Row],[PRN Med Started]]&lt;&gt;"",Tbl_ResidentData[[#This Row],[PRN Med Started]]&lt;=NOW(),Tbl_ResidentData[[#This Row],[PRN Med Started]]&lt;=AX$4,OR(Tbl_ResidentData[[#This Row],[PRN Med Discontinued]]&gt;AX$4,ISBLANK(Tbl_ResidentData[[#This Row],[PRN Med Discontinued]])))</f>
        <v>0</v>
      </c>
      <c r="BW137" s="121" t="b">
        <f ca="1">AND(Tbl_ResidentData[[#This Row],[PRN Med Started]]&lt;&gt;"",Tbl_ResidentData[[#This Row],[PRN Med Started]]&lt;=NOW(),Tbl_ResidentData[[#This Row],[PRN Med Started]]&lt;=AY$4,OR(Tbl_ResidentData[[#This Row],[PRN Med Discontinued]]&gt;AY$4,ISBLANK(Tbl_ResidentData[[#This Row],[PRN Med Discontinued]])))</f>
        <v>0</v>
      </c>
      <c r="BX137" s="121" t="b">
        <f ca="1">AND(Tbl_ResidentData[[#This Row],[PRN Med Started]]&lt;&gt;"",Tbl_ResidentData[[#This Row],[PRN Med Started]]&lt;=NOW(),Tbl_ResidentData[[#This Row],[PRN Med Started]]&lt;=AZ$4,OR(Tbl_ResidentData[[#This Row],[PRN Med Discontinued]]&gt;AZ$4,ISBLANK(Tbl_ResidentData[[#This Row],[PRN Med Discontinued]])))</f>
        <v>0</v>
      </c>
      <c r="BY137" s="121" t="b">
        <f ca="1">AND(Tbl_ResidentData[[#This Row],[PRN Med Started]]&lt;&gt;"",Tbl_ResidentData[[#This Row],[PRN Med Started]]&lt;=NOW(),Tbl_ResidentData[[#This Row],[PRN Med Started]]&lt;=BA$4,OR(Tbl_ResidentData[[#This Row],[PRN Med Discontinued]]&gt;BA$4,ISBLANK(Tbl_ResidentData[[#This Row],[PRN Med Discontinued]])))</f>
        <v>0</v>
      </c>
      <c r="BZ137" s="121" t="b">
        <f ca="1">AND(Tbl_ResidentData[[#This Row],[PRN Med Started]]&lt;&gt;"",Tbl_ResidentData[[#This Row],[PRN Med Started]]&lt;=NOW(),Tbl_ResidentData[[#This Row],[PRN Med Started]]&lt;=BB$4,OR(Tbl_ResidentData[[#This Row],[PRN Med Discontinued]]&gt;BB$4,ISBLANK(Tbl_ResidentData[[#This Row],[PRN Med Discontinued]])))</f>
        <v>0</v>
      </c>
      <c r="CA137" s="121" t="b">
        <f ca="1">AND(Tbl_ResidentData[[#This Row],[PRN Med Started]]&lt;&gt;"",Tbl_ResidentData[[#This Row],[PRN Med Started]]&lt;=NOW(),Tbl_ResidentData[[#This Row],[PRN Med Started]]&lt;=BC$4,OR(Tbl_ResidentData[[#This Row],[PRN Med Discontinued]]&gt;BC$4,ISBLANK(Tbl_ResidentData[[#This Row],[PRN Med Discontinued]])))</f>
        <v>0</v>
      </c>
      <c r="CB137" s="121" t="b">
        <f ca="1">AND(Tbl_ResidentData[[#This Row],[PRN Med Started]]&lt;&gt;"",Tbl_ResidentData[[#This Row],[PRN Med Started]]&lt;=NOW(),Tbl_ResidentData[[#This Row],[PRN Med Started]]&lt;=BD$4,OR(Tbl_ResidentData[[#This Row],[PRN Med Discontinued]]&gt;BD$4,ISBLANK(Tbl_ResidentData[[#This Row],[PRN Med Discontinued]])))</f>
        <v>0</v>
      </c>
      <c r="CC137" s="121" t="b">
        <f ca="1">AND(Tbl_ResidentData[[#This Row],[PRN Med Started]]&lt;&gt;"",Tbl_ResidentData[[#This Row],[PRN Med Started]]&lt;=NOW(),Tbl_ResidentData[[#This Row],[PRN Med Started]]&lt;=BE$4,OR(Tbl_ResidentData[[#This Row],[PRN Med Discontinued]]&gt;BE$4,ISBLANK(Tbl_ResidentData[[#This Row],[PRN Med Discontinued]])))</f>
        <v>0</v>
      </c>
      <c r="CD137" s="121" t="b">
        <f ca="1">AND(Tbl_ResidentData[[#This Row],[PRN Med Started]]&lt;&gt;"",Tbl_ResidentData[[#This Row],[PRN Med Started]]&lt;=NOW(),Tbl_ResidentData[[#This Row],[PRN Med Started]]&lt;=BF$4,OR(Tbl_ResidentData[[#This Row],[PRN Med Discontinued]]&gt;BF$4,ISBLANK(Tbl_ResidentData[[#This Row],[PRN Med Discontinued]])))</f>
        <v>0</v>
      </c>
      <c r="CE137" s="121" t="b">
        <f ca="1">AND(Tbl_ResidentData[[#This Row],[PRN Med Started]]&lt;&gt;"",Tbl_ResidentData[[#This Row],[PRN Med Started]]&lt;=NOW(),Tbl_ResidentData[[#This Row],[PRN Med Started]]&lt;=BG$4,OR(Tbl_ResidentData[[#This Row],[PRN Med Discontinued]]&gt;BG$4,ISBLANK(Tbl_ResidentData[[#This Row],[PRN Med Discontinued]])))</f>
        <v>0</v>
      </c>
      <c r="CF137" s="121" t="b">
        <f ca="1">AND(Tbl_ResidentData[[#This Row],[PRN Med Started]]&lt;&gt;"",Tbl_ResidentData[[#This Row],[PRN Med Started]]&lt;=NOW(),Tbl_ResidentData[[#This Row],[PRN Med Started]]&lt;=BH$4,OR(Tbl_ResidentData[[#This Row],[PRN Med Discontinued]]&gt;BH$4,ISBLANK(Tbl_ResidentData[[#This Row],[PRN Med Discontinued]])))</f>
        <v>0</v>
      </c>
      <c r="CG137" s="121" t="b">
        <f ca="1">AND(Tbl_ResidentData[[#This Row],[PRN Med Started]]&lt;&gt;"",Tbl_ResidentData[[#This Row],[PRN Med Started]]&lt;=NOW(),Tbl_ResidentData[[#This Row],[PRN Med Started]]&lt;=BI$4,OR(Tbl_ResidentData[[#This Row],[PRN Med Discontinued]]&gt;BI$4,ISBLANK(Tbl_ResidentData[[#This Row],[PRN Med Discontinued]])))</f>
        <v>0</v>
      </c>
      <c r="CH137" s="121" t="b">
        <f ca="1">AND(Tbl_ResidentData[[#This Row],[PRN Med Started]]&lt;&gt;"",Tbl_ResidentData[[#This Row],[PRN Med Started]]&lt;=NOW(),Tbl_ResidentData[[#This Row],[PRN Med Started]]&lt;=BJ$4,OR(Tbl_ResidentData[[#This Row],[PRN Med Discontinued]]&gt;BJ$4,ISBLANK(Tbl_ResidentData[[#This Row],[PRN Med Discontinued]])))</f>
        <v>0</v>
      </c>
      <c r="CI137" s="121" t="b">
        <f ca="1">AND(Tbl_ResidentData[[#This Row],[PRN Med Started]]&lt;&gt;"",Tbl_ResidentData[[#This Row],[PRN Med Started]]&lt;=NOW(),Tbl_ResidentData[[#This Row],[PRN Med Started]]&lt;=BK$4,OR(Tbl_ResidentData[[#This Row],[PRN Med Discontinued]]&gt;BK$4,ISBLANK(Tbl_ResidentData[[#This Row],[PRN Med Discontinued]])))</f>
        <v>0</v>
      </c>
      <c r="CJ137" s="121" t="b">
        <f ca="1">AND(Tbl_ResidentData[[#This Row],[PRN Med Started]]&lt;&gt;"",Tbl_ResidentData[[#This Row],[PRN Med Started]]&lt;=NOW(),Tbl_ResidentData[[#This Row],[PRN Med Started]]&lt;=BL$4,OR(Tbl_ResidentData[[#This Row],[PRN Med Discontinued]]&gt;BL$4,ISBLANK(Tbl_ResidentData[[#This Row],[PRN Med Discontinued]])))</f>
        <v>0</v>
      </c>
      <c r="CK137" s="121" t="b">
        <f ca="1">AND(Tbl_ResidentData[[#This Row],[PRN Med Started]]&lt;&gt;"",Tbl_ResidentData[[#This Row],[PRN Med Started]]&lt;=NOW(),Tbl_ResidentData[[#This Row],[PRN Med Started]]&lt;=BM$4,OR(Tbl_ResidentData[[#This Row],[PRN Med Discontinued]]&gt;BM$4,ISBLANK(Tbl_ResidentData[[#This Row],[PRN Med Discontinued]])))</f>
        <v>0</v>
      </c>
      <c r="CL137" s="121" t="b">
        <f ca="1">AND(Tbl_ResidentData[[#This Row],[PRN Med Started]]&lt;&gt;"",Tbl_ResidentData[[#This Row],[PRN Med Started]]&lt;=NOW(),Tbl_ResidentData[[#This Row],[PRN Med Started]]&lt;=BN$4,OR(Tbl_ResidentData[[#This Row],[PRN Med Discontinued]]&gt;BN$4,ISBLANK(Tbl_ResidentData[[#This Row],[PRN Med Discontinued]])))</f>
        <v>0</v>
      </c>
      <c r="CM137" s="121" t="b">
        <f ca="1">AND(Tbl_ResidentData[[#This Row],[PRN Med Started]]&lt;&gt;"",Tbl_ResidentData[[#This Row],[PRN Med Started]]&lt;=NOW(),Tbl_ResidentData[[#This Row],[PRN Med Started]]&lt;=BO$4,OR(Tbl_ResidentData[[#This Row],[PRN Med Discontinued]]&gt;BO$4,ISBLANK(Tbl_ResidentData[[#This Row],[PRN Med Discontinued]])))</f>
        <v>0</v>
      </c>
      <c r="CN137" s="122" t="b">
        <f ca="1">AND(Tbl_ResidentData[[#This Row],[PRN Med Started]]&lt;&gt;"",Tbl_ResidentData[[#This Row],[PRN Med Started]]&lt;=NOW(),Tbl_ResidentData[[#This Row],[PRN Med Started]]&lt;=BP$4,OR(Tbl_ResidentData[[#This Row],[PRN Med Discontinued]]&gt;BP$4,ISBLANK(Tbl_ResidentData[[#This Row],[PRN Med Discontinued]])))</f>
        <v>0</v>
      </c>
      <c r="CO137" s="120">
        <f ca="1">IF(OR(Tbl_ResidentData[[#This Row],[S1]]=TRUE,Tbl_ResidentData[[#This Row],[P1]]=TRUE),1,0)</f>
        <v>0</v>
      </c>
      <c r="CP137" s="121">
        <f ca="1">IF(OR(Tbl_ResidentData[[#This Row],[S2]]=TRUE,Tbl_ResidentData[[#This Row],[P2]]=TRUE),1,0)</f>
        <v>0</v>
      </c>
      <c r="CQ137" s="121">
        <f ca="1">IF(OR(Tbl_ResidentData[[#This Row],[S3]]=TRUE,Tbl_ResidentData[[#This Row],[P3]]=TRUE),1,0)</f>
        <v>0</v>
      </c>
      <c r="CR137" s="120">
        <f ca="1">IF(OR(Tbl_ResidentData[[#This Row],[S4]]=TRUE,Tbl_ResidentData[[#This Row],[P4]]=TRUE),1,0)</f>
        <v>0</v>
      </c>
      <c r="CS137" s="120">
        <f ca="1">IF(OR(Tbl_ResidentData[[#This Row],[S5]]=TRUE,Tbl_ResidentData[[#This Row],[P5]]=TRUE),1,0)</f>
        <v>0</v>
      </c>
      <c r="CT137" s="120">
        <f ca="1">IF(OR(Tbl_ResidentData[[#This Row],[S6]]=TRUE,Tbl_ResidentData[[#This Row],[P6]]=TRUE),1,0)</f>
        <v>0</v>
      </c>
      <c r="CU137" s="120">
        <f ca="1">IF(OR(Tbl_ResidentData[[#This Row],[S7]]=TRUE,Tbl_ResidentData[[#This Row],[P7]]=TRUE),1,0)</f>
        <v>0</v>
      </c>
      <c r="CV137" s="120">
        <f ca="1">IF(OR(Tbl_ResidentData[[#This Row],[S8]]=TRUE,Tbl_ResidentData[[#This Row],[P8]]=TRUE),1,0)</f>
        <v>0</v>
      </c>
      <c r="CW137" s="120">
        <f ca="1">IF(OR(Tbl_ResidentData[[#This Row],[S9]]=TRUE,Tbl_ResidentData[[#This Row],[P9]]=TRUE),1,0)</f>
        <v>0</v>
      </c>
      <c r="CX137" s="120">
        <f ca="1">IF(OR(Tbl_ResidentData[[#This Row],[S10]]=TRUE,Tbl_ResidentData[[#This Row],[P10]]=TRUE),1,0)</f>
        <v>0</v>
      </c>
      <c r="CY137" s="120">
        <f ca="1">IF(OR(Tbl_ResidentData[[#This Row],[S11]]=TRUE,Tbl_ResidentData[[#This Row],[P11]]=TRUE),1,0)</f>
        <v>0</v>
      </c>
      <c r="CZ137" s="120">
        <f ca="1">IF(OR(Tbl_ResidentData[[#This Row],[S12]]=TRUE,Tbl_ResidentData[[#This Row],[P12]]=TRUE),1,0)</f>
        <v>0</v>
      </c>
      <c r="DA137" s="120">
        <f ca="1">IF(OR(Tbl_ResidentData[[#This Row],[S13]]=TRUE,Tbl_ResidentData[[#This Row],[P13]]=TRUE),1,0)</f>
        <v>0</v>
      </c>
      <c r="DB137" s="120">
        <f ca="1">IF(OR(Tbl_ResidentData[[#This Row],[S14]]=TRUE,Tbl_ResidentData[[#This Row],[P14]]=TRUE),1,0)</f>
        <v>0</v>
      </c>
      <c r="DC137" s="120">
        <f ca="1">IF(OR(Tbl_ResidentData[[#This Row],[S15]]=TRUE,Tbl_ResidentData[[#This Row],[P15]]=TRUE),1,0)</f>
        <v>0</v>
      </c>
      <c r="DD137" s="120">
        <f ca="1">IF(OR(Tbl_ResidentData[[#This Row],[S16]]=TRUE,Tbl_ResidentData[[#This Row],[P16]]=TRUE),1,0)</f>
        <v>0</v>
      </c>
      <c r="DE137" s="120">
        <f ca="1">IF(OR(Tbl_ResidentData[[#This Row],[S17]]=TRUE,Tbl_ResidentData[[#This Row],[P17]]=TRUE),1,0)</f>
        <v>0</v>
      </c>
      <c r="DF137" s="120">
        <f ca="1">IF(OR(Tbl_ResidentData[[#This Row],[S18]]=TRUE,Tbl_ResidentData[[#This Row],[P18]]=TRUE),1,0)</f>
        <v>0</v>
      </c>
      <c r="DG137" s="120">
        <f ca="1">IF(OR(Tbl_ResidentData[[#This Row],[S19]]=TRUE,Tbl_ResidentData[[#This Row],[P19]]=TRUE),1,0)</f>
        <v>0</v>
      </c>
      <c r="DH137" s="120">
        <f ca="1">IF(OR(Tbl_ResidentData[[#This Row],[S20]]=TRUE,Tbl_ResidentData[[#This Row],[P20]]=TRUE),1,0)</f>
        <v>0</v>
      </c>
      <c r="DI137" s="120">
        <f ca="1">IF(OR(Tbl_ResidentData[[#This Row],[S21]]=TRUE,Tbl_ResidentData[[#This Row],[P21]]=TRUE),1,0)</f>
        <v>0</v>
      </c>
      <c r="DJ137" s="120">
        <f ca="1">IF(OR(Tbl_ResidentData[[#This Row],[S22]]=TRUE,Tbl_ResidentData[[#This Row],[P22]]=TRUE),1,0)</f>
        <v>0</v>
      </c>
      <c r="DK137" s="120">
        <f ca="1">IF(OR(Tbl_ResidentData[[#This Row],[S23]]=TRUE,Tbl_ResidentData[[#This Row],[P23]]=TRUE),1,0)</f>
        <v>0</v>
      </c>
      <c r="DL137" s="120">
        <f ca="1">IF(OR(Tbl_ResidentData[[#This Row],[S24]]=TRUE,Tbl_ResidentData[[#This Row],[P24]]=TRUE),1,0)</f>
        <v>0</v>
      </c>
      <c r="DM137" s="123" t="str">
        <f ca="1">IFERROR(INDEX($CO$4:$DL$4,MATCH(TRUE,INDEX((Tbl_ResidentData[[#This Row],[Over1]:[Over24]]&lt;&gt;0),0),0)),"")</f>
        <v/>
      </c>
      <c r="DN137" s="133" t="str">
        <f>IFERROR(INDEX(Tbl_PDSAData[Last DRT],MATCH(Tbl_ResidentData[Resident Name '[last, first']],Tbl_PDSAData[Resident Name (last, first)],0)),"")</f>
        <v/>
      </c>
      <c r="DO137" s="222" t="str">
        <f>IFERROR(INDEX(Tbl_PDSAData[Last MR],MATCH(Tbl_ResidentData[Resident Name '[last, first']],Tbl_PDSAData[Resident Name (last, first)],0)),"")</f>
        <v/>
      </c>
    </row>
    <row r="138" spans="1:119" x14ac:dyDescent="0.25">
      <c r="A138" s="179"/>
      <c r="B138" s="180"/>
      <c r="C138" s="180"/>
      <c r="D138" s="217"/>
      <c r="E138" s="179"/>
      <c r="F138" s="179"/>
      <c r="G138" s="181"/>
      <c r="H138" s="182"/>
      <c r="I138" s="185"/>
      <c r="J138" s="387"/>
      <c r="K138" s="178"/>
      <c r="L138" s="388"/>
      <c r="M138" s="185"/>
      <c r="N138" s="386"/>
      <c r="O138" s="178"/>
      <c r="P138" s="388"/>
      <c r="Q138" s="394"/>
      <c r="R138" s="388"/>
      <c r="S138" s="131" t="str">
        <f>IF(ISBLANK(Tbl_ResidentData[[#This Row],[Discharge '[mmm-yyyy']]]),IF(ISBLANK(Tbl_ResidentData[[#This Row],[Enrollment '[mmm-yyyy']]]),"","In Care Home"),"Discharged")</f>
        <v/>
      </c>
      <c r="T138" s="119" t="str">
        <f>IF(ISBLANK(Tbl_ResidentData[[#This Row],[Diagnosis (RAI)]]),IF(ISBLANK(Tbl_ResidentData[[#This Row],[Resident Name '[last, first']]]),"",0),IF(Tbl_ResidentData[[#This Row],[Diagnosis (RAI)]]="Other (see clinical notes)",0,1))</f>
        <v/>
      </c>
      <c r="U138" s="120" t="str">
        <f ca="1">IF(U$4&gt;NOW(),"-",IF(ISBLANK(Tbl_ResidentData[[#This Row],[Enrollment '[mmm-yyyy']]]),"-",AND((Tbl_ResidentData[[#This Row],[Enrollment '[mmm-yyyy']]]&lt;=U$4),IF(ISBLANK(Tbl_ResidentData[[#This Row],[Discharge '[mmm-yyyy']]]),TRUE,(Tbl_ResidentData[[#This Row],[Discharge '[mmm-yyyy']]]&gt;=U$4)))))</f>
        <v>-</v>
      </c>
      <c r="V138" s="121" t="str">
        <f ca="1">IF(V$4&gt;NOW(),"-",IF(ISBLANK(Tbl_ResidentData[[#This Row],[Enrollment '[mmm-yyyy']]]),"-",AND((Tbl_ResidentData[[#This Row],[Enrollment '[mmm-yyyy']]]&lt;=V$4),IF(ISBLANK(Tbl_ResidentData[[#This Row],[Discharge '[mmm-yyyy']]]),TRUE,(Tbl_ResidentData[[#This Row],[Discharge '[mmm-yyyy']]]&gt;=V$4)))))</f>
        <v>-</v>
      </c>
      <c r="W138" s="121" t="str">
        <f ca="1">IF(W$4&gt;NOW(),"-",IF(ISBLANK(Tbl_ResidentData[[#This Row],[Enrollment '[mmm-yyyy']]]),"-",AND((Tbl_ResidentData[[#This Row],[Enrollment '[mmm-yyyy']]]&lt;=W$4),IF(ISBLANK(Tbl_ResidentData[[#This Row],[Discharge '[mmm-yyyy']]]),TRUE,(Tbl_ResidentData[[#This Row],[Discharge '[mmm-yyyy']]]&gt;=W$4)))))</f>
        <v>-</v>
      </c>
      <c r="X138" s="121" t="str">
        <f ca="1">IF(X$4&gt;NOW(),"-",IF(ISBLANK(Tbl_ResidentData[[#This Row],[Enrollment '[mmm-yyyy']]]),"-",AND((Tbl_ResidentData[[#This Row],[Enrollment '[mmm-yyyy']]]&lt;=X$4),IF(ISBLANK(Tbl_ResidentData[[#This Row],[Discharge '[mmm-yyyy']]]),TRUE,(Tbl_ResidentData[[#This Row],[Discharge '[mmm-yyyy']]]&gt;=X$4)))))</f>
        <v>-</v>
      </c>
      <c r="Y138" s="121" t="str">
        <f ca="1">IF(Y$4&gt;NOW(),"-",IF(ISBLANK(Tbl_ResidentData[[#This Row],[Enrollment '[mmm-yyyy']]]),"-",AND((Tbl_ResidentData[[#This Row],[Enrollment '[mmm-yyyy']]]&lt;=Y$4),IF(ISBLANK(Tbl_ResidentData[[#This Row],[Discharge '[mmm-yyyy']]]),TRUE,(Tbl_ResidentData[[#This Row],[Discharge '[mmm-yyyy']]]&gt;=Y$4)))))</f>
        <v>-</v>
      </c>
      <c r="Z138" s="121" t="str">
        <f ca="1">IF(Z$4&gt;NOW(),"-",IF(ISBLANK(Tbl_ResidentData[[#This Row],[Enrollment '[mmm-yyyy']]]),"-",AND((Tbl_ResidentData[[#This Row],[Enrollment '[mmm-yyyy']]]&lt;=Z$4),IF(ISBLANK(Tbl_ResidentData[[#This Row],[Discharge '[mmm-yyyy']]]),TRUE,(Tbl_ResidentData[[#This Row],[Discharge '[mmm-yyyy']]]&gt;=Z$4)))))</f>
        <v>-</v>
      </c>
      <c r="AA138" s="121" t="str">
        <f ca="1">IF(AA$4&gt;NOW(),"-",IF(ISBLANK(Tbl_ResidentData[[#This Row],[Enrollment '[mmm-yyyy']]]),"-",AND((Tbl_ResidentData[[#This Row],[Enrollment '[mmm-yyyy']]]&lt;=AA$4),IF(ISBLANK(Tbl_ResidentData[[#This Row],[Discharge '[mmm-yyyy']]]),TRUE,(Tbl_ResidentData[[#This Row],[Discharge '[mmm-yyyy']]]&gt;=AA$4)))))</f>
        <v>-</v>
      </c>
      <c r="AB138" s="121" t="str">
        <f ca="1">IF(AB$4&gt;NOW(),"-",IF(ISBLANK(Tbl_ResidentData[[#This Row],[Enrollment '[mmm-yyyy']]]),"-",AND((Tbl_ResidentData[[#This Row],[Enrollment '[mmm-yyyy']]]&lt;=AB$4),IF(ISBLANK(Tbl_ResidentData[[#This Row],[Discharge '[mmm-yyyy']]]),TRUE,(Tbl_ResidentData[[#This Row],[Discharge '[mmm-yyyy']]]&gt;=AB$4)))))</f>
        <v>-</v>
      </c>
      <c r="AC138" s="121" t="str">
        <f ca="1">IF(AC$4&gt;NOW(),"-",IF(ISBLANK(Tbl_ResidentData[[#This Row],[Enrollment '[mmm-yyyy']]]),"-",AND((Tbl_ResidentData[[#This Row],[Enrollment '[mmm-yyyy']]]&lt;=AC$4),IF(ISBLANK(Tbl_ResidentData[[#This Row],[Discharge '[mmm-yyyy']]]),TRUE,(Tbl_ResidentData[[#This Row],[Discharge '[mmm-yyyy']]]&gt;=AC$4)))))</f>
        <v>-</v>
      </c>
      <c r="AD138" s="121" t="str">
        <f ca="1">IF(AD$4&gt;NOW(),"-",IF(ISBLANK(Tbl_ResidentData[[#This Row],[Enrollment '[mmm-yyyy']]]),"-",AND((Tbl_ResidentData[[#This Row],[Enrollment '[mmm-yyyy']]]&lt;=AD$4),IF(ISBLANK(Tbl_ResidentData[[#This Row],[Discharge '[mmm-yyyy']]]),TRUE,(Tbl_ResidentData[[#This Row],[Discharge '[mmm-yyyy']]]&gt;=AD$4)))))</f>
        <v>-</v>
      </c>
      <c r="AE138" s="121" t="str">
        <f ca="1">IF(AE$4&gt;NOW(),"-",IF(ISBLANK(Tbl_ResidentData[[#This Row],[Enrollment '[mmm-yyyy']]]),"-",AND((Tbl_ResidentData[[#This Row],[Enrollment '[mmm-yyyy']]]&lt;=AE$4),IF(ISBLANK(Tbl_ResidentData[[#This Row],[Discharge '[mmm-yyyy']]]),TRUE,(Tbl_ResidentData[[#This Row],[Discharge '[mmm-yyyy']]]&gt;=AE$4)))))</f>
        <v>-</v>
      </c>
      <c r="AF138" s="121" t="str">
        <f ca="1">IF(AF$4&gt;NOW(),"-",IF(ISBLANK(Tbl_ResidentData[[#This Row],[Enrollment '[mmm-yyyy']]]),"-",AND((Tbl_ResidentData[[#This Row],[Enrollment '[mmm-yyyy']]]&lt;=AF$4),IF(ISBLANK(Tbl_ResidentData[[#This Row],[Discharge '[mmm-yyyy']]]),TRUE,(Tbl_ResidentData[[#This Row],[Discharge '[mmm-yyyy']]]&gt;=AF$4)))))</f>
        <v>-</v>
      </c>
      <c r="AG138" s="121" t="str">
        <f ca="1">IF(AG$4&gt;NOW(),"-",IF(ISBLANK(Tbl_ResidentData[[#This Row],[Enrollment '[mmm-yyyy']]]),"-",AND((Tbl_ResidentData[[#This Row],[Enrollment '[mmm-yyyy']]]&lt;=AG$4),IF(ISBLANK(Tbl_ResidentData[[#This Row],[Discharge '[mmm-yyyy']]]),TRUE,(Tbl_ResidentData[[#This Row],[Discharge '[mmm-yyyy']]]&gt;=AG$4)))))</f>
        <v>-</v>
      </c>
      <c r="AH138" s="121" t="str">
        <f ca="1">IF(AH$4&gt;NOW(),"-",IF(ISBLANK(Tbl_ResidentData[[#This Row],[Enrollment '[mmm-yyyy']]]),"-",AND((Tbl_ResidentData[[#This Row],[Enrollment '[mmm-yyyy']]]&lt;=AH$4),IF(ISBLANK(Tbl_ResidentData[[#This Row],[Discharge '[mmm-yyyy']]]),TRUE,(Tbl_ResidentData[[#This Row],[Discharge '[mmm-yyyy']]]&gt;=AH$4)))))</f>
        <v>-</v>
      </c>
      <c r="AI138" s="121" t="str">
        <f ca="1">IF(AI$4&gt;NOW(),"-",IF(ISBLANK(Tbl_ResidentData[[#This Row],[Enrollment '[mmm-yyyy']]]),"-",AND((Tbl_ResidentData[[#This Row],[Enrollment '[mmm-yyyy']]]&lt;=AI$4),IF(ISBLANK(Tbl_ResidentData[[#This Row],[Discharge '[mmm-yyyy']]]),TRUE,(Tbl_ResidentData[[#This Row],[Discharge '[mmm-yyyy']]]&gt;=AI$4)))))</f>
        <v>-</v>
      </c>
      <c r="AJ138" s="121" t="str">
        <f ca="1">IF(AJ$4&gt;NOW(),"-",IF(ISBLANK(Tbl_ResidentData[[#This Row],[Enrollment '[mmm-yyyy']]]),"-",AND((Tbl_ResidentData[[#This Row],[Enrollment '[mmm-yyyy']]]&lt;=AJ$4),IF(ISBLANK(Tbl_ResidentData[[#This Row],[Discharge '[mmm-yyyy']]]),TRUE,(Tbl_ResidentData[[#This Row],[Discharge '[mmm-yyyy']]]&gt;=AJ$4)))))</f>
        <v>-</v>
      </c>
      <c r="AK138" s="121" t="str">
        <f ca="1">IF(AK$4&gt;NOW(),"-",IF(ISBLANK(Tbl_ResidentData[[#This Row],[Enrollment '[mmm-yyyy']]]),"-",AND((Tbl_ResidentData[[#This Row],[Enrollment '[mmm-yyyy']]]&lt;=AK$4),IF(ISBLANK(Tbl_ResidentData[[#This Row],[Discharge '[mmm-yyyy']]]),TRUE,(Tbl_ResidentData[[#This Row],[Discharge '[mmm-yyyy']]]&gt;=AK$4)))))</f>
        <v>-</v>
      </c>
      <c r="AL138" s="121" t="str">
        <f ca="1">IF(AL$4&gt;NOW(),"-",IF(ISBLANK(Tbl_ResidentData[[#This Row],[Enrollment '[mmm-yyyy']]]),"-",AND((Tbl_ResidentData[[#This Row],[Enrollment '[mmm-yyyy']]]&lt;=AL$4),IF(ISBLANK(Tbl_ResidentData[[#This Row],[Discharge '[mmm-yyyy']]]),TRUE,(Tbl_ResidentData[[#This Row],[Discharge '[mmm-yyyy']]]&gt;=AL$4)))))</f>
        <v>-</v>
      </c>
      <c r="AM138" s="121" t="str">
        <f ca="1">IF(AM$4&gt;NOW(),"-",IF(ISBLANK(Tbl_ResidentData[[#This Row],[Enrollment '[mmm-yyyy']]]),"-",AND((Tbl_ResidentData[[#This Row],[Enrollment '[mmm-yyyy']]]&lt;=AM$4),IF(ISBLANK(Tbl_ResidentData[[#This Row],[Discharge '[mmm-yyyy']]]),TRUE,(Tbl_ResidentData[[#This Row],[Discharge '[mmm-yyyy']]]&gt;=AM$4)))))</f>
        <v>-</v>
      </c>
      <c r="AN138" s="121" t="str">
        <f ca="1">IF(AN$4&gt;NOW(),"-",IF(ISBLANK(Tbl_ResidentData[[#This Row],[Enrollment '[mmm-yyyy']]]),"-",AND((Tbl_ResidentData[[#This Row],[Enrollment '[mmm-yyyy']]]&lt;=AN$4),IF(ISBLANK(Tbl_ResidentData[[#This Row],[Discharge '[mmm-yyyy']]]),TRUE,(Tbl_ResidentData[[#This Row],[Discharge '[mmm-yyyy']]]&gt;=AN$4)))))</f>
        <v>-</v>
      </c>
      <c r="AO138" s="121" t="str">
        <f ca="1">IF(AO$4&gt;NOW(),"-",IF(ISBLANK(Tbl_ResidentData[[#This Row],[Enrollment '[mmm-yyyy']]]),"-",AND((Tbl_ResidentData[[#This Row],[Enrollment '[mmm-yyyy']]]&lt;=AO$4),IF(ISBLANK(Tbl_ResidentData[[#This Row],[Discharge '[mmm-yyyy']]]),TRUE,(Tbl_ResidentData[[#This Row],[Discharge '[mmm-yyyy']]]&gt;=AO$4)))))</f>
        <v>-</v>
      </c>
      <c r="AP138" s="121" t="str">
        <f ca="1">IF(AP$4&gt;NOW(),"-",IF(ISBLANK(Tbl_ResidentData[[#This Row],[Enrollment '[mmm-yyyy']]]),"-",AND((Tbl_ResidentData[[#This Row],[Enrollment '[mmm-yyyy']]]&lt;=AP$4),IF(ISBLANK(Tbl_ResidentData[[#This Row],[Discharge '[mmm-yyyy']]]),TRUE,(Tbl_ResidentData[[#This Row],[Discharge '[mmm-yyyy']]]&gt;=AP$4)))))</f>
        <v>-</v>
      </c>
      <c r="AQ138" s="121" t="str">
        <f ca="1">IF(AQ$4&gt;NOW(),"-",IF(ISBLANK(Tbl_ResidentData[[#This Row],[Enrollment '[mmm-yyyy']]]),"-",AND((Tbl_ResidentData[[#This Row],[Enrollment '[mmm-yyyy']]]&lt;=AQ$4),IF(ISBLANK(Tbl_ResidentData[[#This Row],[Discharge '[mmm-yyyy']]]),TRUE,(Tbl_ResidentData[[#This Row],[Discharge '[mmm-yyyy']]]&gt;=AQ$4)))))</f>
        <v>-</v>
      </c>
      <c r="AR138" s="122" t="str">
        <f ca="1">IF(AR$4&gt;NOW(),"-",IF(ISBLANK(Tbl_ResidentData[[#This Row],[Enrollment '[mmm-yyyy']]]),"-",AND((Tbl_ResidentData[[#This Row],[Enrollment '[mmm-yyyy']]]&lt;=AR$4),IF(ISBLANK(Tbl_ResidentData[[#This Row],[Discharge '[mmm-yyyy']]]),TRUE,(Tbl_ResidentData[[#This Row],[Discharge '[mmm-yyyy']]]&gt;=AR$4)))))</f>
        <v>-</v>
      </c>
      <c r="AS13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8" s="120" t="b">
        <f ca="1">AND(Tbl_ResidentData[[#This Row],[PRN Med Started]]&lt;&gt;"",Tbl_ResidentData[[#This Row],[PRN Med Started]]&lt;=NOW(),Tbl_ResidentData[[#This Row],[PRN Med Started]]&lt;=AS$4,OR(Tbl_ResidentData[[#This Row],[PRN Med Discontinued]]&gt;AS$4,ISBLANK(Tbl_ResidentData[[#This Row],[PRN Med Discontinued]])))</f>
        <v>0</v>
      </c>
      <c r="BR138" s="121" t="b">
        <f ca="1">AND(Tbl_ResidentData[[#This Row],[PRN Med Started]]&lt;&gt;"",Tbl_ResidentData[[#This Row],[PRN Med Started]]&lt;=NOW(),Tbl_ResidentData[[#This Row],[PRN Med Started]]&lt;=AT$4,OR(Tbl_ResidentData[[#This Row],[PRN Med Discontinued]]&gt;AT$4,ISBLANK(Tbl_ResidentData[[#This Row],[PRN Med Discontinued]])))</f>
        <v>0</v>
      </c>
      <c r="BS138" s="121" t="b">
        <f ca="1">AND(Tbl_ResidentData[[#This Row],[PRN Med Started]]&lt;&gt;"",Tbl_ResidentData[[#This Row],[PRN Med Started]]&lt;=NOW(),Tbl_ResidentData[[#This Row],[PRN Med Started]]&lt;=AU$4,OR(Tbl_ResidentData[[#This Row],[PRN Med Discontinued]]&gt;AU$4,ISBLANK(Tbl_ResidentData[[#This Row],[PRN Med Discontinued]])))</f>
        <v>0</v>
      </c>
      <c r="BT138" s="121" t="b">
        <f ca="1">AND(Tbl_ResidentData[[#This Row],[PRN Med Started]]&lt;&gt;"",Tbl_ResidentData[[#This Row],[PRN Med Started]]&lt;=NOW(),Tbl_ResidentData[[#This Row],[PRN Med Started]]&lt;=AV$4,OR(Tbl_ResidentData[[#This Row],[PRN Med Discontinued]]&gt;AV$4,ISBLANK(Tbl_ResidentData[[#This Row],[PRN Med Discontinued]])))</f>
        <v>0</v>
      </c>
      <c r="BU138" s="121" t="b">
        <f ca="1">AND(Tbl_ResidentData[[#This Row],[PRN Med Started]]&lt;&gt;"",Tbl_ResidentData[[#This Row],[PRN Med Started]]&lt;=NOW(),Tbl_ResidentData[[#This Row],[PRN Med Started]]&lt;=AW$4,OR(Tbl_ResidentData[[#This Row],[PRN Med Discontinued]]&gt;AW$4,ISBLANK(Tbl_ResidentData[[#This Row],[PRN Med Discontinued]])))</f>
        <v>0</v>
      </c>
      <c r="BV138" s="121" t="b">
        <f ca="1">AND(Tbl_ResidentData[[#This Row],[PRN Med Started]]&lt;&gt;"",Tbl_ResidentData[[#This Row],[PRN Med Started]]&lt;=NOW(),Tbl_ResidentData[[#This Row],[PRN Med Started]]&lt;=AX$4,OR(Tbl_ResidentData[[#This Row],[PRN Med Discontinued]]&gt;AX$4,ISBLANK(Tbl_ResidentData[[#This Row],[PRN Med Discontinued]])))</f>
        <v>0</v>
      </c>
      <c r="BW138" s="121" t="b">
        <f ca="1">AND(Tbl_ResidentData[[#This Row],[PRN Med Started]]&lt;&gt;"",Tbl_ResidentData[[#This Row],[PRN Med Started]]&lt;=NOW(),Tbl_ResidentData[[#This Row],[PRN Med Started]]&lt;=AY$4,OR(Tbl_ResidentData[[#This Row],[PRN Med Discontinued]]&gt;AY$4,ISBLANK(Tbl_ResidentData[[#This Row],[PRN Med Discontinued]])))</f>
        <v>0</v>
      </c>
      <c r="BX138" s="121" t="b">
        <f ca="1">AND(Tbl_ResidentData[[#This Row],[PRN Med Started]]&lt;&gt;"",Tbl_ResidentData[[#This Row],[PRN Med Started]]&lt;=NOW(),Tbl_ResidentData[[#This Row],[PRN Med Started]]&lt;=AZ$4,OR(Tbl_ResidentData[[#This Row],[PRN Med Discontinued]]&gt;AZ$4,ISBLANK(Tbl_ResidentData[[#This Row],[PRN Med Discontinued]])))</f>
        <v>0</v>
      </c>
      <c r="BY138" s="121" t="b">
        <f ca="1">AND(Tbl_ResidentData[[#This Row],[PRN Med Started]]&lt;&gt;"",Tbl_ResidentData[[#This Row],[PRN Med Started]]&lt;=NOW(),Tbl_ResidentData[[#This Row],[PRN Med Started]]&lt;=BA$4,OR(Tbl_ResidentData[[#This Row],[PRN Med Discontinued]]&gt;BA$4,ISBLANK(Tbl_ResidentData[[#This Row],[PRN Med Discontinued]])))</f>
        <v>0</v>
      </c>
      <c r="BZ138" s="121" t="b">
        <f ca="1">AND(Tbl_ResidentData[[#This Row],[PRN Med Started]]&lt;&gt;"",Tbl_ResidentData[[#This Row],[PRN Med Started]]&lt;=NOW(),Tbl_ResidentData[[#This Row],[PRN Med Started]]&lt;=BB$4,OR(Tbl_ResidentData[[#This Row],[PRN Med Discontinued]]&gt;BB$4,ISBLANK(Tbl_ResidentData[[#This Row],[PRN Med Discontinued]])))</f>
        <v>0</v>
      </c>
      <c r="CA138" s="121" t="b">
        <f ca="1">AND(Tbl_ResidentData[[#This Row],[PRN Med Started]]&lt;&gt;"",Tbl_ResidentData[[#This Row],[PRN Med Started]]&lt;=NOW(),Tbl_ResidentData[[#This Row],[PRN Med Started]]&lt;=BC$4,OR(Tbl_ResidentData[[#This Row],[PRN Med Discontinued]]&gt;BC$4,ISBLANK(Tbl_ResidentData[[#This Row],[PRN Med Discontinued]])))</f>
        <v>0</v>
      </c>
      <c r="CB138" s="121" t="b">
        <f ca="1">AND(Tbl_ResidentData[[#This Row],[PRN Med Started]]&lt;&gt;"",Tbl_ResidentData[[#This Row],[PRN Med Started]]&lt;=NOW(),Tbl_ResidentData[[#This Row],[PRN Med Started]]&lt;=BD$4,OR(Tbl_ResidentData[[#This Row],[PRN Med Discontinued]]&gt;BD$4,ISBLANK(Tbl_ResidentData[[#This Row],[PRN Med Discontinued]])))</f>
        <v>0</v>
      </c>
      <c r="CC138" s="121" t="b">
        <f ca="1">AND(Tbl_ResidentData[[#This Row],[PRN Med Started]]&lt;&gt;"",Tbl_ResidentData[[#This Row],[PRN Med Started]]&lt;=NOW(),Tbl_ResidentData[[#This Row],[PRN Med Started]]&lt;=BE$4,OR(Tbl_ResidentData[[#This Row],[PRN Med Discontinued]]&gt;BE$4,ISBLANK(Tbl_ResidentData[[#This Row],[PRN Med Discontinued]])))</f>
        <v>0</v>
      </c>
      <c r="CD138" s="121" t="b">
        <f ca="1">AND(Tbl_ResidentData[[#This Row],[PRN Med Started]]&lt;&gt;"",Tbl_ResidentData[[#This Row],[PRN Med Started]]&lt;=NOW(),Tbl_ResidentData[[#This Row],[PRN Med Started]]&lt;=BF$4,OR(Tbl_ResidentData[[#This Row],[PRN Med Discontinued]]&gt;BF$4,ISBLANK(Tbl_ResidentData[[#This Row],[PRN Med Discontinued]])))</f>
        <v>0</v>
      </c>
      <c r="CE138" s="121" t="b">
        <f ca="1">AND(Tbl_ResidentData[[#This Row],[PRN Med Started]]&lt;&gt;"",Tbl_ResidentData[[#This Row],[PRN Med Started]]&lt;=NOW(),Tbl_ResidentData[[#This Row],[PRN Med Started]]&lt;=BG$4,OR(Tbl_ResidentData[[#This Row],[PRN Med Discontinued]]&gt;BG$4,ISBLANK(Tbl_ResidentData[[#This Row],[PRN Med Discontinued]])))</f>
        <v>0</v>
      </c>
      <c r="CF138" s="121" t="b">
        <f ca="1">AND(Tbl_ResidentData[[#This Row],[PRN Med Started]]&lt;&gt;"",Tbl_ResidentData[[#This Row],[PRN Med Started]]&lt;=NOW(),Tbl_ResidentData[[#This Row],[PRN Med Started]]&lt;=BH$4,OR(Tbl_ResidentData[[#This Row],[PRN Med Discontinued]]&gt;BH$4,ISBLANK(Tbl_ResidentData[[#This Row],[PRN Med Discontinued]])))</f>
        <v>0</v>
      </c>
      <c r="CG138" s="121" t="b">
        <f ca="1">AND(Tbl_ResidentData[[#This Row],[PRN Med Started]]&lt;&gt;"",Tbl_ResidentData[[#This Row],[PRN Med Started]]&lt;=NOW(),Tbl_ResidentData[[#This Row],[PRN Med Started]]&lt;=BI$4,OR(Tbl_ResidentData[[#This Row],[PRN Med Discontinued]]&gt;BI$4,ISBLANK(Tbl_ResidentData[[#This Row],[PRN Med Discontinued]])))</f>
        <v>0</v>
      </c>
      <c r="CH138" s="121" t="b">
        <f ca="1">AND(Tbl_ResidentData[[#This Row],[PRN Med Started]]&lt;&gt;"",Tbl_ResidentData[[#This Row],[PRN Med Started]]&lt;=NOW(),Tbl_ResidentData[[#This Row],[PRN Med Started]]&lt;=BJ$4,OR(Tbl_ResidentData[[#This Row],[PRN Med Discontinued]]&gt;BJ$4,ISBLANK(Tbl_ResidentData[[#This Row],[PRN Med Discontinued]])))</f>
        <v>0</v>
      </c>
      <c r="CI138" s="121" t="b">
        <f ca="1">AND(Tbl_ResidentData[[#This Row],[PRN Med Started]]&lt;&gt;"",Tbl_ResidentData[[#This Row],[PRN Med Started]]&lt;=NOW(),Tbl_ResidentData[[#This Row],[PRN Med Started]]&lt;=BK$4,OR(Tbl_ResidentData[[#This Row],[PRN Med Discontinued]]&gt;BK$4,ISBLANK(Tbl_ResidentData[[#This Row],[PRN Med Discontinued]])))</f>
        <v>0</v>
      </c>
      <c r="CJ138" s="121" t="b">
        <f ca="1">AND(Tbl_ResidentData[[#This Row],[PRN Med Started]]&lt;&gt;"",Tbl_ResidentData[[#This Row],[PRN Med Started]]&lt;=NOW(),Tbl_ResidentData[[#This Row],[PRN Med Started]]&lt;=BL$4,OR(Tbl_ResidentData[[#This Row],[PRN Med Discontinued]]&gt;BL$4,ISBLANK(Tbl_ResidentData[[#This Row],[PRN Med Discontinued]])))</f>
        <v>0</v>
      </c>
      <c r="CK138" s="121" t="b">
        <f ca="1">AND(Tbl_ResidentData[[#This Row],[PRN Med Started]]&lt;&gt;"",Tbl_ResidentData[[#This Row],[PRN Med Started]]&lt;=NOW(),Tbl_ResidentData[[#This Row],[PRN Med Started]]&lt;=BM$4,OR(Tbl_ResidentData[[#This Row],[PRN Med Discontinued]]&gt;BM$4,ISBLANK(Tbl_ResidentData[[#This Row],[PRN Med Discontinued]])))</f>
        <v>0</v>
      </c>
      <c r="CL138" s="121" t="b">
        <f ca="1">AND(Tbl_ResidentData[[#This Row],[PRN Med Started]]&lt;&gt;"",Tbl_ResidentData[[#This Row],[PRN Med Started]]&lt;=NOW(),Tbl_ResidentData[[#This Row],[PRN Med Started]]&lt;=BN$4,OR(Tbl_ResidentData[[#This Row],[PRN Med Discontinued]]&gt;BN$4,ISBLANK(Tbl_ResidentData[[#This Row],[PRN Med Discontinued]])))</f>
        <v>0</v>
      </c>
      <c r="CM138" s="121" t="b">
        <f ca="1">AND(Tbl_ResidentData[[#This Row],[PRN Med Started]]&lt;&gt;"",Tbl_ResidentData[[#This Row],[PRN Med Started]]&lt;=NOW(),Tbl_ResidentData[[#This Row],[PRN Med Started]]&lt;=BO$4,OR(Tbl_ResidentData[[#This Row],[PRN Med Discontinued]]&gt;BO$4,ISBLANK(Tbl_ResidentData[[#This Row],[PRN Med Discontinued]])))</f>
        <v>0</v>
      </c>
      <c r="CN138" s="122" t="b">
        <f ca="1">AND(Tbl_ResidentData[[#This Row],[PRN Med Started]]&lt;&gt;"",Tbl_ResidentData[[#This Row],[PRN Med Started]]&lt;=NOW(),Tbl_ResidentData[[#This Row],[PRN Med Started]]&lt;=BP$4,OR(Tbl_ResidentData[[#This Row],[PRN Med Discontinued]]&gt;BP$4,ISBLANK(Tbl_ResidentData[[#This Row],[PRN Med Discontinued]])))</f>
        <v>0</v>
      </c>
      <c r="CO138" s="120">
        <f ca="1">IF(OR(Tbl_ResidentData[[#This Row],[S1]]=TRUE,Tbl_ResidentData[[#This Row],[P1]]=TRUE),1,0)</f>
        <v>0</v>
      </c>
      <c r="CP138" s="121">
        <f ca="1">IF(OR(Tbl_ResidentData[[#This Row],[S2]]=TRUE,Tbl_ResidentData[[#This Row],[P2]]=TRUE),1,0)</f>
        <v>0</v>
      </c>
      <c r="CQ138" s="121">
        <f ca="1">IF(OR(Tbl_ResidentData[[#This Row],[S3]]=TRUE,Tbl_ResidentData[[#This Row],[P3]]=TRUE),1,0)</f>
        <v>0</v>
      </c>
      <c r="CR138" s="120">
        <f ca="1">IF(OR(Tbl_ResidentData[[#This Row],[S4]]=TRUE,Tbl_ResidentData[[#This Row],[P4]]=TRUE),1,0)</f>
        <v>0</v>
      </c>
      <c r="CS138" s="120">
        <f ca="1">IF(OR(Tbl_ResidentData[[#This Row],[S5]]=TRUE,Tbl_ResidentData[[#This Row],[P5]]=TRUE),1,0)</f>
        <v>0</v>
      </c>
      <c r="CT138" s="120">
        <f ca="1">IF(OR(Tbl_ResidentData[[#This Row],[S6]]=TRUE,Tbl_ResidentData[[#This Row],[P6]]=TRUE),1,0)</f>
        <v>0</v>
      </c>
      <c r="CU138" s="120">
        <f ca="1">IF(OR(Tbl_ResidentData[[#This Row],[S7]]=TRUE,Tbl_ResidentData[[#This Row],[P7]]=TRUE),1,0)</f>
        <v>0</v>
      </c>
      <c r="CV138" s="120">
        <f ca="1">IF(OR(Tbl_ResidentData[[#This Row],[S8]]=TRUE,Tbl_ResidentData[[#This Row],[P8]]=TRUE),1,0)</f>
        <v>0</v>
      </c>
      <c r="CW138" s="120">
        <f ca="1">IF(OR(Tbl_ResidentData[[#This Row],[S9]]=TRUE,Tbl_ResidentData[[#This Row],[P9]]=TRUE),1,0)</f>
        <v>0</v>
      </c>
      <c r="CX138" s="120">
        <f ca="1">IF(OR(Tbl_ResidentData[[#This Row],[S10]]=TRUE,Tbl_ResidentData[[#This Row],[P10]]=TRUE),1,0)</f>
        <v>0</v>
      </c>
      <c r="CY138" s="120">
        <f ca="1">IF(OR(Tbl_ResidentData[[#This Row],[S11]]=TRUE,Tbl_ResidentData[[#This Row],[P11]]=TRUE),1,0)</f>
        <v>0</v>
      </c>
      <c r="CZ138" s="120">
        <f ca="1">IF(OR(Tbl_ResidentData[[#This Row],[S12]]=TRUE,Tbl_ResidentData[[#This Row],[P12]]=TRUE),1,0)</f>
        <v>0</v>
      </c>
      <c r="DA138" s="120">
        <f ca="1">IF(OR(Tbl_ResidentData[[#This Row],[S13]]=TRUE,Tbl_ResidentData[[#This Row],[P13]]=TRUE),1,0)</f>
        <v>0</v>
      </c>
      <c r="DB138" s="120">
        <f ca="1">IF(OR(Tbl_ResidentData[[#This Row],[S14]]=TRUE,Tbl_ResidentData[[#This Row],[P14]]=TRUE),1,0)</f>
        <v>0</v>
      </c>
      <c r="DC138" s="120">
        <f ca="1">IF(OR(Tbl_ResidentData[[#This Row],[S15]]=TRUE,Tbl_ResidentData[[#This Row],[P15]]=TRUE),1,0)</f>
        <v>0</v>
      </c>
      <c r="DD138" s="120">
        <f ca="1">IF(OR(Tbl_ResidentData[[#This Row],[S16]]=TRUE,Tbl_ResidentData[[#This Row],[P16]]=TRUE),1,0)</f>
        <v>0</v>
      </c>
      <c r="DE138" s="120">
        <f ca="1">IF(OR(Tbl_ResidentData[[#This Row],[S17]]=TRUE,Tbl_ResidentData[[#This Row],[P17]]=TRUE),1,0)</f>
        <v>0</v>
      </c>
      <c r="DF138" s="120">
        <f ca="1">IF(OR(Tbl_ResidentData[[#This Row],[S18]]=TRUE,Tbl_ResidentData[[#This Row],[P18]]=TRUE),1,0)</f>
        <v>0</v>
      </c>
      <c r="DG138" s="120">
        <f ca="1">IF(OR(Tbl_ResidentData[[#This Row],[S19]]=TRUE,Tbl_ResidentData[[#This Row],[P19]]=TRUE),1,0)</f>
        <v>0</v>
      </c>
      <c r="DH138" s="120">
        <f ca="1">IF(OR(Tbl_ResidentData[[#This Row],[S20]]=TRUE,Tbl_ResidentData[[#This Row],[P20]]=TRUE),1,0)</f>
        <v>0</v>
      </c>
      <c r="DI138" s="120">
        <f ca="1">IF(OR(Tbl_ResidentData[[#This Row],[S21]]=TRUE,Tbl_ResidentData[[#This Row],[P21]]=TRUE),1,0)</f>
        <v>0</v>
      </c>
      <c r="DJ138" s="120">
        <f ca="1">IF(OR(Tbl_ResidentData[[#This Row],[S22]]=TRUE,Tbl_ResidentData[[#This Row],[P22]]=TRUE),1,0)</f>
        <v>0</v>
      </c>
      <c r="DK138" s="120">
        <f ca="1">IF(OR(Tbl_ResidentData[[#This Row],[S23]]=TRUE,Tbl_ResidentData[[#This Row],[P23]]=TRUE),1,0)</f>
        <v>0</v>
      </c>
      <c r="DL138" s="120">
        <f ca="1">IF(OR(Tbl_ResidentData[[#This Row],[S24]]=TRUE,Tbl_ResidentData[[#This Row],[P24]]=TRUE),1,0)</f>
        <v>0</v>
      </c>
      <c r="DM138" s="123" t="str">
        <f ca="1">IFERROR(INDEX($CO$4:$DL$4,MATCH(TRUE,INDEX((Tbl_ResidentData[[#This Row],[Over1]:[Over24]]&lt;&gt;0),0),0)),"")</f>
        <v/>
      </c>
      <c r="DN138" s="133" t="str">
        <f>IFERROR(INDEX(Tbl_PDSAData[Last DRT],MATCH(Tbl_ResidentData[Resident Name '[last, first']],Tbl_PDSAData[Resident Name (last, first)],0)),"")</f>
        <v/>
      </c>
      <c r="DO138" s="222" t="str">
        <f>IFERROR(INDEX(Tbl_PDSAData[Last MR],MATCH(Tbl_ResidentData[Resident Name '[last, first']],Tbl_PDSAData[Resident Name (last, first)],0)),"")</f>
        <v/>
      </c>
    </row>
    <row r="139" spans="1:119" x14ac:dyDescent="0.25">
      <c r="A139" s="179"/>
      <c r="B139" s="180"/>
      <c r="C139" s="180"/>
      <c r="D139" s="218"/>
      <c r="E139" s="179"/>
      <c r="F139" s="179"/>
      <c r="G139" s="181"/>
      <c r="H139" s="375"/>
      <c r="I139" s="185"/>
      <c r="J139" s="387"/>
      <c r="K139" s="178"/>
      <c r="L139" s="388"/>
      <c r="M139" s="185"/>
      <c r="N139" s="386"/>
      <c r="O139" s="178"/>
      <c r="P139" s="388"/>
      <c r="Q139" s="395"/>
      <c r="R139" s="396"/>
      <c r="S139" s="131" t="str">
        <f>IF(ISBLANK(Tbl_ResidentData[[#This Row],[Discharge '[mmm-yyyy']]]),IF(ISBLANK(Tbl_ResidentData[[#This Row],[Enrollment '[mmm-yyyy']]]),"","In Care Home"),"Discharged")</f>
        <v/>
      </c>
      <c r="T139" s="119" t="str">
        <f>IF(ISBLANK(Tbl_ResidentData[[#This Row],[Diagnosis (RAI)]]),IF(ISBLANK(Tbl_ResidentData[[#This Row],[Resident Name '[last, first']]]),"",0),IF(Tbl_ResidentData[[#This Row],[Diagnosis (RAI)]]="Other (see clinical notes)",0,1))</f>
        <v/>
      </c>
      <c r="U139" s="120" t="str">
        <f ca="1">IF(U$4&gt;NOW(),"-",IF(ISBLANK(Tbl_ResidentData[[#This Row],[Enrollment '[mmm-yyyy']]]),"-",AND((Tbl_ResidentData[[#This Row],[Enrollment '[mmm-yyyy']]]&lt;=U$4),IF(ISBLANK(Tbl_ResidentData[[#This Row],[Discharge '[mmm-yyyy']]]),TRUE,(Tbl_ResidentData[[#This Row],[Discharge '[mmm-yyyy']]]&gt;=U$4)))))</f>
        <v>-</v>
      </c>
      <c r="V139" s="121" t="str">
        <f ca="1">IF(V$4&gt;NOW(),"-",IF(ISBLANK(Tbl_ResidentData[[#This Row],[Enrollment '[mmm-yyyy']]]),"-",AND((Tbl_ResidentData[[#This Row],[Enrollment '[mmm-yyyy']]]&lt;=V$4),IF(ISBLANK(Tbl_ResidentData[[#This Row],[Discharge '[mmm-yyyy']]]),TRUE,(Tbl_ResidentData[[#This Row],[Discharge '[mmm-yyyy']]]&gt;=V$4)))))</f>
        <v>-</v>
      </c>
      <c r="W139" s="121" t="str">
        <f ca="1">IF(W$4&gt;NOW(),"-",IF(ISBLANK(Tbl_ResidentData[[#This Row],[Enrollment '[mmm-yyyy']]]),"-",AND((Tbl_ResidentData[[#This Row],[Enrollment '[mmm-yyyy']]]&lt;=W$4),IF(ISBLANK(Tbl_ResidentData[[#This Row],[Discharge '[mmm-yyyy']]]),TRUE,(Tbl_ResidentData[[#This Row],[Discharge '[mmm-yyyy']]]&gt;=W$4)))))</f>
        <v>-</v>
      </c>
      <c r="X139" s="121" t="str">
        <f ca="1">IF(X$4&gt;NOW(),"-",IF(ISBLANK(Tbl_ResidentData[[#This Row],[Enrollment '[mmm-yyyy']]]),"-",AND((Tbl_ResidentData[[#This Row],[Enrollment '[mmm-yyyy']]]&lt;=X$4),IF(ISBLANK(Tbl_ResidentData[[#This Row],[Discharge '[mmm-yyyy']]]),TRUE,(Tbl_ResidentData[[#This Row],[Discharge '[mmm-yyyy']]]&gt;=X$4)))))</f>
        <v>-</v>
      </c>
      <c r="Y139" s="121" t="str">
        <f ca="1">IF(Y$4&gt;NOW(),"-",IF(ISBLANK(Tbl_ResidentData[[#This Row],[Enrollment '[mmm-yyyy']]]),"-",AND((Tbl_ResidentData[[#This Row],[Enrollment '[mmm-yyyy']]]&lt;=Y$4),IF(ISBLANK(Tbl_ResidentData[[#This Row],[Discharge '[mmm-yyyy']]]),TRUE,(Tbl_ResidentData[[#This Row],[Discharge '[mmm-yyyy']]]&gt;=Y$4)))))</f>
        <v>-</v>
      </c>
      <c r="Z139" s="121" t="str">
        <f ca="1">IF(Z$4&gt;NOW(),"-",IF(ISBLANK(Tbl_ResidentData[[#This Row],[Enrollment '[mmm-yyyy']]]),"-",AND((Tbl_ResidentData[[#This Row],[Enrollment '[mmm-yyyy']]]&lt;=Z$4),IF(ISBLANK(Tbl_ResidentData[[#This Row],[Discharge '[mmm-yyyy']]]),TRUE,(Tbl_ResidentData[[#This Row],[Discharge '[mmm-yyyy']]]&gt;=Z$4)))))</f>
        <v>-</v>
      </c>
      <c r="AA139" s="121" t="str">
        <f ca="1">IF(AA$4&gt;NOW(),"-",IF(ISBLANK(Tbl_ResidentData[[#This Row],[Enrollment '[mmm-yyyy']]]),"-",AND((Tbl_ResidentData[[#This Row],[Enrollment '[mmm-yyyy']]]&lt;=AA$4),IF(ISBLANK(Tbl_ResidentData[[#This Row],[Discharge '[mmm-yyyy']]]),TRUE,(Tbl_ResidentData[[#This Row],[Discharge '[mmm-yyyy']]]&gt;=AA$4)))))</f>
        <v>-</v>
      </c>
      <c r="AB139" s="121" t="str">
        <f ca="1">IF(AB$4&gt;NOW(),"-",IF(ISBLANK(Tbl_ResidentData[[#This Row],[Enrollment '[mmm-yyyy']]]),"-",AND((Tbl_ResidentData[[#This Row],[Enrollment '[mmm-yyyy']]]&lt;=AB$4),IF(ISBLANK(Tbl_ResidentData[[#This Row],[Discharge '[mmm-yyyy']]]),TRUE,(Tbl_ResidentData[[#This Row],[Discharge '[mmm-yyyy']]]&gt;=AB$4)))))</f>
        <v>-</v>
      </c>
      <c r="AC139" s="121" t="str">
        <f ca="1">IF(AC$4&gt;NOW(),"-",IF(ISBLANK(Tbl_ResidentData[[#This Row],[Enrollment '[mmm-yyyy']]]),"-",AND((Tbl_ResidentData[[#This Row],[Enrollment '[mmm-yyyy']]]&lt;=AC$4),IF(ISBLANK(Tbl_ResidentData[[#This Row],[Discharge '[mmm-yyyy']]]),TRUE,(Tbl_ResidentData[[#This Row],[Discharge '[mmm-yyyy']]]&gt;=AC$4)))))</f>
        <v>-</v>
      </c>
      <c r="AD139" s="121" t="str">
        <f ca="1">IF(AD$4&gt;NOW(),"-",IF(ISBLANK(Tbl_ResidentData[[#This Row],[Enrollment '[mmm-yyyy']]]),"-",AND((Tbl_ResidentData[[#This Row],[Enrollment '[mmm-yyyy']]]&lt;=AD$4),IF(ISBLANK(Tbl_ResidentData[[#This Row],[Discharge '[mmm-yyyy']]]),TRUE,(Tbl_ResidentData[[#This Row],[Discharge '[mmm-yyyy']]]&gt;=AD$4)))))</f>
        <v>-</v>
      </c>
      <c r="AE139" s="121" t="str">
        <f ca="1">IF(AE$4&gt;NOW(),"-",IF(ISBLANK(Tbl_ResidentData[[#This Row],[Enrollment '[mmm-yyyy']]]),"-",AND((Tbl_ResidentData[[#This Row],[Enrollment '[mmm-yyyy']]]&lt;=AE$4),IF(ISBLANK(Tbl_ResidentData[[#This Row],[Discharge '[mmm-yyyy']]]),TRUE,(Tbl_ResidentData[[#This Row],[Discharge '[mmm-yyyy']]]&gt;=AE$4)))))</f>
        <v>-</v>
      </c>
      <c r="AF139" s="121" t="str">
        <f ca="1">IF(AF$4&gt;NOW(),"-",IF(ISBLANK(Tbl_ResidentData[[#This Row],[Enrollment '[mmm-yyyy']]]),"-",AND((Tbl_ResidentData[[#This Row],[Enrollment '[mmm-yyyy']]]&lt;=AF$4),IF(ISBLANK(Tbl_ResidentData[[#This Row],[Discharge '[mmm-yyyy']]]),TRUE,(Tbl_ResidentData[[#This Row],[Discharge '[mmm-yyyy']]]&gt;=AF$4)))))</f>
        <v>-</v>
      </c>
      <c r="AG139" s="121" t="str">
        <f ca="1">IF(AG$4&gt;NOW(),"-",IF(ISBLANK(Tbl_ResidentData[[#This Row],[Enrollment '[mmm-yyyy']]]),"-",AND((Tbl_ResidentData[[#This Row],[Enrollment '[mmm-yyyy']]]&lt;=AG$4),IF(ISBLANK(Tbl_ResidentData[[#This Row],[Discharge '[mmm-yyyy']]]),TRUE,(Tbl_ResidentData[[#This Row],[Discharge '[mmm-yyyy']]]&gt;=AG$4)))))</f>
        <v>-</v>
      </c>
      <c r="AH139" s="121" t="str">
        <f ca="1">IF(AH$4&gt;NOW(),"-",IF(ISBLANK(Tbl_ResidentData[[#This Row],[Enrollment '[mmm-yyyy']]]),"-",AND((Tbl_ResidentData[[#This Row],[Enrollment '[mmm-yyyy']]]&lt;=AH$4),IF(ISBLANK(Tbl_ResidentData[[#This Row],[Discharge '[mmm-yyyy']]]),TRUE,(Tbl_ResidentData[[#This Row],[Discharge '[mmm-yyyy']]]&gt;=AH$4)))))</f>
        <v>-</v>
      </c>
      <c r="AI139" s="121" t="str">
        <f ca="1">IF(AI$4&gt;NOW(),"-",IF(ISBLANK(Tbl_ResidentData[[#This Row],[Enrollment '[mmm-yyyy']]]),"-",AND((Tbl_ResidentData[[#This Row],[Enrollment '[mmm-yyyy']]]&lt;=AI$4),IF(ISBLANK(Tbl_ResidentData[[#This Row],[Discharge '[mmm-yyyy']]]),TRUE,(Tbl_ResidentData[[#This Row],[Discharge '[mmm-yyyy']]]&gt;=AI$4)))))</f>
        <v>-</v>
      </c>
      <c r="AJ139" s="121" t="str">
        <f ca="1">IF(AJ$4&gt;NOW(),"-",IF(ISBLANK(Tbl_ResidentData[[#This Row],[Enrollment '[mmm-yyyy']]]),"-",AND((Tbl_ResidentData[[#This Row],[Enrollment '[mmm-yyyy']]]&lt;=AJ$4),IF(ISBLANK(Tbl_ResidentData[[#This Row],[Discharge '[mmm-yyyy']]]),TRUE,(Tbl_ResidentData[[#This Row],[Discharge '[mmm-yyyy']]]&gt;=AJ$4)))))</f>
        <v>-</v>
      </c>
      <c r="AK139" s="121" t="str">
        <f ca="1">IF(AK$4&gt;NOW(),"-",IF(ISBLANK(Tbl_ResidentData[[#This Row],[Enrollment '[mmm-yyyy']]]),"-",AND((Tbl_ResidentData[[#This Row],[Enrollment '[mmm-yyyy']]]&lt;=AK$4),IF(ISBLANK(Tbl_ResidentData[[#This Row],[Discharge '[mmm-yyyy']]]),TRUE,(Tbl_ResidentData[[#This Row],[Discharge '[mmm-yyyy']]]&gt;=AK$4)))))</f>
        <v>-</v>
      </c>
      <c r="AL139" s="121" t="str">
        <f ca="1">IF(AL$4&gt;NOW(),"-",IF(ISBLANK(Tbl_ResidentData[[#This Row],[Enrollment '[mmm-yyyy']]]),"-",AND((Tbl_ResidentData[[#This Row],[Enrollment '[mmm-yyyy']]]&lt;=AL$4),IF(ISBLANK(Tbl_ResidentData[[#This Row],[Discharge '[mmm-yyyy']]]),TRUE,(Tbl_ResidentData[[#This Row],[Discharge '[mmm-yyyy']]]&gt;=AL$4)))))</f>
        <v>-</v>
      </c>
      <c r="AM139" s="121" t="str">
        <f ca="1">IF(AM$4&gt;NOW(),"-",IF(ISBLANK(Tbl_ResidentData[[#This Row],[Enrollment '[mmm-yyyy']]]),"-",AND((Tbl_ResidentData[[#This Row],[Enrollment '[mmm-yyyy']]]&lt;=AM$4),IF(ISBLANK(Tbl_ResidentData[[#This Row],[Discharge '[mmm-yyyy']]]),TRUE,(Tbl_ResidentData[[#This Row],[Discharge '[mmm-yyyy']]]&gt;=AM$4)))))</f>
        <v>-</v>
      </c>
      <c r="AN139" s="121" t="str">
        <f ca="1">IF(AN$4&gt;NOW(),"-",IF(ISBLANK(Tbl_ResidentData[[#This Row],[Enrollment '[mmm-yyyy']]]),"-",AND((Tbl_ResidentData[[#This Row],[Enrollment '[mmm-yyyy']]]&lt;=AN$4),IF(ISBLANK(Tbl_ResidentData[[#This Row],[Discharge '[mmm-yyyy']]]),TRUE,(Tbl_ResidentData[[#This Row],[Discharge '[mmm-yyyy']]]&gt;=AN$4)))))</f>
        <v>-</v>
      </c>
      <c r="AO139" s="121" t="str">
        <f ca="1">IF(AO$4&gt;NOW(),"-",IF(ISBLANK(Tbl_ResidentData[[#This Row],[Enrollment '[mmm-yyyy']]]),"-",AND((Tbl_ResidentData[[#This Row],[Enrollment '[mmm-yyyy']]]&lt;=AO$4),IF(ISBLANK(Tbl_ResidentData[[#This Row],[Discharge '[mmm-yyyy']]]),TRUE,(Tbl_ResidentData[[#This Row],[Discharge '[mmm-yyyy']]]&gt;=AO$4)))))</f>
        <v>-</v>
      </c>
      <c r="AP139" s="121" t="str">
        <f ca="1">IF(AP$4&gt;NOW(),"-",IF(ISBLANK(Tbl_ResidentData[[#This Row],[Enrollment '[mmm-yyyy']]]),"-",AND((Tbl_ResidentData[[#This Row],[Enrollment '[mmm-yyyy']]]&lt;=AP$4),IF(ISBLANK(Tbl_ResidentData[[#This Row],[Discharge '[mmm-yyyy']]]),TRUE,(Tbl_ResidentData[[#This Row],[Discharge '[mmm-yyyy']]]&gt;=AP$4)))))</f>
        <v>-</v>
      </c>
      <c r="AQ139" s="121" t="str">
        <f ca="1">IF(AQ$4&gt;NOW(),"-",IF(ISBLANK(Tbl_ResidentData[[#This Row],[Enrollment '[mmm-yyyy']]]),"-",AND((Tbl_ResidentData[[#This Row],[Enrollment '[mmm-yyyy']]]&lt;=AQ$4),IF(ISBLANK(Tbl_ResidentData[[#This Row],[Discharge '[mmm-yyyy']]]),TRUE,(Tbl_ResidentData[[#This Row],[Discharge '[mmm-yyyy']]]&gt;=AQ$4)))))</f>
        <v>-</v>
      </c>
      <c r="AR139" s="122" t="str">
        <f ca="1">IF(AR$4&gt;NOW(),"-",IF(ISBLANK(Tbl_ResidentData[[#This Row],[Enrollment '[mmm-yyyy']]]),"-",AND((Tbl_ResidentData[[#This Row],[Enrollment '[mmm-yyyy']]]&lt;=AR$4),IF(ISBLANK(Tbl_ResidentData[[#This Row],[Discharge '[mmm-yyyy']]]),TRUE,(Tbl_ResidentData[[#This Row],[Discharge '[mmm-yyyy']]]&gt;=AR$4)))))</f>
        <v>-</v>
      </c>
      <c r="AS13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9" s="120" t="b">
        <f ca="1">AND(Tbl_ResidentData[[#This Row],[PRN Med Started]]&lt;&gt;"",Tbl_ResidentData[[#This Row],[PRN Med Started]]&lt;=NOW(),Tbl_ResidentData[[#This Row],[PRN Med Started]]&lt;=AS$4,OR(Tbl_ResidentData[[#This Row],[PRN Med Discontinued]]&gt;AS$4,ISBLANK(Tbl_ResidentData[[#This Row],[PRN Med Discontinued]])))</f>
        <v>0</v>
      </c>
      <c r="BR139" s="121" t="b">
        <f ca="1">AND(Tbl_ResidentData[[#This Row],[PRN Med Started]]&lt;&gt;"",Tbl_ResidentData[[#This Row],[PRN Med Started]]&lt;=NOW(),Tbl_ResidentData[[#This Row],[PRN Med Started]]&lt;=AT$4,OR(Tbl_ResidentData[[#This Row],[PRN Med Discontinued]]&gt;AT$4,ISBLANK(Tbl_ResidentData[[#This Row],[PRN Med Discontinued]])))</f>
        <v>0</v>
      </c>
      <c r="BS139" s="121" t="b">
        <f ca="1">AND(Tbl_ResidentData[[#This Row],[PRN Med Started]]&lt;&gt;"",Tbl_ResidentData[[#This Row],[PRN Med Started]]&lt;=NOW(),Tbl_ResidentData[[#This Row],[PRN Med Started]]&lt;=AU$4,OR(Tbl_ResidentData[[#This Row],[PRN Med Discontinued]]&gt;AU$4,ISBLANK(Tbl_ResidentData[[#This Row],[PRN Med Discontinued]])))</f>
        <v>0</v>
      </c>
      <c r="BT139" s="121" t="b">
        <f ca="1">AND(Tbl_ResidentData[[#This Row],[PRN Med Started]]&lt;&gt;"",Tbl_ResidentData[[#This Row],[PRN Med Started]]&lt;=NOW(),Tbl_ResidentData[[#This Row],[PRN Med Started]]&lt;=AV$4,OR(Tbl_ResidentData[[#This Row],[PRN Med Discontinued]]&gt;AV$4,ISBLANK(Tbl_ResidentData[[#This Row],[PRN Med Discontinued]])))</f>
        <v>0</v>
      </c>
      <c r="BU139" s="121" t="b">
        <f ca="1">AND(Tbl_ResidentData[[#This Row],[PRN Med Started]]&lt;&gt;"",Tbl_ResidentData[[#This Row],[PRN Med Started]]&lt;=NOW(),Tbl_ResidentData[[#This Row],[PRN Med Started]]&lt;=AW$4,OR(Tbl_ResidentData[[#This Row],[PRN Med Discontinued]]&gt;AW$4,ISBLANK(Tbl_ResidentData[[#This Row],[PRN Med Discontinued]])))</f>
        <v>0</v>
      </c>
      <c r="BV139" s="121" t="b">
        <f ca="1">AND(Tbl_ResidentData[[#This Row],[PRN Med Started]]&lt;&gt;"",Tbl_ResidentData[[#This Row],[PRN Med Started]]&lt;=NOW(),Tbl_ResidentData[[#This Row],[PRN Med Started]]&lt;=AX$4,OR(Tbl_ResidentData[[#This Row],[PRN Med Discontinued]]&gt;AX$4,ISBLANK(Tbl_ResidentData[[#This Row],[PRN Med Discontinued]])))</f>
        <v>0</v>
      </c>
      <c r="BW139" s="121" t="b">
        <f ca="1">AND(Tbl_ResidentData[[#This Row],[PRN Med Started]]&lt;&gt;"",Tbl_ResidentData[[#This Row],[PRN Med Started]]&lt;=NOW(),Tbl_ResidentData[[#This Row],[PRN Med Started]]&lt;=AY$4,OR(Tbl_ResidentData[[#This Row],[PRN Med Discontinued]]&gt;AY$4,ISBLANK(Tbl_ResidentData[[#This Row],[PRN Med Discontinued]])))</f>
        <v>0</v>
      </c>
      <c r="BX139" s="121" t="b">
        <f ca="1">AND(Tbl_ResidentData[[#This Row],[PRN Med Started]]&lt;&gt;"",Tbl_ResidentData[[#This Row],[PRN Med Started]]&lt;=NOW(),Tbl_ResidentData[[#This Row],[PRN Med Started]]&lt;=AZ$4,OR(Tbl_ResidentData[[#This Row],[PRN Med Discontinued]]&gt;AZ$4,ISBLANK(Tbl_ResidentData[[#This Row],[PRN Med Discontinued]])))</f>
        <v>0</v>
      </c>
      <c r="BY139" s="121" t="b">
        <f ca="1">AND(Tbl_ResidentData[[#This Row],[PRN Med Started]]&lt;&gt;"",Tbl_ResidentData[[#This Row],[PRN Med Started]]&lt;=NOW(),Tbl_ResidentData[[#This Row],[PRN Med Started]]&lt;=BA$4,OR(Tbl_ResidentData[[#This Row],[PRN Med Discontinued]]&gt;BA$4,ISBLANK(Tbl_ResidentData[[#This Row],[PRN Med Discontinued]])))</f>
        <v>0</v>
      </c>
      <c r="BZ139" s="121" t="b">
        <f ca="1">AND(Tbl_ResidentData[[#This Row],[PRN Med Started]]&lt;&gt;"",Tbl_ResidentData[[#This Row],[PRN Med Started]]&lt;=NOW(),Tbl_ResidentData[[#This Row],[PRN Med Started]]&lt;=BB$4,OR(Tbl_ResidentData[[#This Row],[PRN Med Discontinued]]&gt;BB$4,ISBLANK(Tbl_ResidentData[[#This Row],[PRN Med Discontinued]])))</f>
        <v>0</v>
      </c>
      <c r="CA139" s="121" t="b">
        <f ca="1">AND(Tbl_ResidentData[[#This Row],[PRN Med Started]]&lt;&gt;"",Tbl_ResidentData[[#This Row],[PRN Med Started]]&lt;=NOW(),Tbl_ResidentData[[#This Row],[PRN Med Started]]&lt;=BC$4,OR(Tbl_ResidentData[[#This Row],[PRN Med Discontinued]]&gt;BC$4,ISBLANK(Tbl_ResidentData[[#This Row],[PRN Med Discontinued]])))</f>
        <v>0</v>
      </c>
      <c r="CB139" s="121" t="b">
        <f ca="1">AND(Tbl_ResidentData[[#This Row],[PRN Med Started]]&lt;&gt;"",Tbl_ResidentData[[#This Row],[PRN Med Started]]&lt;=NOW(),Tbl_ResidentData[[#This Row],[PRN Med Started]]&lt;=BD$4,OR(Tbl_ResidentData[[#This Row],[PRN Med Discontinued]]&gt;BD$4,ISBLANK(Tbl_ResidentData[[#This Row],[PRN Med Discontinued]])))</f>
        <v>0</v>
      </c>
      <c r="CC139" s="121" t="b">
        <f ca="1">AND(Tbl_ResidentData[[#This Row],[PRN Med Started]]&lt;&gt;"",Tbl_ResidentData[[#This Row],[PRN Med Started]]&lt;=NOW(),Tbl_ResidentData[[#This Row],[PRN Med Started]]&lt;=BE$4,OR(Tbl_ResidentData[[#This Row],[PRN Med Discontinued]]&gt;BE$4,ISBLANK(Tbl_ResidentData[[#This Row],[PRN Med Discontinued]])))</f>
        <v>0</v>
      </c>
      <c r="CD139" s="121" t="b">
        <f ca="1">AND(Tbl_ResidentData[[#This Row],[PRN Med Started]]&lt;&gt;"",Tbl_ResidentData[[#This Row],[PRN Med Started]]&lt;=NOW(),Tbl_ResidentData[[#This Row],[PRN Med Started]]&lt;=BF$4,OR(Tbl_ResidentData[[#This Row],[PRN Med Discontinued]]&gt;BF$4,ISBLANK(Tbl_ResidentData[[#This Row],[PRN Med Discontinued]])))</f>
        <v>0</v>
      </c>
      <c r="CE139" s="121" t="b">
        <f ca="1">AND(Tbl_ResidentData[[#This Row],[PRN Med Started]]&lt;&gt;"",Tbl_ResidentData[[#This Row],[PRN Med Started]]&lt;=NOW(),Tbl_ResidentData[[#This Row],[PRN Med Started]]&lt;=BG$4,OR(Tbl_ResidentData[[#This Row],[PRN Med Discontinued]]&gt;BG$4,ISBLANK(Tbl_ResidentData[[#This Row],[PRN Med Discontinued]])))</f>
        <v>0</v>
      </c>
      <c r="CF139" s="121" t="b">
        <f ca="1">AND(Tbl_ResidentData[[#This Row],[PRN Med Started]]&lt;&gt;"",Tbl_ResidentData[[#This Row],[PRN Med Started]]&lt;=NOW(),Tbl_ResidentData[[#This Row],[PRN Med Started]]&lt;=BH$4,OR(Tbl_ResidentData[[#This Row],[PRN Med Discontinued]]&gt;BH$4,ISBLANK(Tbl_ResidentData[[#This Row],[PRN Med Discontinued]])))</f>
        <v>0</v>
      </c>
      <c r="CG139" s="121" t="b">
        <f ca="1">AND(Tbl_ResidentData[[#This Row],[PRN Med Started]]&lt;&gt;"",Tbl_ResidentData[[#This Row],[PRN Med Started]]&lt;=NOW(),Tbl_ResidentData[[#This Row],[PRN Med Started]]&lt;=BI$4,OR(Tbl_ResidentData[[#This Row],[PRN Med Discontinued]]&gt;BI$4,ISBLANK(Tbl_ResidentData[[#This Row],[PRN Med Discontinued]])))</f>
        <v>0</v>
      </c>
      <c r="CH139" s="121" t="b">
        <f ca="1">AND(Tbl_ResidentData[[#This Row],[PRN Med Started]]&lt;&gt;"",Tbl_ResidentData[[#This Row],[PRN Med Started]]&lt;=NOW(),Tbl_ResidentData[[#This Row],[PRN Med Started]]&lt;=BJ$4,OR(Tbl_ResidentData[[#This Row],[PRN Med Discontinued]]&gt;BJ$4,ISBLANK(Tbl_ResidentData[[#This Row],[PRN Med Discontinued]])))</f>
        <v>0</v>
      </c>
      <c r="CI139" s="121" t="b">
        <f ca="1">AND(Tbl_ResidentData[[#This Row],[PRN Med Started]]&lt;&gt;"",Tbl_ResidentData[[#This Row],[PRN Med Started]]&lt;=NOW(),Tbl_ResidentData[[#This Row],[PRN Med Started]]&lt;=BK$4,OR(Tbl_ResidentData[[#This Row],[PRN Med Discontinued]]&gt;BK$4,ISBLANK(Tbl_ResidentData[[#This Row],[PRN Med Discontinued]])))</f>
        <v>0</v>
      </c>
      <c r="CJ139" s="121" t="b">
        <f ca="1">AND(Tbl_ResidentData[[#This Row],[PRN Med Started]]&lt;&gt;"",Tbl_ResidentData[[#This Row],[PRN Med Started]]&lt;=NOW(),Tbl_ResidentData[[#This Row],[PRN Med Started]]&lt;=BL$4,OR(Tbl_ResidentData[[#This Row],[PRN Med Discontinued]]&gt;BL$4,ISBLANK(Tbl_ResidentData[[#This Row],[PRN Med Discontinued]])))</f>
        <v>0</v>
      </c>
      <c r="CK139" s="121" t="b">
        <f ca="1">AND(Tbl_ResidentData[[#This Row],[PRN Med Started]]&lt;&gt;"",Tbl_ResidentData[[#This Row],[PRN Med Started]]&lt;=NOW(),Tbl_ResidentData[[#This Row],[PRN Med Started]]&lt;=BM$4,OR(Tbl_ResidentData[[#This Row],[PRN Med Discontinued]]&gt;BM$4,ISBLANK(Tbl_ResidentData[[#This Row],[PRN Med Discontinued]])))</f>
        <v>0</v>
      </c>
      <c r="CL139" s="121" t="b">
        <f ca="1">AND(Tbl_ResidentData[[#This Row],[PRN Med Started]]&lt;&gt;"",Tbl_ResidentData[[#This Row],[PRN Med Started]]&lt;=NOW(),Tbl_ResidentData[[#This Row],[PRN Med Started]]&lt;=BN$4,OR(Tbl_ResidentData[[#This Row],[PRN Med Discontinued]]&gt;BN$4,ISBLANK(Tbl_ResidentData[[#This Row],[PRN Med Discontinued]])))</f>
        <v>0</v>
      </c>
      <c r="CM139" s="121" t="b">
        <f ca="1">AND(Tbl_ResidentData[[#This Row],[PRN Med Started]]&lt;&gt;"",Tbl_ResidentData[[#This Row],[PRN Med Started]]&lt;=NOW(),Tbl_ResidentData[[#This Row],[PRN Med Started]]&lt;=BO$4,OR(Tbl_ResidentData[[#This Row],[PRN Med Discontinued]]&gt;BO$4,ISBLANK(Tbl_ResidentData[[#This Row],[PRN Med Discontinued]])))</f>
        <v>0</v>
      </c>
      <c r="CN139" s="122" t="b">
        <f ca="1">AND(Tbl_ResidentData[[#This Row],[PRN Med Started]]&lt;&gt;"",Tbl_ResidentData[[#This Row],[PRN Med Started]]&lt;=NOW(),Tbl_ResidentData[[#This Row],[PRN Med Started]]&lt;=BP$4,OR(Tbl_ResidentData[[#This Row],[PRN Med Discontinued]]&gt;BP$4,ISBLANK(Tbl_ResidentData[[#This Row],[PRN Med Discontinued]])))</f>
        <v>0</v>
      </c>
      <c r="CO139" s="120">
        <f ca="1">IF(OR(Tbl_ResidentData[[#This Row],[S1]]=TRUE,Tbl_ResidentData[[#This Row],[P1]]=TRUE),1,0)</f>
        <v>0</v>
      </c>
      <c r="CP139" s="121">
        <f ca="1">IF(OR(Tbl_ResidentData[[#This Row],[S2]]=TRUE,Tbl_ResidentData[[#This Row],[P2]]=TRUE),1,0)</f>
        <v>0</v>
      </c>
      <c r="CQ139" s="121">
        <f ca="1">IF(OR(Tbl_ResidentData[[#This Row],[S3]]=TRUE,Tbl_ResidentData[[#This Row],[P3]]=TRUE),1,0)</f>
        <v>0</v>
      </c>
      <c r="CR139" s="120">
        <f ca="1">IF(OR(Tbl_ResidentData[[#This Row],[S4]]=TRUE,Tbl_ResidentData[[#This Row],[P4]]=TRUE),1,0)</f>
        <v>0</v>
      </c>
      <c r="CS139" s="120">
        <f ca="1">IF(OR(Tbl_ResidentData[[#This Row],[S5]]=TRUE,Tbl_ResidentData[[#This Row],[P5]]=TRUE),1,0)</f>
        <v>0</v>
      </c>
      <c r="CT139" s="120">
        <f ca="1">IF(OR(Tbl_ResidentData[[#This Row],[S6]]=TRUE,Tbl_ResidentData[[#This Row],[P6]]=TRUE),1,0)</f>
        <v>0</v>
      </c>
      <c r="CU139" s="120">
        <f ca="1">IF(OR(Tbl_ResidentData[[#This Row],[S7]]=TRUE,Tbl_ResidentData[[#This Row],[P7]]=TRUE),1,0)</f>
        <v>0</v>
      </c>
      <c r="CV139" s="120">
        <f ca="1">IF(OR(Tbl_ResidentData[[#This Row],[S8]]=TRUE,Tbl_ResidentData[[#This Row],[P8]]=TRUE),1,0)</f>
        <v>0</v>
      </c>
      <c r="CW139" s="120">
        <f ca="1">IF(OR(Tbl_ResidentData[[#This Row],[S9]]=TRUE,Tbl_ResidentData[[#This Row],[P9]]=TRUE),1,0)</f>
        <v>0</v>
      </c>
      <c r="CX139" s="120">
        <f ca="1">IF(OR(Tbl_ResidentData[[#This Row],[S10]]=TRUE,Tbl_ResidentData[[#This Row],[P10]]=TRUE),1,0)</f>
        <v>0</v>
      </c>
      <c r="CY139" s="120">
        <f ca="1">IF(OR(Tbl_ResidentData[[#This Row],[S11]]=TRUE,Tbl_ResidentData[[#This Row],[P11]]=TRUE),1,0)</f>
        <v>0</v>
      </c>
      <c r="CZ139" s="120">
        <f ca="1">IF(OR(Tbl_ResidentData[[#This Row],[S12]]=TRUE,Tbl_ResidentData[[#This Row],[P12]]=TRUE),1,0)</f>
        <v>0</v>
      </c>
      <c r="DA139" s="120">
        <f ca="1">IF(OR(Tbl_ResidentData[[#This Row],[S13]]=TRUE,Tbl_ResidentData[[#This Row],[P13]]=TRUE),1,0)</f>
        <v>0</v>
      </c>
      <c r="DB139" s="120">
        <f ca="1">IF(OR(Tbl_ResidentData[[#This Row],[S14]]=TRUE,Tbl_ResidentData[[#This Row],[P14]]=TRUE),1,0)</f>
        <v>0</v>
      </c>
      <c r="DC139" s="120">
        <f ca="1">IF(OR(Tbl_ResidentData[[#This Row],[S15]]=TRUE,Tbl_ResidentData[[#This Row],[P15]]=TRUE),1,0)</f>
        <v>0</v>
      </c>
      <c r="DD139" s="120">
        <f ca="1">IF(OR(Tbl_ResidentData[[#This Row],[S16]]=TRUE,Tbl_ResidentData[[#This Row],[P16]]=TRUE),1,0)</f>
        <v>0</v>
      </c>
      <c r="DE139" s="120">
        <f ca="1">IF(OR(Tbl_ResidentData[[#This Row],[S17]]=TRUE,Tbl_ResidentData[[#This Row],[P17]]=TRUE),1,0)</f>
        <v>0</v>
      </c>
      <c r="DF139" s="120">
        <f ca="1">IF(OR(Tbl_ResidentData[[#This Row],[S18]]=TRUE,Tbl_ResidentData[[#This Row],[P18]]=TRUE),1,0)</f>
        <v>0</v>
      </c>
      <c r="DG139" s="120">
        <f ca="1">IF(OR(Tbl_ResidentData[[#This Row],[S19]]=TRUE,Tbl_ResidentData[[#This Row],[P19]]=TRUE),1,0)</f>
        <v>0</v>
      </c>
      <c r="DH139" s="120">
        <f ca="1">IF(OR(Tbl_ResidentData[[#This Row],[S20]]=TRUE,Tbl_ResidentData[[#This Row],[P20]]=TRUE),1,0)</f>
        <v>0</v>
      </c>
      <c r="DI139" s="120">
        <f ca="1">IF(OR(Tbl_ResidentData[[#This Row],[S21]]=TRUE,Tbl_ResidentData[[#This Row],[P21]]=TRUE),1,0)</f>
        <v>0</v>
      </c>
      <c r="DJ139" s="120">
        <f ca="1">IF(OR(Tbl_ResidentData[[#This Row],[S22]]=TRUE,Tbl_ResidentData[[#This Row],[P22]]=TRUE),1,0)</f>
        <v>0</v>
      </c>
      <c r="DK139" s="120">
        <f ca="1">IF(OR(Tbl_ResidentData[[#This Row],[S23]]=TRUE,Tbl_ResidentData[[#This Row],[P23]]=TRUE),1,0)</f>
        <v>0</v>
      </c>
      <c r="DL139" s="120">
        <f ca="1">IF(OR(Tbl_ResidentData[[#This Row],[S24]]=TRUE,Tbl_ResidentData[[#This Row],[P24]]=TRUE),1,0)</f>
        <v>0</v>
      </c>
      <c r="DM139" s="123" t="str">
        <f ca="1">IFERROR(INDEX($CO$4:$DL$4,MATCH(TRUE,INDEX((Tbl_ResidentData[[#This Row],[Over1]:[Over24]]&lt;&gt;0),0),0)),"")</f>
        <v/>
      </c>
      <c r="DN139" s="133" t="str">
        <f>IFERROR(INDEX(Tbl_PDSAData[Last DRT],MATCH(Tbl_ResidentData[Resident Name '[last, first']],Tbl_PDSAData[Resident Name (last, first)],0)),"")</f>
        <v/>
      </c>
      <c r="DO139" s="222" t="str">
        <f>IFERROR(INDEX(Tbl_PDSAData[Last MR],MATCH(Tbl_ResidentData[Resident Name '[last, first']],Tbl_PDSAData[Resident Name (last, first)],0)),"")</f>
        <v/>
      </c>
    </row>
    <row r="140" spans="1:119" x14ac:dyDescent="0.25">
      <c r="A140" s="179"/>
      <c r="B140" s="180"/>
      <c r="C140" s="180"/>
      <c r="D140" s="218"/>
      <c r="E140" s="179"/>
      <c r="F140" s="179"/>
      <c r="G140" s="181"/>
      <c r="H140" s="375"/>
      <c r="I140" s="185"/>
      <c r="J140" s="387"/>
      <c r="K140" s="178"/>
      <c r="L140" s="388"/>
      <c r="M140" s="185"/>
      <c r="N140" s="386"/>
      <c r="O140" s="178"/>
      <c r="P140" s="388"/>
      <c r="Q140" s="394"/>
      <c r="R140" s="388"/>
      <c r="S140" s="131" t="str">
        <f>IF(ISBLANK(Tbl_ResidentData[[#This Row],[Discharge '[mmm-yyyy']]]),IF(ISBLANK(Tbl_ResidentData[[#This Row],[Enrollment '[mmm-yyyy']]]),"","In Care Home"),"Discharged")</f>
        <v/>
      </c>
      <c r="T140" s="119" t="str">
        <f>IF(ISBLANK(Tbl_ResidentData[[#This Row],[Diagnosis (RAI)]]),IF(ISBLANK(Tbl_ResidentData[[#This Row],[Resident Name '[last, first']]]),"",0),IF(Tbl_ResidentData[[#This Row],[Diagnosis (RAI)]]="Other (see clinical notes)",0,1))</f>
        <v/>
      </c>
      <c r="U140" s="120" t="str">
        <f ca="1">IF(U$4&gt;NOW(),"-",IF(ISBLANK(Tbl_ResidentData[[#This Row],[Enrollment '[mmm-yyyy']]]),"-",AND((Tbl_ResidentData[[#This Row],[Enrollment '[mmm-yyyy']]]&lt;=U$4),IF(ISBLANK(Tbl_ResidentData[[#This Row],[Discharge '[mmm-yyyy']]]),TRUE,(Tbl_ResidentData[[#This Row],[Discharge '[mmm-yyyy']]]&gt;=U$4)))))</f>
        <v>-</v>
      </c>
      <c r="V140" s="121" t="str">
        <f ca="1">IF(V$4&gt;NOW(),"-",IF(ISBLANK(Tbl_ResidentData[[#This Row],[Enrollment '[mmm-yyyy']]]),"-",AND((Tbl_ResidentData[[#This Row],[Enrollment '[mmm-yyyy']]]&lt;=V$4),IF(ISBLANK(Tbl_ResidentData[[#This Row],[Discharge '[mmm-yyyy']]]),TRUE,(Tbl_ResidentData[[#This Row],[Discharge '[mmm-yyyy']]]&gt;=V$4)))))</f>
        <v>-</v>
      </c>
      <c r="W140" s="121" t="str">
        <f ca="1">IF(W$4&gt;NOW(),"-",IF(ISBLANK(Tbl_ResidentData[[#This Row],[Enrollment '[mmm-yyyy']]]),"-",AND((Tbl_ResidentData[[#This Row],[Enrollment '[mmm-yyyy']]]&lt;=W$4),IF(ISBLANK(Tbl_ResidentData[[#This Row],[Discharge '[mmm-yyyy']]]),TRUE,(Tbl_ResidentData[[#This Row],[Discharge '[mmm-yyyy']]]&gt;=W$4)))))</f>
        <v>-</v>
      </c>
      <c r="X140" s="121" t="str">
        <f ca="1">IF(X$4&gt;NOW(),"-",IF(ISBLANK(Tbl_ResidentData[[#This Row],[Enrollment '[mmm-yyyy']]]),"-",AND((Tbl_ResidentData[[#This Row],[Enrollment '[mmm-yyyy']]]&lt;=X$4),IF(ISBLANK(Tbl_ResidentData[[#This Row],[Discharge '[mmm-yyyy']]]),TRUE,(Tbl_ResidentData[[#This Row],[Discharge '[mmm-yyyy']]]&gt;=X$4)))))</f>
        <v>-</v>
      </c>
      <c r="Y140" s="121" t="str">
        <f ca="1">IF(Y$4&gt;NOW(),"-",IF(ISBLANK(Tbl_ResidentData[[#This Row],[Enrollment '[mmm-yyyy']]]),"-",AND((Tbl_ResidentData[[#This Row],[Enrollment '[mmm-yyyy']]]&lt;=Y$4),IF(ISBLANK(Tbl_ResidentData[[#This Row],[Discharge '[mmm-yyyy']]]),TRUE,(Tbl_ResidentData[[#This Row],[Discharge '[mmm-yyyy']]]&gt;=Y$4)))))</f>
        <v>-</v>
      </c>
      <c r="Z140" s="121" t="str">
        <f ca="1">IF(Z$4&gt;NOW(),"-",IF(ISBLANK(Tbl_ResidentData[[#This Row],[Enrollment '[mmm-yyyy']]]),"-",AND((Tbl_ResidentData[[#This Row],[Enrollment '[mmm-yyyy']]]&lt;=Z$4),IF(ISBLANK(Tbl_ResidentData[[#This Row],[Discharge '[mmm-yyyy']]]),TRUE,(Tbl_ResidentData[[#This Row],[Discharge '[mmm-yyyy']]]&gt;=Z$4)))))</f>
        <v>-</v>
      </c>
      <c r="AA140" s="121" t="str">
        <f ca="1">IF(AA$4&gt;NOW(),"-",IF(ISBLANK(Tbl_ResidentData[[#This Row],[Enrollment '[mmm-yyyy']]]),"-",AND((Tbl_ResidentData[[#This Row],[Enrollment '[mmm-yyyy']]]&lt;=AA$4),IF(ISBLANK(Tbl_ResidentData[[#This Row],[Discharge '[mmm-yyyy']]]),TRUE,(Tbl_ResidentData[[#This Row],[Discharge '[mmm-yyyy']]]&gt;=AA$4)))))</f>
        <v>-</v>
      </c>
      <c r="AB140" s="121" t="str">
        <f ca="1">IF(AB$4&gt;NOW(),"-",IF(ISBLANK(Tbl_ResidentData[[#This Row],[Enrollment '[mmm-yyyy']]]),"-",AND((Tbl_ResidentData[[#This Row],[Enrollment '[mmm-yyyy']]]&lt;=AB$4),IF(ISBLANK(Tbl_ResidentData[[#This Row],[Discharge '[mmm-yyyy']]]),TRUE,(Tbl_ResidentData[[#This Row],[Discharge '[mmm-yyyy']]]&gt;=AB$4)))))</f>
        <v>-</v>
      </c>
      <c r="AC140" s="121" t="str">
        <f ca="1">IF(AC$4&gt;NOW(),"-",IF(ISBLANK(Tbl_ResidentData[[#This Row],[Enrollment '[mmm-yyyy']]]),"-",AND((Tbl_ResidentData[[#This Row],[Enrollment '[mmm-yyyy']]]&lt;=AC$4),IF(ISBLANK(Tbl_ResidentData[[#This Row],[Discharge '[mmm-yyyy']]]),TRUE,(Tbl_ResidentData[[#This Row],[Discharge '[mmm-yyyy']]]&gt;=AC$4)))))</f>
        <v>-</v>
      </c>
      <c r="AD140" s="121" t="str">
        <f ca="1">IF(AD$4&gt;NOW(),"-",IF(ISBLANK(Tbl_ResidentData[[#This Row],[Enrollment '[mmm-yyyy']]]),"-",AND((Tbl_ResidentData[[#This Row],[Enrollment '[mmm-yyyy']]]&lt;=AD$4),IF(ISBLANK(Tbl_ResidentData[[#This Row],[Discharge '[mmm-yyyy']]]),TRUE,(Tbl_ResidentData[[#This Row],[Discharge '[mmm-yyyy']]]&gt;=AD$4)))))</f>
        <v>-</v>
      </c>
      <c r="AE140" s="121" t="str">
        <f ca="1">IF(AE$4&gt;NOW(),"-",IF(ISBLANK(Tbl_ResidentData[[#This Row],[Enrollment '[mmm-yyyy']]]),"-",AND((Tbl_ResidentData[[#This Row],[Enrollment '[mmm-yyyy']]]&lt;=AE$4),IF(ISBLANK(Tbl_ResidentData[[#This Row],[Discharge '[mmm-yyyy']]]),TRUE,(Tbl_ResidentData[[#This Row],[Discharge '[mmm-yyyy']]]&gt;=AE$4)))))</f>
        <v>-</v>
      </c>
      <c r="AF140" s="121" t="str">
        <f ca="1">IF(AF$4&gt;NOW(),"-",IF(ISBLANK(Tbl_ResidentData[[#This Row],[Enrollment '[mmm-yyyy']]]),"-",AND((Tbl_ResidentData[[#This Row],[Enrollment '[mmm-yyyy']]]&lt;=AF$4),IF(ISBLANK(Tbl_ResidentData[[#This Row],[Discharge '[mmm-yyyy']]]),TRUE,(Tbl_ResidentData[[#This Row],[Discharge '[mmm-yyyy']]]&gt;=AF$4)))))</f>
        <v>-</v>
      </c>
      <c r="AG140" s="121" t="str">
        <f ca="1">IF(AG$4&gt;NOW(),"-",IF(ISBLANK(Tbl_ResidentData[[#This Row],[Enrollment '[mmm-yyyy']]]),"-",AND((Tbl_ResidentData[[#This Row],[Enrollment '[mmm-yyyy']]]&lt;=AG$4),IF(ISBLANK(Tbl_ResidentData[[#This Row],[Discharge '[mmm-yyyy']]]),TRUE,(Tbl_ResidentData[[#This Row],[Discharge '[mmm-yyyy']]]&gt;=AG$4)))))</f>
        <v>-</v>
      </c>
      <c r="AH140" s="121" t="str">
        <f ca="1">IF(AH$4&gt;NOW(),"-",IF(ISBLANK(Tbl_ResidentData[[#This Row],[Enrollment '[mmm-yyyy']]]),"-",AND((Tbl_ResidentData[[#This Row],[Enrollment '[mmm-yyyy']]]&lt;=AH$4),IF(ISBLANK(Tbl_ResidentData[[#This Row],[Discharge '[mmm-yyyy']]]),TRUE,(Tbl_ResidentData[[#This Row],[Discharge '[mmm-yyyy']]]&gt;=AH$4)))))</f>
        <v>-</v>
      </c>
      <c r="AI140" s="121" t="str">
        <f ca="1">IF(AI$4&gt;NOW(),"-",IF(ISBLANK(Tbl_ResidentData[[#This Row],[Enrollment '[mmm-yyyy']]]),"-",AND((Tbl_ResidentData[[#This Row],[Enrollment '[mmm-yyyy']]]&lt;=AI$4),IF(ISBLANK(Tbl_ResidentData[[#This Row],[Discharge '[mmm-yyyy']]]),TRUE,(Tbl_ResidentData[[#This Row],[Discharge '[mmm-yyyy']]]&gt;=AI$4)))))</f>
        <v>-</v>
      </c>
      <c r="AJ140" s="121" t="str">
        <f ca="1">IF(AJ$4&gt;NOW(),"-",IF(ISBLANK(Tbl_ResidentData[[#This Row],[Enrollment '[mmm-yyyy']]]),"-",AND((Tbl_ResidentData[[#This Row],[Enrollment '[mmm-yyyy']]]&lt;=AJ$4),IF(ISBLANK(Tbl_ResidentData[[#This Row],[Discharge '[mmm-yyyy']]]),TRUE,(Tbl_ResidentData[[#This Row],[Discharge '[mmm-yyyy']]]&gt;=AJ$4)))))</f>
        <v>-</v>
      </c>
      <c r="AK140" s="121" t="str">
        <f ca="1">IF(AK$4&gt;NOW(),"-",IF(ISBLANK(Tbl_ResidentData[[#This Row],[Enrollment '[mmm-yyyy']]]),"-",AND((Tbl_ResidentData[[#This Row],[Enrollment '[mmm-yyyy']]]&lt;=AK$4),IF(ISBLANK(Tbl_ResidentData[[#This Row],[Discharge '[mmm-yyyy']]]),TRUE,(Tbl_ResidentData[[#This Row],[Discharge '[mmm-yyyy']]]&gt;=AK$4)))))</f>
        <v>-</v>
      </c>
      <c r="AL140" s="121" t="str">
        <f ca="1">IF(AL$4&gt;NOW(),"-",IF(ISBLANK(Tbl_ResidentData[[#This Row],[Enrollment '[mmm-yyyy']]]),"-",AND((Tbl_ResidentData[[#This Row],[Enrollment '[mmm-yyyy']]]&lt;=AL$4),IF(ISBLANK(Tbl_ResidentData[[#This Row],[Discharge '[mmm-yyyy']]]),TRUE,(Tbl_ResidentData[[#This Row],[Discharge '[mmm-yyyy']]]&gt;=AL$4)))))</f>
        <v>-</v>
      </c>
      <c r="AM140" s="121" t="str">
        <f ca="1">IF(AM$4&gt;NOW(),"-",IF(ISBLANK(Tbl_ResidentData[[#This Row],[Enrollment '[mmm-yyyy']]]),"-",AND((Tbl_ResidentData[[#This Row],[Enrollment '[mmm-yyyy']]]&lt;=AM$4),IF(ISBLANK(Tbl_ResidentData[[#This Row],[Discharge '[mmm-yyyy']]]),TRUE,(Tbl_ResidentData[[#This Row],[Discharge '[mmm-yyyy']]]&gt;=AM$4)))))</f>
        <v>-</v>
      </c>
      <c r="AN140" s="121" t="str">
        <f ca="1">IF(AN$4&gt;NOW(),"-",IF(ISBLANK(Tbl_ResidentData[[#This Row],[Enrollment '[mmm-yyyy']]]),"-",AND((Tbl_ResidentData[[#This Row],[Enrollment '[mmm-yyyy']]]&lt;=AN$4),IF(ISBLANK(Tbl_ResidentData[[#This Row],[Discharge '[mmm-yyyy']]]),TRUE,(Tbl_ResidentData[[#This Row],[Discharge '[mmm-yyyy']]]&gt;=AN$4)))))</f>
        <v>-</v>
      </c>
      <c r="AO140" s="121" t="str">
        <f ca="1">IF(AO$4&gt;NOW(),"-",IF(ISBLANK(Tbl_ResidentData[[#This Row],[Enrollment '[mmm-yyyy']]]),"-",AND((Tbl_ResidentData[[#This Row],[Enrollment '[mmm-yyyy']]]&lt;=AO$4),IF(ISBLANK(Tbl_ResidentData[[#This Row],[Discharge '[mmm-yyyy']]]),TRUE,(Tbl_ResidentData[[#This Row],[Discharge '[mmm-yyyy']]]&gt;=AO$4)))))</f>
        <v>-</v>
      </c>
      <c r="AP140" s="121" t="str">
        <f ca="1">IF(AP$4&gt;NOW(),"-",IF(ISBLANK(Tbl_ResidentData[[#This Row],[Enrollment '[mmm-yyyy']]]),"-",AND((Tbl_ResidentData[[#This Row],[Enrollment '[mmm-yyyy']]]&lt;=AP$4),IF(ISBLANK(Tbl_ResidentData[[#This Row],[Discharge '[mmm-yyyy']]]),TRUE,(Tbl_ResidentData[[#This Row],[Discharge '[mmm-yyyy']]]&gt;=AP$4)))))</f>
        <v>-</v>
      </c>
      <c r="AQ140" s="121" t="str">
        <f ca="1">IF(AQ$4&gt;NOW(),"-",IF(ISBLANK(Tbl_ResidentData[[#This Row],[Enrollment '[mmm-yyyy']]]),"-",AND((Tbl_ResidentData[[#This Row],[Enrollment '[mmm-yyyy']]]&lt;=AQ$4),IF(ISBLANK(Tbl_ResidentData[[#This Row],[Discharge '[mmm-yyyy']]]),TRUE,(Tbl_ResidentData[[#This Row],[Discharge '[mmm-yyyy']]]&gt;=AQ$4)))))</f>
        <v>-</v>
      </c>
      <c r="AR140" s="122" t="str">
        <f ca="1">IF(AR$4&gt;NOW(),"-",IF(ISBLANK(Tbl_ResidentData[[#This Row],[Enrollment '[mmm-yyyy']]]),"-",AND((Tbl_ResidentData[[#This Row],[Enrollment '[mmm-yyyy']]]&lt;=AR$4),IF(ISBLANK(Tbl_ResidentData[[#This Row],[Discharge '[mmm-yyyy']]]),TRUE,(Tbl_ResidentData[[#This Row],[Discharge '[mmm-yyyy']]]&gt;=AR$4)))))</f>
        <v>-</v>
      </c>
      <c r="AS14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0" s="120" t="b">
        <f ca="1">AND(Tbl_ResidentData[[#This Row],[PRN Med Started]]&lt;&gt;"",Tbl_ResidentData[[#This Row],[PRN Med Started]]&lt;=NOW(),Tbl_ResidentData[[#This Row],[PRN Med Started]]&lt;=AS$4,OR(Tbl_ResidentData[[#This Row],[PRN Med Discontinued]]&gt;AS$4,ISBLANK(Tbl_ResidentData[[#This Row],[PRN Med Discontinued]])))</f>
        <v>0</v>
      </c>
      <c r="BR140" s="121" t="b">
        <f ca="1">AND(Tbl_ResidentData[[#This Row],[PRN Med Started]]&lt;&gt;"",Tbl_ResidentData[[#This Row],[PRN Med Started]]&lt;=NOW(),Tbl_ResidentData[[#This Row],[PRN Med Started]]&lt;=AT$4,OR(Tbl_ResidentData[[#This Row],[PRN Med Discontinued]]&gt;AT$4,ISBLANK(Tbl_ResidentData[[#This Row],[PRN Med Discontinued]])))</f>
        <v>0</v>
      </c>
      <c r="BS140" s="121" t="b">
        <f ca="1">AND(Tbl_ResidentData[[#This Row],[PRN Med Started]]&lt;&gt;"",Tbl_ResidentData[[#This Row],[PRN Med Started]]&lt;=NOW(),Tbl_ResidentData[[#This Row],[PRN Med Started]]&lt;=AU$4,OR(Tbl_ResidentData[[#This Row],[PRN Med Discontinued]]&gt;AU$4,ISBLANK(Tbl_ResidentData[[#This Row],[PRN Med Discontinued]])))</f>
        <v>0</v>
      </c>
      <c r="BT140" s="121" t="b">
        <f ca="1">AND(Tbl_ResidentData[[#This Row],[PRN Med Started]]&lt;&gt;"",Tbl_ResidentData[[#This Row],[PRN Med Started]]&lt;=NOW(),Tbl_ResidentData[[#This Row],[PRN Med Started]]&lt;=AV$4,OR(Tbl_ResidentData[[#This Row],[PRN Med Discontinued]]&gt;AV$4,ISBLANK(Tbl_ResidentData[[#This Row],[PRN Med Discontinued]])))</f>
        <v>0</v>
      </c>
      <c r="BU140" s="121" t="b">
        <f ca="1">AND(Tbl_ResidentData[[#This Row],[PRN Med Started]]&lt;&gt;"",Tbl_ResidentData[[#This Row],[PRN Med Started]]&lt;=NOW(),Tbl_ResidentData[[#This Row],[PRN Med Started]]&lt;=AW$4,OR(Tbl_ResidentData[[#This Row],[PRN Med Discontinued]]&gt;AW$4,ISBLANK(Tbl_ResidentData[[#This Row],[PRN Med Discontinued]])))</f>
        <v>0</v>
      </c>
      <c r="BV140" s="121" t="b">
        <f ca="1">AND(Tbl_ResidentData[[#This Row],[PRN Med Started]]&lt;&gt;"",Tbl_ResidentData[[#This Row],[PRN Med Started]]&lt;=NOW(),Tbl_ResidentData[[#This Row],[PRN Med Started]]&lt;=AX$4,OR(Tbl_ResidentData[[#This Row],[PRN Med Discontinued]]&gt;AX$4,ISBLANK(Tbl_ResidentData[[#This Row],[PRN Med Discontinued]])))</f>
        <v>0</v>
      </c>
      <c r="BW140" s="121" t="b">
        <f ca="1">AND(Tbl_ResidentData[[#This Row],[PRN Med Started]]&lt;&gt;"",Tbl_ResidentData[[#This Row],[PRN Med Started]]&lt;=NOW(),Tbl_ResidentData[[#This Row],[PRN Med Started]]&lt;=AY$4,OR(Tbl_ResidentData[[#This Row],[PRN Med Discontinued]]&gt;AY$4,ISBLANK(Tbl_ResidentData[[#This Row],[PRN Med Discontinued]])))</f>
        <v>0</v>
      </c>
      <c r="BX140" s="121" t="b">
        <f ca="1">AND(Tbl_ResidentData[[#This Row],[PRN Med Started]]&lt;&gt;"",Tbl_ResidentData[[#This Row],[PRN Med Started]]&lt;=NOW(),Tbl_ResidentData[[#This Row],[PRN Med Started]]&lt;=AZ$4,OR(Tbl_ResidentData[[#This Row],[PRN Med Discontinued]]&gt;AZ$4,ISBLANK(Tbl_ResidentData[[#This Row],[PRN Med Discontinued]])))</f>
        <v>0</v>
      </c>
      <c r="BY140" s="121" t="b">
        <f ca="1">AND(Tbl_ResidentData[[#This Row],[PRN Med Started]]&lt;&gt;"",Tbl_ResidentData[[#This Row],[PRN Med Started]]&lt;=NOW(),Tbl_ResidentData[[#This Row],[PRN Med Started]]&lt;=BA$4,OR(Tbl_ResidentData[[#This Row],[PRN Med Discontinued]]&gt;BA$4,ISBLANK(Tbl_ResidentData[[#This Row],[PRN Med Discontinued]])))</f>
        <v>0</v>
      </c>
      <c r="BZ140" s="121" t="b">
        <f ca="1">AND(Tbl_ResidentData[[#This Row],[PRN Med Started]]&lt;&gt;"",Tbl_ResidentData[[#This Row],[PRN Med Started]]&lt;=NOW(),Tbl_ResidentData[[#This Row],[PRN Med Started]]&lt;=BB$4,OR(Tbl_ResidentData[[#This Row],[PRN Med Discontinued]]&gt;BB$4,ISBLANK(Tbl_ResidentData[[#This Row],[PRN Med Discontinued]])))</f>
        <v>0</v>
      </c>
      <c r="CA140" s="121" t="b">
        <f ca="1">AND(Tbl_ResidentData[[#This Row],[PRN Med Started]]&lt;&gt;"",Tbl_ResidentData[[#This Row],[PRN Med Started]]&lt;=NOW(),Tbl_ResidentData[[#This Row],[PRN Med Started]]&lt;=BC$4,OR(Tbl_ResidentData[[#This Row],[PRN Med Discontinued]]&gt;BC$4,ISBLANK(Tbl_ResidentData[[#This Row],[PRN Med Discontinued]])))</f>
        <v>0</v>
      </c>
      <c r="CB140" s="121" t="b">
        <f ca="1">AND(Tbl_ResidentData[[#This Row],[PRN Med Started]]&lt;&gt;"",Tbl_ResidentData[[#This Row],[PRN Med Started]]&lt;=NOW(),Tbl_ResidentData[[#This Row],[PRN Med Started]]&lt;=BD$4,OR(Tbl_ResidentData[[#This Row],[PRN Med Discontinued]]&gt;BD$4,ISBLANK(Tbl_ResidentData[[#This Row],[PRN Med Discontinued]])))</f>
        <v>0</v>
      </c>
      <c r="CC140" s="121" t="b">
        <f ca="1">AND(Tbl_ResidentData[[#This Row],[PRN Med Started]]&lt;&gt;"",Tbl_ResidentData[[#This Row],[PRN Med Started]]&lt;=NOW(),Tbl_ResidentData[[#This Row],[PRN Med Started]]&lt;=BE$4,OR(Tbl_ResidentData[[#This Row],[PRN Med Discontinued]]&gt;BE$4,ISBLANK(Tbl_ResidentData[[#This Row],[PRN Med Discontinued]])))</f>
        <v>0</v>
      </c>
      <c r="CD140" s="121" t="b">
        <f ca="1">AND(Tbl_ResidentData[[#This Row],[PRN Med Started]]&lt;&gt;"",Tbl_ResidentData[[#This Row],[PRN Med Started]]&lt;=NOW(),Tbl_ResidentData[[#This Row],[PRN Med Started]]&lt;=BF$4,OR(Tbl_ResidentData[[#This Row],[PRN Med Discontinued]]&gt;BF$4,ISBLANK(Tbl_ResidentData[[#This Row],[PRN Med Discontinued]])))</f>
        <v>0</v>
      </c>
      <c r="CE140" s="121" t="b">
        <f ca="1">AND(Tbl_ResidentData[[#This Row],[PRN Med Started]]&lt;&gt;"",Tbl_ResidentData[[#This Row],[PRN Med Started]]&lt;=NOW(),Tbl_ResidentData[[#This Row],[PRN Med Started]]&lt;=BG$4,OR(Tbl_ResidentData[[#This Row],[PRN Med Discontinued]]&gt;BG$4,ISBLANK(Tbl_ResidentData[[#This Row],[PRN Med Discontinued]])))</f>
        <v>0</v>
      </c>
      <c r="CF140" s="121" t="b">
        <f ca="1">AND(Tbl_ResidentData[[#This Row],[PRN Med Started]]&lt;&gt;"",Tbl_ResidentData[[#This Row],[PRN Med Started]]&lt;=NOW(),Tbl_ResidentData[[#This Row],[PRN Med Started]]&lt;=BH$4,OR(Tbl_ResidentData[[#This Row],[PRN Med Discontinued]]&gt;BH$4,ISBLANK(Tbl_ResidentData[[#This Row],[PRN Med Discontinued]])))</f>
        <v>0</v>
      </c>
      <c r="CG140" s="121" t="b">
        <f ca="1">AND(Tbl_ResidentData[[#This Row],[PRN Med Started]]&lt;&gt;"",Tbl_ResidentData[[#This Row],[PRN Med Started]]&lt;=NOW(),Tbl_ResidentData[[#This Row],[PRN Med Started]]&lt;=BI$4,OR(Tbl_ResidentData[[#This Row],[PRN Med Discontinued]]&gt;BI$4,ISBLANK(Tbl_ResidentData[[#This Row],[PRN Med Discontinued]])))</f>
        <v>0</v>
      </c>
      <c r="CH140" s="121" t="b">
        <f ca="1">AND(Tbl_ResidentData[[#This Row],[PRN Med Started]]&lt;&gt;"",Tbl_ResidentData[[#This Row],[PRN Med Started]]&lt;=NOW(),Tbl_ResidentData[[#This Row],[PRN Med Started]]&lt;=BJ$4,OR(Tbl_ResidentData[[#This Row],[PRN Med Discontinued]]&gt;BJ$4,ISBLANK(Tbl_ResidentData[[#This Row],[PRN Med Discontinued]])))</f>
        <v>0</v>
      </c>
      <c r="CI140" s="121" t="b">
        <f ca="1">AND(Tbl_ResidentData[[#This Row],[PRN Med Started]]&lt;&gt;"",Tbl_ResidentData[[#This Row],[PRN Med Started]]&lt;=NOW(),Tbl_ResidentData[[#This Row],[PRN Med Started]]&lt;=BK$4,OR(Tbl_ResidentData[[#This Row],[PRN Med Discontinued]]&gt;BK$4,ISBLANK(Tbl_ResidentData[[#This Row],[PRN Med Discontinued]])))</f>
        <v>0</v>
      </c>
      <c r="CJ140" s="121" t="b">
        <f ca="1">AND(Tbl_ResidentData[[#This Row],[PRN Med Started]]&lt;&gt;"",Tbl_ResidentData[[#This Row],[PRN Med Started]]&lt;=NOW(),Tbl_ResidentData[[#This Row],[PRN Med Started]]&lt;=BL$4,OR(Tbl_ResidentData[[#This Row],[PRN Med Discontinued]]&gt;BL$4,ISBLANK(Tbl_ResidentData[[#This Row],[PRN Med Discontinued]])))</f>
        <v>0</v>
      </c>
      <c r="CK140" s="121" t="b">
        <f ca="1">AND(Tbl_ResidentData[[#This Row],[PRN Med Started]]&lt;&gt;"",Tbl_ResidentData[[#This Row],[PRN Med Started]]&lt;=NOW(),Tbl_ResidentData[[#This Row],[PRN Med Started]]&lt;=BM$4,OR(Tbl_ResidentData[[#This Row],[PRN Med Discontinued]]&gt;BM$4,ISBLANK(Tbl_ResidentData[[#This Row],[PRN Med Discontinued]])))</f>
        <v>0</v>
      </c>
      <c r="CL140" s="121" t="b">
        <f ca="1">AND(Tbl_ResidentData[[#This Row],[PRN Med Started]]&lt;&gt;"",Tbl_ResidentData[[#This Row],[PRN Med Started]]&lt;=NOW(),Tbl_ResidentData[[#This Row],[PRN Med Started]]&lt;=BN$4,OR(Tbl_ResidentData[[#This Row],[PRN Med Discontinued]]&gt;BN$4,ISBLANK(Tbl_ResidentData[[#This Row],[PRN Med Discontinued]])))</f>
        <v>0</v>
      </c>
      <c r="CM140" s="121" t="b">
        <f ca="1">AND(Tbl_ResidentData[[#This Row],[PRN Med Started]]&lt;&gt;"",Tbl_ResidentData[[#This Row],[PRN Med Started]]&lt;=NOW(),Tbl_ResidentData[[#This Row],[PRN Med Started]]&lt;=BO$4,OR(Tbl_ResidentData[[#This Row],[PRN Med Discontinued]]&gt;BO$4,ISBLANK(Tbl_ResidentData[[#This Row],[PRN Med Discontinued]])))</f>
        <v>0</v>
      </c>
      <c r="CN140" s="122" t="b">
        <f ca="1">AND(Tbl_ResidentData[[#This Row],[PRN Med Started]]&lt;&gt;"",Tbl_ResidentData[[#This Row],[PRN Med Started]]&lt;=NOW(),Tbl_ResidentData[[#This Row],[PRN Med Started]]&lt;=BP$4,OR(Tbl_ResidentData[[#This Row],[PRN Med Discontinued]]&gt;BP$4,ISBLANK(Tbl_ResidentData[[#This Row],[PRN Med Discontinued]])))</f>
        <v>0</v>
      </c>
      <c r="CO140" s="120">
        <f ca="1">IF(OR(Tbl_ResidentData[[#This Row],[S1]]=TRUE,Tbl_ResidentData[[#This Row],[P1]]=TRUE),1,0)</f>
        <v>0</v>
      </c>
      <c r="CP140" s="121">
        <f ca="1">IF(OR(Tbl_ResidentData[[#This Row],[S2]]=TRUE,Tbl_ResidentData[[#This Row],[P2]]=TRUE),1,0)</f>
        <v>0</v>
      </c>
      <c r="CQ140" s="121">
        <f ca="1">IF(OR(Tbl_ResidentData[[#This Row],[S3]]=TRUE,Tbl_ResidentData[[#This Row],[P3]]=TRUE),1,0)</f>
        <v>0</v>
      </c>
      <c r="CR140" s="120">
        <f ca="1">IF(OR(Tbl_ResidentData[[#This Row],[S4]]=TRUE,Tbl_ResidentData[[#This Row],[P4]]=TRUE),1,0)</f>
        <v>0</v>
      </c>
      <c r="CS140" s="120">
        <f ca="1">IF(OR(Tbl_ResidentData[[#This Row],[S5]]=TRUE,Tbl_ResidentData[[#This Row],[P5]]=TRUE),1,0)</f>
        <v>0</v>
      </c>
      <c r="CT140" s="120">
        <f ca="1">IF(OR(Tbl_ResidentData[[#This Row],[S6]]=TRUE,Tbl_ResidentData[[#This Row],[P6]]=TRUE),1,0)</f>
        <v>0</v>
      </c>
      <c r="CU140" s="120">
        <f ca="1">IF(OR(Tbl_ResidentData[[#This Row],[S7]]=TRUE,Tbl_ResidentData[[#This Row],[P7]]=TRUE),1,0)</f>
        <v>0</v>
      </c>
      <c r="CV140" s="120">
        <f ca="1">IF(OR(Tbl_ResidentData[[#This Row],[S8]]=TRUE,Tbl_ResidentData[[#This Row],[P8]]=TRUE),1,0)</f>
        <v>0</v>
      </c>
      <c r="CW140" s="120">
        <f ca="1">IF(OR(Tbl_ResidentData[[#This Row],[S9]]=TRUE,Tbl_ResidentData[[#This Row],[P9]]=TRUE),1,0)</f>
        <v>0</v>
      </c>
      <c r="CX140" s="120">
        <f ca="1">IF(OR(Tbl_ResidentData[[#This Row],[S10]]=TRUE,Tbl_ResidentData[[#This Row],[P10]]=TRUE),1,0)</f>
        <v>0</v>
      </c>
      <c r="CY140" s="120">
        <f ca="1">IF(OR(Tbl_ResidentData[[#This Row],[S11]]=TRUE,Tbl_ResidentData[[#This Row],[P11]]=TRUE),1,0)</f>
        <v>0</v>
      </c>
      <c r="CZ140" s="120">
        <f ca="1">IF(OR(Tbl_ResidentData[[#This Row],[S12]]=TRUE,Tbl_ResidentData[[#This Row],[P12]]=TRUE),1,0)</f>
        <v>0</v>
      </c>
      <c r="DA140" s="120">
        <f ca="1">IF(OR(Tbl_ResidentData[[#This Row],[S13]]=TRUE,Tbl_ResidentData[[#This Row],[P13]]=TRUE),1,0)</f>
        <v>0</v>
      </c>
      <c r="DB140" s="120">
        <f ca="1">IF(OR(Tbl_ResidentData[[#This Row],[S14]]=TRUE,Tbl_ResidentData[[#This Row],[P14]]=TRUE),1,0)</f>
        <v>0</v>
      </c>
      <c r="DC140" s="120">
        <f ca="1">IF(OR(Tbl_ResidentData[[#This Row],[S15]]=TRUE,Tbl_ResidentData[[#This Row],[P15]]=TRUE),1,0)</f>
        <v>0</v>
      </c>
      <c r="DD140" s="120">
        <f ca="1">IF(OR(Tbl_ResidentData[[#This Row],[S16]]=TRUE,Tbl_ResidentData[[#This Row],[P16]]=TRUE),1,0)</f>
        <v>0</v>
      </c>
      <c r="DE140" s="120">
        <f ca="1">IF(OR(Tbl_ResidentData[[#This Row],[S17]]=TRUE,Tbl_ResidentData[[#This Row],[P17]]=TRUE),1,0)</f>
        <v>0</v>
      </c>
      <c r="DF140" s="120">
        <f ca="1">IF(OR(Tbl_ResidentData[[#This Row],[S18]]=TRUE,Tbl_ResidentData[[#This Row],[P18]]=TRUE),1,0)</f>
        <v>0</v>
      </c>
      <c r="DG140" s="120">
        <f ca="1">IF(OR(Tbl_ResidentData[[#This Row],[S19]]=TRUE,Tbl_ResidentData[[#This Row],[P19]]=TRUE),1,0)</f>
        <v>0</v>
      </c>
      <c r="DH140" s="120">
        <f ca="1">IF(OR(Tbl_ResidentData[[#This Row],[S20]]=TRUE,Tbl_ResidentData[[#This Row],[P20]]=TRUE),1,0)</f>
        <v>0</v>
      </c>
      <c r="DI140" s="120">
        <f ca="1">IF(OR(Tbl_ResidentData[[#This Row],[S21]]=TRUE,Tbl_ResidentData[[#This Row],[P21]]=TRUE),1,0)</f>
        <v>0</v>
      </c>
      <c r="DJ140" s="120">
        <f ca="1">IF(OR(Tbl_ResidentData[[#This Row],[S22]]=TRUE,Tbl_ResidentData[[#This Row],[P22]]=TRUE),1,0)</f>
        <v>0</v>
      </c>
      <c r="DK140" s="120">
        <f ca="1">IF(OR(Tbl_ResidentData[[#This Row],[S23]]=TRUE,Tbl_ResidentData[[#This Row],[P23]]=TRUE),1,0)</f>
        <v>0</v>
      </c>
      <c r="DL140" s="120">
        <f ca="1">IF(OR(Tbl_ResidentData[[#This Row],[S24]]=TRUE,Tbl_ResidentData[[#This Row],[P24]]=TRUE),1,0)</f>
        <v>0</v>
      </c>
      <c r="DM140" s="123" t="str">
        <f ca="1">IFERROR(INDEX($CO$4:$DL$4,MATCH(TRUE,INDEX((Tbl_ResidentData[[#This Row],[Over1]:[Over24]]&lt;&gt;0),0),0)),"")</f>
        <v/>
      </c>
      <c r="DN140" s="133" t="str">
        <f>IFERROR(INDEX(Tbl_PDSAData[Last DRT],MATCH(Tbl_ResidentData[Resident Name '[last, first']],Tbl_PDSAData[Resident Name (last, first)],0)),"")</f>
        <v/>
      </c>
      <c r="DO140" s="222" t="str">
        <f>IFERROR(INDEX(Tbl_PDSAData[Last MR],MATCH(Tbl_ResidentData[Resident Name '[last, first']],Tbl_PDSAData[Resident Name (last, first)],0)),"")</f>
        <v/>
      </c>
    </row>
    <row r="141" spans="1:119" x14ac:dyDescent="0.25">
      <c r="A141" s="179"/>
      <c r="B141" s="180"/>
      <c r="C141" s="180"/>
      <c r="D141" s="218"/>
      <c r="E141" s="179"/>
      <c r="F141" s="179"/>
      <c r="G141" s="181"/>
      <c r="H141" s="182"/>
      <c r="I141" s="185"/>
      <c r="J141" s="387"/>
      <c r="K141" s="178"/>
      <c r="L141" s="388"/>
      <c r="M141" s="185"/>
      <c r="N141" s="386"/>
      <c r="O141" s="178"/>
      <c r="P141" s="388"/>
      <c r="Q141" s="395"/>
      <c r="R141" s="396"/>
      <c r="S141" s="131" t="str">
        <f>IF(ISBLANK(Tbl_ResidentData[[#This Row],[Discharge '[mmm-yyyy']]]),IF(ISBLANK(Tbl_ResidentData[[#This Row],[Enrollment '[mmm-yyyy']]]),"","In Care Home"),"Discharged")</f>
        <v/>
      </c>
      <c r="T141" s="119" t="str">
        <f>IF(ISBLANK(Tbl_ResidentData[[#This Row],[Diagnosis (RAI)]]),IF(ISBLANK(Tbl_ResidentData[[#This Row],[Resident Name '[last, first']]]),"",0),IF(Tbl_ResidentData[[#This Row],[Diagnosis (RAI)]]="Other (see clinical notes)",0,1))</f>
        <v/>
      </c>
      <c r="U141" s="120" t="str">
        <f ca="1">IF(U$4&gt;NOW(),"-",IF(ISBLANK(Tbl_ResidentData[[#This Row],[Enrollment '[mmm-yyyy']]]),"-",AND((Tbl_ResidentData[[#This Row],[Enrollment '[mmm-yyyy']]]&lt;=U$4),IF(ISBLANK(Tbl_ResidentData[[#This Row],[Discharge '[mmm-yyyy']]]),TRUE,(Tbl_ResidentData[[#This Row],[Discharge '[mmm-yyyy']]]&gt;=U$4)))))</f>
        <v>-</v>
      </c>
      <c r="V141" s="121" t="str">
        <f ca="1">IF(V$4&gt;NOW(),"-",IF(ISBLANK(Tbl_ResidentData[[#This Row],[Enrollment '[mmm-yyyy']]]),"-",AND((Tbl_ResidentData[[#This Row],[Enrollment '[mmm-yyyy']]]&lt;=V$4),IF(ISBLANK(Tbl_ResidentData[[#This Row],[Discharge '[mmm-yyyy']]]),TRUE,(Tbl_ResidentData[[#This Row],[Discharge '[mmm-yyyy']]]&gt;=V$4)))))</f>
        <v>-</v>
      </c>
      <c r="W141" s="121" t="str">
        <f ca="1">IF(W$4&gt;NOW(),"-",IF(ISBLANK(Tbl_ResidentData[[#This Row],[Enrollment '[mmm-yyyy']]]),"-",AND((Tbl_ResidentData[[#This Row],[Enrollment '[mmm-yyyy']]]&lt;=W$4),IF(ISBLANK(Tbl_ResidentData[[#This Row],[Discharge '[mmm-yyyy']]]),TRUE,(Tbl_ResidentData[[#This Row],[Discharge '[mmm-yyyy']]]&gt;=W$4)))))</f>
        <v>-</v>
      </c>
      <c r="X141" s="121" t="str">
        <f ca="1">IF(X$4&gt;NOW(),"-",IF(ISBLANK(Tbl_ResidentData[[#This Row],[Enrollment '[mmm-yyyy']]]),"-",AND((Tbl_ResidentData[[#This Row],[Enrollment '[mmm-yyyy']]]&lt;=X$4),IF(ISBLANK(Tbl_ResidentData[[#This Row],[Discharge '[mmm-yyyy']]]),TRUE,(Tbl_ResidentData[[#This Row],[Discharge '[mmm-yyyy']]]&gt;=X$4)))))</f>
        <v>-</v>
      </c>
      <c r="Y141" s="121" t="str">
        <f ca="1">IF(Y$4&gt;NOW(),"-",IF(ISBLANK(Tbl_ResidentData[[#This Row],[Enrollment '[mmm-yyyy']]]),"-",AND((Tbl_ResidentData[[#This Row],[Enrollment '[mmm-yyyy']]]&lt;=Y$4),IF(ISBLANK(Tbl_ResidentData[[#This Row],[Discharge '[mmm-yyyy']]]),TRUE,(Tbl_ResidentData[[#This Row],[Discharge '[mmm-yyyy']]]&gt;=Y$4)))))</f>
        <v>-</v>
      </c>
      <c r="Z141" s="121" t="str">
        <f ca="1">IF(Z$4&gt;NOW(),"-",IF(ISBLANK(Tbl_ResidentData[[#This Row],[Enrollment '[mmm-yyyy']]]),"-",AND((Tbl_ResidentData[[#This Row],[Enrollment '[mmm-yyyy']]]&lt;=Z$4),IF(ISBLANK(Tbl_ResidentData[[#This Row],[Discharge '[mmm-yyyy']]]),TRUE,(Tbl_ResidentData[[#This Row],[Discharge '[mmm-yyyy']]]&gt;=Z$4)))))</f>
        <v>-</v>
      </c>
      <c r="AA141" s="121" t="str">
        <f ca="1">IF(AA$4&gt;NOW(),"-",IF(ISBLANK(Tbl_ResidentData[[#This Row],[Enrollment '[mmm-yyyy']]]),"-",AND((Tbl_ResidentData[[#This Row],[Enrollment '[mmm-yyyy']]]&lt;=AA$4),IF(ISBLANK(Tbl_ResidentData[[#This Row],[Discharge '[mmm-yyyy']]]),TRUE,(Tbl_ResidentData[[#This Row],[Discharge '[mmm-yyyy']]]&gt;=AA$4)))))</f>
        <v>-</v>
      </c>
      <c r="AB141" s="121" t="str">
        <f ca="1">IF(AB$4&gt;NOW(),"-",IF(ISBLANK(Tbl_ResidentData[[#This Row],[Enrollment '[mmm-yyyy']]]),"-",AND((Tbl_ResidentData[[#This Row],[Enrollment '[mmm-yyyy']]]&lt;=AB$4),IF(ISBLANK(Tbl_ResidentData[[#This Row],[Discharge '[mmm-yyyy']]]),TRUE,(Tbl_ResidentData[[#This Row],[Discharge '[mmm-yyyy']]]&gt;=AB$4)))))</f>
        <v>-</v>
      </c>
      <c r="AC141" s="121" t="str">
        <f ca="1">IF(AC$4&gt;NOW(),"-",IF(ISBLANK(Tbl_ResidentData[[#This Row],[Enrollment '[mmm-yyyy']]]),"-",AND((Tbl_ResidentData[[#This Row],[Enrollment '[mmm-yyyy']]]&lt;=AC$4),IF(ISBLANK(Tbl_ResidentData[[#This Row],[Discharge '[mmm-yyyy']]]),TRUE,(Tbl_ResidentData[[#This Row],[Discharge '[mmm-yyyy']]]&gt;=AC$4)))))</f>
        <v>-</v>
      </c>
      <c r="AD141" s="121" t="str">
        <f ca="1">IF(AD$4&gt;NOW(),"-",IF(ISBLANK(Tbl_ResidentData[[#This Row],[Enrollment '[mmm-yyyy']]]),"-",AND((Tbl_ResidentData[[#This Row],[Enrollment '[mmm-yyyy']]]&lt;=AD$4),IF(ISBLANK(Tbl_ResidentData[[#This Row],[Discharge '[mmm-yyyy']]]),TRUE,(Tbl_ResidentData[[#This Row],[Discharge '[mmm-yyyy']]]&gt;=AD$4)))))</f>
        <v>-</v>
      </c>
      <c r="AE141" s="121" t="str">
        <f ca="1">IF(AE$4&gt;NOW(),"-",IF(ISBLANK(Tbl_ResidentData[[#This Row],[Enrollment '[mmm-yyyy']]]),"-",AND((Tbl_ResidentData[[#This Row],[Enrollment '[mmm-yyyy']]]&lt;=AE$4),IF(ISBLANK(Tbl_ResidentData[[#This Row],[Discharge '[mmm-yyyy']]]),TRUE,(Tbl_ResidentData[[#This Row],[Discharge '[mmm-yyyy']]]&gt;=AE$4)))))</f>
        <v>-</v>
      </c>
      <c r="AF141" s="121" t="str">
        <f ca="1">IF(AF$4&gt;NOW(),"-",IF(ISBLANK(Tbl_ResidentData[[#This Row],[Enrollment '[mmm-yyyy']]]),"-",AND((Tbl_ResidentData[[#This Row],[Enrollment '[mmm-yyyy']]]&lt;=AF$4),IF(ISBLANK(Tbl_ResidentData[[#This Row],[Discharge '[mmm-yyyy']]]),TRUE,(Tbl_ResidentData[[#This Row],[Discharge '[mmm-yyyy']]]&gt;=AF$4)))))</f>
        <v>-</v>
      </c>
      <c r="AG141" s="121" t="str">
        <f ca="1">IF(AG$4&gt;NOW(),"-",IF(ISBLANK(Tbl_ResidentData[[#This Row],[Enrollment '[mmm-yyyy']]]),"-",AND((Tbl_ResidentData[[#This Row],[Enrollment '[mmm-yyyy']]]&lt;=AG$4),IF(ISBLANK(Tbl_ResidentData[[#This Row],[Discharge '[mmm-yyyy']]]),TRUE,(Tbl_ResidentData[[#This Row],[Discharge '[mmm-yyyy']]]&gt;=AG$4)))))</f>
        <v>-</v>
      </c>
      <c r="AH141" s="121" t="str">
        <f ca="1">IF(AH$4&gt;NOW(),"-",IF(ISBLANK(Tbl_ResidentData[[#This Row],[Enrollment '[mmm-yyyy']]]),"-",AND((Tbl_ResidentData[[#This Row],[Enrollment '[mmm-yyyy']]]&lt;=AH$4),IF(ISBLANK(Tbl_ResidentData[[#This Row],[Discharge '[mmm-yyyy']]]),TRUE,(Tbl_ResidentData[[#This Row],[Discharge '[mmm-yyyy']]]&gt;=AH$4)))))</f>
        <v>-</v>
      </c>
      <c r="AI141" s="121" t="str">
        <f ca="1">IF(AI$4&gt;NOW(),"-",IF(ISBLANK(Tbl_ResidentData[[#This Row],[Enrollment '[mmm-yyyy']]]),"-",AND((Tbl_ResidentData[[#This Row],[Enrollment '[mmm-yyyy']]]&lt;=AI$4),IF(ISBLANK(Tbl_ResidentData[[#This Row],[Discharge '[mmm-yyyy']]]),TRUE,(Tbl_ResidentData[[#This Row],[Discharge '[mmm-yyyy']]]&gt;=AI$4)))))</f>
        <v>-</v>
      </c>
      <c r="AJ141" s="121" t="str">
        <f ca="1">IF(AJ$4&gt;NOW(),"-",IF(ISBLANK(Tbl_ResidentData[[#This Row],[Enrollment '[mmm-yyyy']]]),"-",AND((Tbl_ResidentData[[#This Row],[Enrollment '[mmm-yyyy']]]&lt;=AJ$4),IF(ISBLANK(Tbl_ResidentData[[#This Row],[Discharge '[mmm-yyyy']]]),TRUE,(Tbl_ResidentData[[#This Row],[Discharge '[mmm-yyyy']]]&gt;=AJ$4)))))</f>
        <v>-</v>
      </c>
      <c r="AK141" s="121" t="str">
        <f ca="1">IF(AK$4&gt;NOW(),"-",IF(ISBLANK(Tbl_ResidentData[[#This Row],[Enrollment '[mmm-yyyy']]]),"-",AND((Tbl_ResidentData[[#This Row],[Enrollment '[mmm-yyyy']]]&lt;=AK$4),IF(ISBLANK(Tbl_ResidentData[[#This Row],[Discharge '[mmm-yyyy']]]),TRUE,(Tbl_ResidentData[[#This Row],[Discharge '[mmm-yyyy']]]&gt;=AK$4)))))</f>
        <v>-</v>
      </c>
      <c r="AL141" s="121" t="str">
        <f ca="1">IF(AL$4&gt;NOW(),"-",IF(ISBLANK(Tbl_ResidentData[[#This Row],[Enrollment '[mmm-yyyy']]]),"-",AND((Tbl_ResidentData[[#This Row],[Enrollment '[mmm-yyyy']]]&lt;=AL$4),IF(ISBLANK(Tbl_ResidentData[[#This Row],[Discharge '[mmm-yyyy']]]),TRUE,(Tbl_ResidentData[[#This Row],[Discharge '[mmm-yyyy']]]&gt;=AL$4)))))</f>
        <v>-</v>
      </c>
      <c r="AM141" s="121" t="str">
        <f ca="1">IF(AM$4&gt;NOW(),"-",IF(ISBLANK(Tbl_ResidentData[[#This Row],[Enrollment '[mmm-yyyy']]]),"-",AND((Tbl_ResidentData[[#This Row],[Enrollment '[mmm-yyyy']]]&lt;=AM$4),IF(ISBLANK(Tbl_ResidentData[[#This Row],[Discharge '[mmm-yyyy']]]),TRUE,(Tbl_ResidentData[[#This Row],[Discharge '[mmm-yyyy']]]&gt;=AM$4)))))</f>
        <v>-</v>
      </c>
      <c r="AN141" s="121" t="str">
        <f ca="1">IF(AN$4&gt;NOW(),"-",IF(ISBLANK(Tbl_ResidentData[[#This Row],[Enrollment '[mmm-yyyy']]]),"-",AND((Tbl_ResidentData[[#This Row],[Enrollment '[mmm-yyyy']]]&lt;=AN$4),IF(ISBLANK(Tbl_ResidentData[[#This Row],[Discharge '[mmm-yyyy']]]),TRUE,(Tbl_ResidentData[[#This Row],[Discharge '[mmm-yyyy']]]&gt;=AN$4)))))</f>
        <v>-</v>
      </c>
      <c r="AO141" s="121" t="str">
        <f ca="1">IF(AO$4&gt;NOW(),"-",IF(ISBLANK(Tbl_ResidentData[[#This Row],[Enrollment '[mmm-yyyy']]]),"-",AND((Tbl_ResidentData[[#This Row],[Enrollment '[mmm-yyyy']]]&lt;=AO$4),IF(ISBLANK(Tbl_ResidentData[[#This Row],[Discharge '[mmm-yyyy']]]),TRUE,(Tbl_ResidentData[[#This Row],[Discharge '[mmm-yyyy']]]&gt;=AO$4)))))</f>
        <v>-</v>
      </c>
      <c r="AP141" s="121" t="str">
        <f ca="1">IF(AP$4&gt;NOW(),"-",IF(ISBLANK(Tbl_ResidentData[[#This Row],[Enrollment '[mmm-yyyy']]]),"-",AND((Tbl_ResidentData[[#This Row],[Enrollment '[mmm-yyyy']]]&lt;=AP$4),IF(ISBLANK(Tbl_ResidentData[[#This Row],[Discharge '[mmm-yyyy']]]),TRUE,(Tbl_ResidentData[[#This Row],[Discharge '[mmm-yyyy']]]&gt;=AP$4)))))</f>
        <v>-</v>
      </c>
      <c r="AQ141" s="121" t="str">
        <f ca="1">IF(AQ$4&gt;NOW(),"-",IF(ISBLANK(Tbl_ResidentData[[#This Row],[Enrollment '[mmm-yyyy']]]),"-",AND((Tbl_ResidentData[[#This Row],[Enrollment '[mmm-yyyy']]]&lt;=AQ$4),IF(ISBLANK(Tbl_ResidentData[[#This Row],[Discharge '[mmm-yyyy']]]),TRUE,(Tbl_ResidentData[[#This Row],[Discharge '[mmm-yyyy']]]&gt;=AQ$4)))))</f>
        <v>-</v>
      </c>
      <c r="AR141" s="122" t="str">
        <f ca="1">IF(AR$4&gt;NOW(),"-",IF(ISBLANK(Tbl_ResidentData[[#This Row],[Enrollment '[mmm-yyyy']]]),"-",AND((Tbl_ResidentData[[#This Row],[Enrollment '[mmm-yyyy']]]&lt;=AR$4),IF(ISBLANK(Tbl_ResidentData[[#This Row],[Discharge '[mmm-yyyy']]]),TRUE,(Tbl_ResidentData[[#This Row],[Discharge '[mmm-yyyy']]]&gt;=AR$4)))))</f>
        <v>-</v>
      </c>
      <c r="AS14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1" s="120" t="b">
        <f ca="1">AND(Tbl_ResidentData[[#This Row],[PRN Med Started]]&lt;&gt;"",Tbl_ResidentData[[#This Row],[PRN Med Started]]&lt;=NOW(),Tbl_ResidentData[[#This Row],[PRN Med Started]]&lt;=AS$4,OR(Tbl_ResidentData[[#This Row],[PRN Med Discontinued]]&gt;AS$4,ISBLANK(Tbl_ResidentData[[#This Row],[PRN Med Discontinued]])))</f>
        <v>0</v>
      </c>
      <c r="BR141" s="121" t="b">
        <f ca="1">AND(Tbl_ResidentData[[#This Row],[PRN Med Started]]&lt;&gt;"",Tbl_ResidentData[[#This Row],[PRN Med Started]]&lt;=NOW(),Tbl_ResidentData[[#This Row],[PRN Med Started]]&lt;=AT$4,OR(Tbl_ResidentData[[#This Row],[PRN Med Discontinued]]&gt;AT$4,ISBLANK(Tbl_ResidentData[[#This Row],[PRN Med Discontinued]])))</f>
        <v>0</v>
      </c>
      <c r="BS141" s="121" t="b">
        <f ca="1">AND(Tbl_ResidentData[[#This Row],[PRN Med Started]]&lt;&gt;"",Tbl_ResidentData[[#This Row],[PRN Med Started]]&lt;=NOW(),Tbl_ResidentData[[#This Row],[PRN Med Started]]&lt;=AU$4,OR(Tbl_ResidentData[[#This Row],[PRN Med Discontinued]]&gt;AU$4,ISBLANK(Tbl_ResidentData[[#This Row],[PRN Med Discontinued]])))</f>
        <v>0</v>
      </c>
      <c r="BT141" s="121" t="b">
        <f ca="1">AND(Tbl_ResidentData[[#This Row],[PRN Med Started]]&lt;&gt;"",Tbl_ResidentData[[#This Row],[PRN Med Started]]&lt;=NOW(),Tbl_ResidentData[[#This Row],[PRN Med Started]]&lt;=AV$4,OR(Tbl_ResidentData[[#This Row],[PRN Med Discontinued]]&gt;AV$4,ISBLANK(Tbl_ResidentData[[#This Row],[PRN Med Discontinued]])))</f>
        <v>0</v>
      </c>
      <c r="BU141" s="121" t="b">
        <f ca="1">AND(Tbl_ResidentData[[#This Row],[PRN Med Started]]&lt;&gt;"",Tbl_ResidentData[[#This Row],[PRN Med Started]]&lt;=NOW(),Tbl_ResidentData[[#This Row],[PRN Med Started]]&lt;=AW$4,OR(Tbl_ResidentData[[#This Row],[PRN Med Discontinued]]&gt;AW$4,ISBLANK(Tbl_ResidentData[[#This Row],[PRN Med Discontinued]])))</f>
        <v>0</v>
      </c>
      <c r="BV141" s="121" t="b">
        <f ca="1">AND(Tbl_ResidentData[[#This Row],[PRN Med Started]]&lt;&gt;"",Tbl_ResidentData[[#This Row],[PRN Med Started]]&lt;=NOW(),Tbl_ResidentData[[#This Row],[PRN Med Started]]&lt;=AX$4,OR(Tbl_ResidentData[[#This Row],[PRN Med Discontinued]]&gt;AX$4,ISBLANK(Tbl_ResidentData[[#This Row],[PRN Med Discontinued]])))</f>
        <v>0</v>
      </c>
      <c r="BW141" s="121" t="b">
        <f ca="1">AND(Tbl_ResidentData[[#This Row],[PRN Med Started]]&lt;&gt;"",Tbl_ResidentData[[#This Row],[PRN Med Started]]&lt;=NOW(),Tbl_ResidentData[[#This Row],[PRN Med Started]]&lt;=AY$4,OR(Tbl_ResidentData[[#This Row],[PRN Med Discontinued]]&gt;AY$4,ISBLANK(Tbl_ResidentData[[#This Row],[PRN Med Discontinued]])))</f>
        <v>0</v>
      </c>
      <c r="BX141" s="121" t="b">
        <f ca="1">AND(Tbl_ResidentData[[#This Row],[PRN Med Started]]&lt;&gt;"",Tbl_ResidentData[[#This Row],[PRN Med Started]]&lt;=NOW(),Tbl_ResidentData[[#This Row],[PRN Med Started]]&lt;=AZ$4,OR(Tbl_ResidentData[[#This Row],[PRN Med Discontinued]]&gt;AZ$4,ISBLANK(Tbl_ResidentData[[#This Row],[PRN Med Discontinued]])))</f>
        <v>0</v>
      </c>
      <c r="BY141" s="121" t="b">
        <f ca="1">AND(Tbl_ResidentData[[#This Row],[PRN Med Started]]&lt;&gt;"",Tbl_ResidentData[[#This Row],[PRN Med Started]]&lt;=NOW(),Tbl_ResidentData[[#This Row],[PRN Med Started]]&lt;=BA$4,OR(Tbl_ResidentData[[#This Row],[PRN Med Discontinued]]&gt;BA$4,ISBLANK(Tbl_ResidentData[[#This Row],[PRN Med Discontinued]])))</f>
        <v>0</v>
      </c>
      <c r="BZ141" s="121" t="b">
        <f ca="1">AND(Tbl_ResidentData[[#This Row],[PRN Med Started]]&lt;&gt;"",Tbl_ResidentData[[#This Row],[PRN Med Started]]&lt;=NOW(),Tbl_ResidentData[[#This Row],[PRN Med Started]]&lt;=BB$4,OR(Tbl_ResidentData[[#This Row],[PRN Med Discontinued]]&gt;BB$4,ISBLANK(Tbl_ResidentData[[#This Row],[PRN Med Discontinued]])))</f>
        <v>0</v>
      </c>
      <c r="CA141" s="121" t="b">
        <f ca="1">AND(Tbl_ResidentData[[#This Row],[PRN Med Started]]&lt;&gt;"",Tbl_ResidentData[[#This Row],[PRN Med Started]]&lt;=NOW(),Tbl_ResidentData[[#This Row],[PRN Med Started]]&lt;=BC$4,OR(Tbl_ResidentData[[#This Row],[PRN Med Discontinued]]&gt;BC$4,ISBLANK(Tbl_ResidentData[[#This Row],[PRN Med Discontinued]])))</f>
        <v>0</v>
      </c>
      <c r="CB141" s="121" t="b">
        <f ca="1">AND(Tbl_ResidentData[[#This Row],[PRN Med Started]]&lt;&gt;"",Tbl_ResidentData[[#This Row],[PRN Med Started]]&lt;=NOW(),Tbl_ResidentData[[#This Row],[PRN Med Started]]&lt;=BD$4,OR(Tbl_ResidentData[[#This Row],[PRN Med Discontinued]]&gt;BD$4,ISBLANK(Tbl_ResidentData[[#This Row],[PRN Med Discontinued]])))</f>
        <v>0</v>
      </c>
      <c r="CC141" s="121" t="b">
        <f ca="1">AND(Tbl_ResidentData[[#This Row],[PRN Med Started]]&lt;&gt;"",Tbl_ResidentData[[#This Row],[PRN Med Started]]&lt;=NOW(),Tbl_ResidentData[[#This Row],[PRN Med Started]]&lt;=BE$4,OR(Tbl_ResidentData[[#This Row],[PRN Med Discontinued]]&gt;BE$4,ISBLANK(Tbl_ResidentData[[#This Row],[PRN Med Discontinued]])))</f>
        <v>0</v>
      </c>
      <c r="CD141" s="121" t="b">
        <f ca="1">AND(Tbl_ResidentData[[#This Row],[PRN Med Started]]&lt;&gt;"",Tbl_ResidentData[[#This Row],[PRN Med Started]]&lt;=NOW(),Tbl_ResidentData[[#This Row],[PRN Med Started]]&lt;=BF$4,OR(Tbl_ResidentData[[#This Row],[PRN Med Discontinued]]&gt;BF$4,ISBLANK(Tbl_ResidentData[[#This Row],[PRN Med Discontinued]])))</f>
        <v>0</v>
      </c>
      <c r="CE141" s="121" t="b">
        <f ca="1">AND(Tbl_ResidentData[[#This Row],[PRN Med Started]]&lt;&gt;"",Tbl_ResidentData[[#This Row],[PRN Med Started]]&lt;=NOW(),Tbl_ResidentData[[#This Row],[PRN Med Started]]&lt;=BG$4,OR(Tbl_ResidentData[[#This Row],[PRN Med Discontinued]]&gt;BG$4,ISBLANK(Tbl_ResidentData[[#This Row],[PRN Med Discontinued]])))</f>
        <v>0</v>
      </c>
      <c r="CF141" s="121" t="b">
        <f ca="1">AND(Tbl_ResidentData[[#This Row],[PRN Med Started]]&lt;&gt;"",Tbl_ResidentData[[#This Row],[PRN Med Started]]&lt;=NOW(),Tbl_ResidentData[[#This Row],[PRN Med Started]]&lt;=BH$4,OR(Tbl_ResidentData[[#This Row],[PRN Med Discontinued]]&gt;BH$4,ISBLANK(Tbl_ResidentData[[#This Row],[PRN Med Discontinued]])))</f>
        <v>0</v>
      </c>
      <c r="CG141" s="121" t="b">
        <f ca="1">AND(Tbl_ResidentData[[#This Row],[PRN Med Started]]&lt;&gt;"",Tbl_ResidentData[[#This Row],[PRN Med Started]]&lt;=NOW(),Tbl_ResidentData[[#This Row],[PRN Med Started]]&lt;=BI$4,OR(Tbl_ResidentData[[#This Row],[PRN Med Discontinued]]&gt;BI$4,ISBLANK(Tbl_ResidentData[[#This Row],[PRN Med Discontinued]])))</f>
        <v>0</v>
      </c>
      <c r="CH141" s="121" t="b">
        <f ca="1">AND(Tbl_ResidentData[[#This Row],[PRN Med Started]]&lt;&gt;"",Tbl_ResidentData[[#This Row],[PRN Med Started]]&lt;=NOW(),Tbl_ResidentData[[#This Row],[PRN Med Started]]&lt;=BJ$4,OR(Tbl_ResidentData[[#This Row],[PRN Med Discontinued]]&gt;BJ$4,ISBLANK(Tbl_ResidentData[[#This Row],[PRN Med Discontinued]])))</f>
        <v>0</v>
      </c>
      <c r="CI141" s="121" t="b">
        <f ca="1">AND(Tbl_ResidentData[[#This Row],[PRN Med Started]]&lt;&gt;"",Tbl_ResidentData[[#This Row],[PRN Med Started]]&lt;=NOW(),Tbl_ResidentData[[#This Row],[PRN Med Started]]&lt;=BK$4,OR(Tbl_ResidentData[[#This Row],[PRN Med Discontinued]]&gt;BK$4,ISBLANK(Tbl_ResidentData[[#This Row],[PRN Med Discontinued]])))</f>
        <v>0</v>
      </c>
      <c r="CJ141" s="121" t="b">
        <f ca="1">AND(Tbl_ResidentData[[#This Row],[PRN Med Started]]&lt;&gt;"",Tbl_ResidentData[[#This Row],[PRN Med Started]]&lt;=NOW(),Tbl_ResidentData[[#This Row],[PRN Med Started]]&lt;=BL$4,OR(Tbl_ResidentData[[#This Row],[PRN Med Discontinued]]&gt;BL$4,ISBLANK(Tbl_ResidentData[[#This Row],[PRN Med Discontinued]])))</f>
        <v>0</v>
      </c>
      <c r="CK141" s="121" t="b">
        <f ca="1">AND(Tbl_ResidentData[[#This Row],[PRN Med Started]]&lt;&gt;"",Tbl_ResidentData[[#This Row],[PRN Med Started]]&lt;=NOW(),Tbl_ResidentData[[#This Row],[PRN Med Started]]&lt;=BM$4,OR(Tbl_ResidentData[[#This Row],[PRN Med Discontinued]]&gt;BM$4,ISBLANK(Tbl_ResidentData[[#This Row],[PRN Med Discontinued]])))</f>
        <v>0</v>
      </c>
      <c r="CL141" s="121" t="b">
        <f ca="1">AND(Tbl_ResidentData[[#This Row],[PRN Med Started]]&lt;&gt;"",Tbl_ResidentData[[#This Row],[PRN Med Started]]&lt;=NOW(),Tbl_ResidentData[[#This Row],[PRN Med Started]]&lt;=BN$4,OR(Tbl_ResidentData[[#This Row],[PRN Med Discontinued]]&gt;BN$4,ISBLANK(Tbl_ResidentData[[#This Row],[PRN Med Discontinued]])))</f>
        <v>0</v>
      </c>
      <c r="CM141" s="121" t="b">
        <f ca="1">AND(Tbl_ResidentData[[#This Row],[PRN Med Started]]&lt;&gt;"",Tbl_ResidentData[[#This Row],[PRN Med Started]]&lt;=NOW(),Tbl_ResidentData[[#This Row],[PRN Med Started]]&lt;=BO$4,OR(Tbl_ResidentData[[#This Row],[PRN Med Discontinued]]&gt;BO$4,ISBLANK(Tbl_ResidentData[[#This Row],[PRN Med Discontinued]])))</f>
        <v>0</v>
      </c>
      <c r="CN141" s="122" t="b">
        <f ca="1">AND(Tbl_ResidentData[[#This Row],[PRN Med Started]]&lt;&gt;"",Tbl_ResidentData[[#This Row],[PRN Med Started]]&lt;=NOW(),Tbl_ResidentData[[#This Row],[PRN Med Started]]&lt;=BP$4,OR(Tbl_ResidentData[[#This Row],[PRN Med Discontinued]]&gt;BP$4,ISBLANK(Tbl_ResidentData[[#This Row],[PRN Med Discontinued]])))</f>
        <v>0</v>
      </c>
      <c r="CO141" s="120">
        <f ca="1">IF(OR(Tbl_ResidentData[[#This Row],[S1]]=TRUE,Tbl_ResidentData[[#This Row],[P1]]=TRUE),1,0)</f>
        <v>0</v>
      </c>
      <c r="CP141" s="121">
        <f ca="1">IF(OR(Tbl_ResidentData[[#This Row],[S2]]=TRUE,Tbl_ResidentData[[#This Row],[P2]]=TRUE),1,0)</f>
        <v>0</v>
      </c>
      <c r="CQ141" s="121">
        <f ca="1">IF(OR(Tbl_ResidentData[[#This Row],[S3]]=TRUE,Tbl_ResidentData[[#This Row],[P3]]=TRUE),1,0)</f>
        <v>0</v>
      </c>
      <c r="CR141" s="120">
        <f ca="1">IF(OR(Tbl_ResidentData[[#This Row],[S4]]=TRUE,Tbl_ResidentData[[#This Row],[P4]]=TRUE),1,0)</f>
        <v>0</v>
      </c>
      <c r="CS141" s="120">
        <f ca="1">IF(OR(Tbl_ResidentData[[#This Row],[S5]]=TRUE,Tbl_ResidentData[[#This Row],[P5]]=TRUE),1,0)</f>
        <v>0</v>
      </c>
      <c r="CT141" s="120">
        <f ca="1">IF(OR(Tbl_ResidentData[[#This Row],[S6]]=TRUE,Tbl_ResidentData[[#This Row],[P6]]=TRUE),1,0)</f>
        <v>0</v>
      </c>
      <c r="CU141" s="120">
        <f ca="1">IF(OR(Tbl_ResidentData[[#This Row],[S7]]=TRUE,Tbl_ResidentData[[#This Row],[P7]]=TRUE),1,0)</f>
        <v>0</v>
      </c>
      <c r="CV141" s="120">
        <f ca="1">IF(OR(Tbl_ResidentData[[#This Row],[S8]]=TRUE,Tbl_ResidentData[[#This Row],[P8]]=TRUE),1,0)</f>
        <v>0</v>
      </c>
      <c r="CW141" s="120">
        <f ca="1">IF(OR(Tbl_ResidentData[[#This Row],[S9]]=TRUE,Tbl_ResidentData[[#This Row],[P9]]=TRUE),1,0)</f>
        <v>0</v>
      </c>
      <c r="CX141" s="120">
        <f ca="1">IF(OR(Tbl_ResidentData[[#This Row],[S10]]=TRUE,Tbl_ResidentData[[#This Row],[P10]]=TRUE),1,0)</f>
        <v>0</v>
      </c>
      <c r="CY141" s="120">
        <f ca="1">IF(OR(Tbl_ResidentData[[#This Row],[S11]]=TRUE,Tbl_ResidentData[[#This Row],[P11]]=TRUE),1,0)</f>
        <v>0</v>
      </c>
      <c r="CZ141" s="120">
        <f ca="1">IF(OR(Tbl_ResidentData[[#This Row],[S12]]=TRUE,Tbl_ResidentData[[#This Row],[P12]]=TRUE),1,0)</f>
        <v>0</v>
      </c>
      <c r="DA141" s="120">
        <f ca="1">IF(OR(Tbl_ResidentData[[#This Row],[S13]]=TRUE,Tbl_ResidentData[[#This Row],[P13]]=TRUE),1,0)</f>
        <v>0</v>
      </c>
      <c r="DB141" s="120">
        <f ca="1">IF(OR(Tbl_ResidentData[[#This Row],[S14]]=TRUE,Tbl_ResidentData[[#This Row],[P14]]=TRUE),1,0)</f>
        <v>0</v>
      </c>
      <c r="DC141" s="120">
        <f ca="1">IF(OR(Tbl_ResidentData[[#This Row],[S15]]=TRUE,Tbl_ResidentData[[#This Row],[P15]]=TRUE),1,0)</f>
        <v>0</v>
      </c>
      <c r="DD141" s="120">
        <f ca="1">IF(OR(Tbl_ResidentData[[#This Row],[S16]]=TRUE,Tbl_ResidentData[[#This Row],[P16]]=TRUE),1,0)</f>
        <v>0</v>
      </c>
      <c r="DE141" s="120">
        <f ca="1">IF(OR(Tbl_ResidentData[[#This Row],[S17]]=TRUE,Tbl_ResidentData[[#This Row],[P17]]=TRUE),1,0)</f>
        <v>0</v>
      </c>
      <c r="DF141" s="120">
        <f ca="1">IF(OR(Tbl_ResidentData[[#This Row],[S18]]=TRUE,Tbl_ResidentData[[#This Row],[P18]]=TRUE),1,0)</f>
        <v>0</v>
      </c>
      <c r="DG141" s="120">
        <f ca="1">IF(OR(Tbl_ResidentData[[#This Row],[S19]]=TRUE,Tbl_ResidentData[[#This Row],[P19]]=TRUE),1,0)</f>
        <v>0</v>
      </c>
      <c r="DH141" s="120">
        <f ca="1">IF(OR(Tbl_ResidentData[[#This Row],[S20]]=TRUE,Tbl_ResidentData[[#This Row],[P20]]=TRUE),1,0)</f>
        <v>0</v>
      </c>
      <c r="DI141" s="120">
        <f ca="1">IF(OR(Tbl_ResidentData[[#This Row],[S21]]=TRUE,Tbl_ResidentData[[#This Row],[P21]]=TRUE),1,0)</f>
        <v>0</v>
      </c>
      <c r="DJ141" s="120">
        <f ca="1">IF(OR(Tbl_ResidentData[[#This Row],[S22]]=TRUE,Tbl_ResidentData[[#This Row],[P22]]=TRUE),1,0)</f>
        <v>0</v>
      </c>
      <c r="DK141" s="120">
        <f ca="1">IF(OR(Tbl_ResidentData[[#This Row],[S23]]=TRUE,Tbl_ResidentData[[#This Row],[P23]]=TRUE),1,0)</f>
        <v>0</v>
      </c>
      <c r="DL141" s="120">
        <f ca="1">IF(OR(Tbl_ResidentData[[#This Row],[S24]]=TRUE,Tbl_ResidentData[[#This Row],[P24]]=TRUE),1,0)</f>
        <v>0</v>
      </c>
      <c r="DM141" s="123" t="str">
        <f ca="1">IFERROR(INDEX($CO$4:$DL$4,MATCH(TRUE,INDEX((Tbl_ResidentData[[#This Row],[Over1]:[Over24]]&lt;&gt;0),0),0)),"")</f>
        <v/>
      </c>
      <c r="DN141" s="133" t="str">
        <f>IFERROR(INDEX(Tbl_PDSAData[Last DRT],MATCH(Tbl_ResidentData[Resident Name '[last, first']],Tbl_PDSAData[Resident Name (last, first)],0)),"")</f>
        <v/>
      </c>
      <c r="DO141" s="222" t="str">
        <f>IFERROR(INDEX(Tbl_PDSAData[Last MR],MATCH(Tbl_ResidentData[Resident Name '[last, first']],Tbl_PDSAData[Resident Name (last, first)],0)),"")</f>
        <v/>
      </c>
    </row>
    <row r="142" spans="1:119" x14ac:dyDescent="0.25">
      <c r="A142" s="179"/>
      <c r="B142" s="180"/>
      <c r="C142" s="180"/>
      <c r="D142" s="218"/>
      <c r="E142" s="179"/>
      <c r="F142" s="179"/>
      <c r="G142" s="181"/>
      <c r="H142" s="375"/>
      <c r="I142" s="185"/>
      <c r="J142" s="387"/>
      <c r="K142" s="178"/>
      <c r="L142" s="388"/>
      <c r="M142" s="185"/>
      <c r="N142" s="386"/>
      <c r="O142" s="178"/>
      <c r="P142" s="388"/>
      <c r="Q142" s="394"/>
      <c r="R142" s="388"/>
      <c r="S142" s="131" t="str">
        <f>IF(ISBLANK(Tbl_ResidentData[[#This Row],[Discharge '[mmm-yyyy']]]),IF(ISBLANK(Tbl_ResidentData[[#This Row],[Enrollment '[mmm-yyyy']]]),"","In Care Home"),"Discharged")</f>
        <v/>
      </c>
      <c r="T142" s="119" t="str">
        <f>IF(ISBLANK(Tbl_ResidentData[[#This Row],[Diagnosis (RAI)]]),IF(ISBLANK(Tbl_ResidentData[[#This Row],[Resident Name '[last, first']]]),"",0),IF(Tbl_ResidentData[[#This Row],[Diagnosis (RAI)]]="Other (see clinical notes)",0,1))</f>
        <v/>
      </c>
      <c r="U142" s="120" t="str">
        <f ca="1">IF(U$4&gt;NOW(),"-",IF(ISBLANK(Tbl_ResidentData[[#This Row],[Enrollment '[mmm-yyyy']]]),"-",AND((Tbl_ResidentData[[#This Row],[Enrollment '[mmm-yyyy']]]&lt;=U$4),IF(ISBLANK(Tbl_ResidentData[[#This Row],[Discharge '[mmm-yyyy']]]),TRUE,(Tbl_ResidentData[[#This Row],[Discharge '[mmm-yyyy']]]&gt;=U$4)))))</f>
        <v>-</v>
      </c>
      <c r="V142" s="121" t="str">
        <f ca="1">IF(V$4&gt;NOW(),"-",IF(ISBLANK(Tbl_ResidentData[[#This Row],[Enrollment '[mmm-yyyy']]]),"-",AND((Tbl_ResidentData[[#This Row],[Enrollment '[mmm-yyyy']]]&lt;=V$4),IF(ISBLANK(Tbl_ResidentData[[#This Row],[Discharge '[mmm-yyyy']]]),TRUE,(Tbl_ResidentData[[#This Row],[Discharge '[mmm-yyyy']]]&gt;=V$4)))))</f>
        <v>-</v>
      </c>
      <c r="W142" s="121" t="str">
        <f ca="1">IF(W$4&gt;NOW(),"-",IF(ISBLANK(Tbl_ResidentData[[#This Row],[Enrollment '[mmm-yyyy']]]),"-",AND((Tbl_ResidentData[[#This Row],[Enrollment '[mmm-yyyy']]]&lt;=W$4),IF(ISBLANK(Tbl_ResidentData[[#This Row],[Discharge '[mmm-yyyy']]]),TRUE,(Tbl_ResidentData[[#This Row],[Discharge '[mmm-yyyy']]]&gt;=W$4)))))</f>
        <v>-</v>
      </c>
      <c r="X142" s="121" t="str">
        <f ca="1">IF(X$4&gt;NOW(),"-",IF(ISBLANK(Tbl_ResidentData[[#This Row],[Enrollment '[mmm-yyyy']]]),"-",AND((Tbl_ResidentData[[#This Row],[Enrollment '[mmm-yyyy']]]&lt;=X$4),IF(ISBLANK(Tbl_ResidentData[[#This Row],[Discharge '[mmm-yyyy']]]),TRUE,(Tbl_ResidentData[[#This Row],[Discharge '[mmm-yyyy']]]&gt;=X$4)))))</f>
        <v>-</v>
      </c>
      <c r="Y142" s="121" t="str">
        <f ca="1">IF(Y$4&gt;NOW(),"-",IF(ISBLANK(Tbl_ResidentData[[#This Row],[Enrollment '[mmm-yyyy']]]),"-",AND((Tbl_ResidentData[[#This Row],[Enrollment '[mmm-yyyy']]]&lt;=Y$4),IF(ISBLANK(Tbl_ResidentData[[#This Row],[Discharge '[mmm-yyyy']]]),TRUE,(Tbl_ResidentData[[#This Row],[Discharge '[mmm-yyyy']]]&gt;=Y$4)))))</f>
        <v>-</v>
      </c>
      <c r="Z142" s="121" t="str">
        <f ca="1">IF(Z$4&gt;NOW(),"-",IF(ISBLANK(Tbl_ResidentData[[#This Row],[Enrollment '[mmm-yyyy']]]),"-",AND((Tbl_ResidentData[[#This Row],[Enrollment '[mmm-yyyy']]]&lt;=Z$4),IF(ISBLANK(Tbl_ResidentData[[#This Row],[Discharge '[mmm-yyyy']]]),TRUE,(Tbl_ResidentData[[#This Row],[Discharge '[mmm-yyyy']]]&gt;=Z$4)))))</f>
        <v>-</v>
      </c>
      <c r="AA142" s="121" t="str">
        <f ca="1">IF(AA$4&gt;NOW(),"-",IF(ISBLANK(Tbl_ResidentData[[#This Row],[Enrollment '[mmm-yyyy']]]),"-",AND((Tbl_ResidentData[[#This Row],[Enrollment '[mmm-yyyy']]]&lt;=AA$4),IF(ISBLANK(Tbl_ResidentData[[#This Row],[Discharge '[mmm-yyyy']]]),TRUE,(Tbl_ResidentData[[#This Row],[Discharge '[mmm-yyyy']]]&gt;=AA$4)))))</f>
        <v>-</v>
      </c>
      <c r="AB142" s="121" t="str">
        <f ca="1">IF(AB$4&gt;NOW(),"-",IF(ISBLANK(Tbl_ResidentData[[#This Row],[Enrollment '[mmm-yyyy']]]),"-",AND((Tbl_ResidentData[[#This Row],[Enrollment '[mmm-yyyy']]]&lt;=AB$4),IF(ISBLANK(Tbl_ResidentData[[#This Row],[Discharge '[mmm-yyyy']]]),TRUE,(Tbl_ResidentData[[#This Row],[Discharge '[mmm-yyyy']]]&gt;=AB$4)))))</f>
        <v>-</v>
      </c>
      <c r="AC142" s="121" t="str">
        <f ca="1">IF(AC$4&gt;NOW(),"-",IF(ISBLANK(Tbl_ResidentData[[#This Row],[Enrollment '[mmm-yyyy']]]),"-",AND((Tbl_ResidentData[[#This Row],[Enrollment '[mmm-yyyy']]]&lt;=AC$4),IF(ISBLANK(Tbl_ResidentData[[#This Row],[Discharge '[mmm-yyyy']]]),TRUE,(Tbl_ResidentData[[#This Row],[Discharge '[mmm-yyyy']]]&gt;=AC$4)))))</f>
        <v>-</v>
      </c>
      <c r="AD142" s="121" t="str">
        <f ca="1">IF(AD$4&gt;NOW(),"-",IF(ISBLANK(Tbl_ResidentData[[#This Row],[Enrollment '[mmm-yyyy']]]),"-",AND((Tbl_ResidentData[[#This Row],[Enrollment '[mmm-yyyy']]]&lt;=AD$4),IF(ISBLANK(Tbl_ResidentData[[#This Row],[Discharge '[mmm-yyyy']]]),TRUE,(Tbl_ResidentData[[#This Row],[Discharge '[mmm-yyyy']]]&gt;=AD$4)))))</f>
        <v>-</v>
      </c>
      <c r="AE142" s="121" t="str">
        <f ca="1">IF(AE$4&gt;NOW(),"-",IF(ISBLANK(Tbl_ResidentData[[#This Row],[Enrollment '[mmm-yyyy']]]),"-",AND((Tbl_ResidentData[[#This Row],[Enrollment '[mmm-yyyy']]]&lt;=AE$4),IF(ISBLANK(Tbl_ResidentData[[#This Row],[Discharge '[mmm-yyyy']]]),TRUE,(Tbl_ResidentData[[#This Row],[Discharge '[mmm-yyyy']]]&gt;=AE$4)))))</f>
        <v>-</v>
      </c>
      <c r="AF142" s="121" t="str">
        <f ca="1">IF(AF$4&gt;NOW(),"-",IF(ISBLANK(Tbl_ResidentData[[#This Row],[Enrollment '[mmm-yyyy']]]),"-",AND((Tbl_ResidentData[[#This Row],[Enrollment '[mmm-yyyy']]]&lt;=AF$4),IF(ISBLANK(Tbl_ResidentData[[#This Row],[Discharge '[mmm-yyyy']]]),TRUE,(Tbl_ResidentData[[#This Row],[Discharge '[mmm-yyyy']]]&gt;=AF$4)))))</f>
        <v>-</v>
      </c>
      <c r="AG142" s="121" t="str">
        <f ca="1">IF(AG$4&gt;NOW(),"-",IF(ISBLANK(Tbl_ResidentData[[#This Row],[Enrollment '[mmm-yyyy']]]),"-",AND((Tbl_ResidentData[[#This Row],[Enrollment '[mmm-yyyy']]]&lt;=AG$4),IF(ISBLANK(Tbl_ResidentData[[#This Row],[Discharge '[mmm-yyyy']]]),TRUE,(Tbl_ResidentData[[#This Row],[Discharge '[mmm-yyyy']]]&gt;=AG$4)))))</f>
        <v>-</v>
      </c>
      <c r="AH142" s="121" t="str">
        <f ca="1">IF(AH$4&gt;NOW(),"-",IF(ISBLANK(Tbl_ResidentData[[#This Row],[Enrollment '[mmm-yyyy']]]),"-",AND((Tbl_ResidentData[[#This Row],[Enrollment '[mmm-yyyy']]]&lt;=AH$4),IF(ISBLANK(Tbl_ResidentData[[#This Row],[Discharge '[mmm-yyyy']]]),TRUE,(Tbl_ResidentData[[#This Row],[Discharge '[mmm-yyyy']]]&gt;=AH$4)))))</f>
        <v>-</v>
      </c>
      <c r="AI142" s="121" t="str">
        <f ca="1">IF(AI$4&gt;NOW(),"-",IF(ISBLANK(Tbl_ResidentData[[#This Row],[Enrollment '[mmm-yyyy']]]),"-",AND((Tbl_ResidentData[[#This Row],[Enrollment '[mmm-yyyy']]]&lt;=AI$4),IF(ISBLANK(Tbl_ResidentData[[#This Row],[Discharge '[mmm-yyyy']]]),TRUE,(Tbl_ResidentData[[#This Row],[Discharge '[mmm-yyyy']]]&gt;=AI$4)))))</f>
        <v>-</v>
      </c>
      <c r="AJ142" s="121" t="str">
        <f ca="1">IF(AJ$4&gt;NOW(),"-",IF(ISBLANK(Tbl_ResidentData[[#This Row],[Enrollment '[mmm-yyyy']]]),"-",AND((Tbl_ResidentData[[#This Row],[Enrollment '[mmm-yyyy']]]&lt;=AJ$4),IF(ISBLANK(Tbl_ResidentData[[#This Row],[Discharge '[mmm-yyyy']]]),TRUE,(Tbl_ResidentData[[#This Row],[Discharge '[mmm-yyyy']]]&gt;=AJ$4)))))</f>
        <v>-</v>
      </c>
      <c r="AK142" s="121" t="str">
        <f ca="1">IF(AK$4&gt;NOW(),"-",IF(ISBLANK(Tbl_ResidentData[[#This Row],[Enrollment '[mmm-yyyy']]]),"-",AND((Tbl_ResidentData[[#This Row],[Enrollment '[mmm-yyyy']]]&lt;=AK$4),IF(ISBLANK(Tbl_ResidentData[[#This Row],[Discharge '[mmm-yyyy']]]),TRUE,(Tbl_ResidentData[[#This Row],[Discharge '[mmm-yyyy']]]&gt;=AK$4)))))</f>
        <v>-</v>
      </c>
      <c r="AL142" s="121" t="str">
        <f ca="1">IF(AL$4&gt;NOW(),"-",IF(ISBLANK(Tbl_ResidentData[[#This Row],[Enrollment '[mmm-yyyy']]]),"-",AND((Tbl_ResidentData[[#This Row],[Enrollment '[mmm-yyyy']]]&lt;=AL$4),IF(ISBLANK(Tbl_ResidentData[[#This Row],[Discharge '[mmm-yyyy']]]),TRUE,(Tbl_ResidentData[[#This Row],[Discharge '[mmm-yyyy']]]&gt;=AL$4)))))</f>
        <v>-</v>
      </c>
      <c r="AM142" s="121" t="str">
        <f ca="1">IF(AM$4&gt;NOW(),"-",IF(ISBLANK(Tbl_ResidentData[[#This Row],[Enrollment '[mmm-yyyy']]]),"-",AND((Tbl_ResidentData[[#This Row],[Enrollment '[mmm-yyyy']]]&lt;=AM$4),IF(ISBLANK(Tbl_ResidentData[[#This Row],[Discharge '[mmm-yyyy']]]),TRUE,(Tbl_ResidentData[[#This Row],[Discharge '[mmm-yyyy']]]&gt;=AM$4)))))</f>
        <v>-</v>
      </c>
      <c r="AN142" s="121" t="str">
        <f ca="1">IF(AN$4&gt;NOW(),"-",IF(ISBLANK(Tbl_ResidentData[[#This Row],[Enrollment '[mmm-yyyy']]]),"-",AND((Tbl_ResidentData[[#This Row],[Enrollment '[mmm-yyyy']]]&lt;=AN$4),IF(ISBLANK(Tbl_ResidentData[[#This Row],[Discharge '[mmm-yyyy']]]),TRUE,(Tbl_ResidentData[[#This Row],[Discharge '[mmm-yyyy']]]&gt;=AN$4)))))</f>
        <v>-</v>
      </c>
      <c r="AO142" s="121" t="str">
        <f ca="1">IF(AO$4&gt;NOW(),"-",IF(ISBLANK(Tbl_ResidentData[[#This Row],[Enrollment '[mmm-yyyy']]]),"-",AND((Tbl_ResidentData[[#This Row],[Enrollment '[mmm-yyyy']]]&lt;=AO$4),IF(ISBLANK(Tbl_ResidentData[[#This Row],[Discharge '[mmm-yyyy']]]),TRUE,(Tbl_ResidentData[[#This Row],[Discharge '[mmm-yyyy']]]&gt;=AO$4)))))</f>
        <v>-</v>
      </c>
      <c r="AP142" s="121" t="str">
        <f ca="1">IF(AP$4&gt;NOW(),"-",IF(ISBLANK(Tbl_ResidentData[[#This Row],[Enrollment '[mmm-yyyy']]]),"-",AND((Tbl_ResidentData[[#This Row],[Enrollment '[mmm-yyyy']]]&lt;=AP$4),IF(ISBLANK(Tbl_ResidentData[[#This Row],[Discharge '[mmm-yyyy']]]),TRUE,(Tbl_ResidentData[[#This Row],[Discharge '[mmm-yyyy']]]&gt;=AP$4)))))</f>
        <v>-</v>
      </c>
      <c r="AQ142" s="121" t="str">
        <f ca="1">IF(AQ$4&gt;NOW(),"-",IF(ISBLANK(Tbl_ResidentData[[#This Row],[Enrollment '[mmm-yyyy']]]),"-",AND((Tbl_ResidentData[[#This Row],[Enrollment '[mmm-yyyy']]]&lt;=AQ$4),IF(ISBLANK(Tbl_ResidentData[[#This Row],[Discharge '[mmm-yyyy']]]),TRUE,(Tbl_ResidentData[[#This Row],[Discharge '[mmm-yyyy']]]&gt;=AQ$4)))))</f>
        <v>-</v>
      </c>
      <c r="AR142" s="122" t="str">
        <f ca="1">IF(AR$4&gt;NOW(),"-",IF(ISBLANK(Tbl_ResidentData[[#This Row],[Enrollment '[mmm-yyyy']]]),"-",AND((Tbl_ResidentData[[#This Row],[Enrollment '[mmm-yyyy']]]&lt;=AR$4),IF(ISBLANK(Tbl_ResidentData[[#This Row],[Discharge '[mmm-yyyy']]]),TRUE,(Tbl_ResidentData[[#This Row],[Discharge '[mmm-yyyy']]]&gt;=AR$4)))))</f>
        <v>-</v>
      </c>
      <c r="AS14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2" s="120" t="b">
        <f ca="1">AND(Tbl_ResidentData[[#This Row],[PRN Med Started]]&lt;&gt;"",Tbl_ResidentData[[#This Row],[PRN Med Started]]&lt;=NOW(),Tbl_ResidentData[[#This Row],[PRN Med Started]]&lt;=AS$4,OR(Tbl_ResidentData[[#This Row],[PRN Med Discontinued]]&gt;AS$4,ISBLANK(Tbl_ResidentData[[#This Row],[PRN Med Discontinued]])))</f>
        <v>0</v>
      </c>
      <c r="BR142" s="121" t="b">
        <f ca="1">AND(Tbl_ResidentData[[#This Row],[PRN Med Started]]&lt;&gt;"",Tbl_ResidentData[[#This Row],[PRN Med Started]]&lt;=NOW(),Tbl_ResidentData[[#This Row],[PRN Med Started]]&lt;=AT$4,OR(Tbl_ResidentData[[#This Row],[PRN Med Discontinued]]&gt;AT$4,ISBLANK(Tbl_ResidentData[[#This Row],[PRN Med Discontinued]])))</f>
        <v>0</v>
      </c>
      <c r="BS142" s="121" t="b">
        <f ca="1">AND(Tbl_ResidentData[[#This Row],[PRN Med Started]]&lt;&gt;"",Tbl_ResidentData[[#This Row],[PRN Med Started]]&lt;=NOW(),Tbl_ResidentData[[#This Row],[PRN Med Started]]&lt;=AU$4,OR(Tbl_ResidentData[[#This Row],[PRN Med Discontinued]]&gt;AU$4,ISBLANK(Tbl_ResidentData[[#This Row],[PRN Med Discontinued]])))</f>
        <v>0</v>
      </c>
      <c r="BT142" s="121" t="b">
        <f ca="1">AND(Tbl_ResidentData[[#This Row],[PRN Med Started]]&lt;&gt;"",Tbl_ResidentData[[#This Row],[PRN Med Started]]&lt;=NOW(),Tbl_ResidentData[[#This Row],[PRN Med Started]]&lt;=AV$4,OR(Tbl_ResidentData[[#This Row],[PRN Med Discontinued]]&gt;AV$4,ISBLANK(Tbl_ResidentData[[#This Row],[PRN Med Discontinued]])))</f>
        <v>0</v>
      </c>
      <c r="BU142" s="121" t="b">
        <f ca="1">AND(Tbl_ResidentData[[#This Row],[PRN Med Started]]&lt;&gt;"",Tbl_ResidentData[[#This Row],[PRN Med Started]]&lt;=NOW(),Tbl_ResidentData[[#This Row],[PRN Med Started]]&lt;=AW$4,OR(Tbl_ResidentData[[#This Row],[PRN Med Discontinued]]&gt;AW$4,ISBLANK(Tbl_ResidentData[[#This Row],[PRN Med Discontinued]])))</f>
        <v>0</v>
      </c>
      <c r="BV142" s="121" t="b">
        <f ca="1">AND(Tbl_ResidentData[[#This Row],[PRN Med Started]]&lt;&gt;"",Tbl_ResidentData[[#This Row],[PRN Med Started]]&lt;=NOW(),Tbl_ResidentData[[#This Row],[PRN Med Started]]&lt;=AX$4,OR(Tbl_ResidentData[[#This Row],[PRN Med Discontinued]]&gt;AX$4,ISBLANK(Tbl_ResidentData[[#This Row],[PRN Med Discontinued]])))</f>
        <v>0</v>
      </c>
      <c r="BW142" s="121" t="b">
        <f ca="1">AND(Tbl_ResidentData[[#This Row],[PRN Med Started]]&lt;&gt;"",Tbl_ResidentData[[#This Row],[PRN Med Started]]&lt;=NOW(),Tbl_ResidentData[[#This Row],[PRN Med Started]]&lt;=AY$4,OR(Tbl_ResidentData[[#This Row],[PRN Med Discontinued]]&gt;AY$4,ISBLANK(Tbl_ResidentData[[#This Row],[PRN Med Discontinued]])))</f>
        <v>0</v>
      </c>
      <c r="BX142" s="121" t="b">
        <f ca="1">AND(Tbl_ResidentData[[#This Row],[PRN Med Started]]&lt;&gt;"",Tbl_ResidentData[[#This Row],[PRN Med Started]]&lt;=NOW(),Tbl_ResidentData[[#This Row],[PRN Med Started]]&lt;=AZ$4,OR(Tbl_ResidentData[[#This Row],[PRN Med Discontinued]]&gt;AZ$4,ISBLANK(Tbl_ResidentData[[#This Row],[PRN Med Discontinued]])))</f>
        <v>0</v>
      </c>
      <c r="BY142" s="121" t="b">
        <f ca="1">AND(Tbl_ResidentData[[#This Row],[PRN Med Started]]&lt;&gt;"",Tbl_ResidentData[[#This Row],[PRN Med Started]]&lt;=NOW(),Tbl_ResidentData[[#This Row],[PRN Med Started]]&lt;=BA$4,OR(Tbl_ResidentData[[#This Row],[PRN Med Discontinued]]&gt;BA$4,ISBLANK(Tbl_ResidentData[[#This Row],[PRN Med Discontinued]])))</f>
        <v>0</v>
      </c>
      <c r="BZ142" s="121" t="b">
        <f ca="1">AND(Tbl_ResidentData[[#This Row],[PRN Med Started]]&lt;&gt;"",Tbl_ResidentData[[#This Row],[PRN Med Started]]&lt;=NOW(),Tbl_ResidentData[[#This Row],[PRN Med Started]]&lt;=BB$4,OR(Tbl_ResidentData[[#This Row],[PRN Med Discontinued]]&gt;BB$4,ISBLANK(Tbl_ResidentData[[#This Row],[PRN Med Discontinued]])))</f>
        <v>0</v>
      </c>
      <c r="CA142" s="121" t="b">
        <f ca="1">AND(Tbl_ResidentData[[#This Row],[PRN Med Started]]&lt;&gt;"",Tbl_ResidentData[[#This Row],[PRN Med Started]]&lt;=NOW(),Tbl_ResidentData[[#This Row],[PRN Med Started]]&lt;=BC$4,OR(Tbl_ResidentData[[#This Row],[PRN Med Discontinued]]&gt;BC$4,ISBLANK(Tbl_ResidentData[[#This Row],[PRN Med Discontinued]])))</f>
        <v>0</v>
      </c>
      <c r="CB142" s="121" t="b">
        <f ca="1">AND(Tbl_ResidentData[[#This Row],[PRN Med Started]]&lt;&gt;"",Tbl_ResidentData[[#This Row],[PRN Med Started]]&lt;=NOW(),Tbl_ResidentData[[#This Row],[PRN Med Started]]&lt;=BD$4,OR(Tbl_ResidentData[[#This Row],[PRN Med Discontinued]]&gt;BD$4,ISBLANK(Tbl_ResidentData[[#This Row],[PRN Med Discontinued]])))</f>
        <v>0</v>
      </c>
      <c r="CC142" s="121" t="b">
        <f ca="1">AND(Tbl_ResidentData[[#This Row],[PRN Med Started]]&lt;&gt;"",Tbl_ResidentData[[#This Row],[PRN Med Started]]&lt;=NOW(),Tbl_ResidentData[[#This Row],[PRN Med Started]]&lt;=BE$4,OR(Tbl_ResidentData[[#This Row],[PRN Med Discontinued]]&gt;BE$4,ISBLANK(Tbl_ResidentData[[#This Row],[PRN Med Discontinued]])))</f>
        <v>0</v>
      </c>
      <c r="CD142" s="121" t="b">
        <f ca="1">AND(Tbl_ResidentData[[#This Row],[PRN Med Started]]&lt;&gt;"",Tbl_ResidentData[[#This Row],[PRN Med Started]]&lt;=NOW(),Tbl_ResidentData[[#This Row],[PRN Med Started]]&lt;=BF$4,OR(Tbl_ResidentData[[#This Row],[PRN Med Discontinued]]&gt;BF$4,ISBLANK(Tbl_ResidentData[[#This Row],[PRN Med Discontinued]])))</f>
        <v>0</v>
      </c>
      <c r="CE142" s="121" t="b">
        <f ca="1">AND(Tbl_ResidentData[[#This Row],[PRN Med Started]]&lt;&gt;"",Tbl_ResidentData[[#This Row],[PRN Med Started]]&lt;=NOW(),Tbl_ResidentData[[#This Row],[PRN Med Started]]&lt;=BG$4,OR(Tbl_ResidentData[[#This Row],[PRN Med Discontinued]]&gt;BG$4,ISBLANK(Tbl_ResidentData[[#This Row],[PRN Med Discontinued]])))</f>
        <v>0</v>
      </c>
      <c r="CF142" s="121" t="b">
        <f ca="1">AND(Tbl_ResidentData[[#This Row],[PRN Med Started]]&lt;&gt;"",Tbl_ResidentData[[#This Row],[PRN Med Started]]&lt;=NOW(),Tbl_ResidentData[[#This Row],[PRN Med Started]]&lt;=BH$4,OR(Tbl_ResidentData[[#This Row],[PRN Med Discontinued]]&gt;BH$4,ISBLANK(Tbl_ResidentData[[#This Row],[PRN Med Discontinued]])))</f>
        <v>0</v>
      </c>
      <c r="CG142" s="121" t="b">
        <f ca="1">AND(Tbl_ResidentData[[#This Row],[PRN Med Started]]&lt;&gt;"",Tbl_ResidentData[[#This Row],[PRN Med Started]]&lt;=NOW(),Tbl_ResidentData[[#This Row],[PRN Med Started]]&lt;=BI$4,OR(Tbl_ResidentData[[#This Row],[PRN Med Discontinued]]&gt;BI$4,ISBLANK(Tbl_ResidentData[[#This Row],[PRN Med Discontinued]])))</f>
        <v>0</v>
      </c>
      <c r="CH142" s="121" t="b">
        <f ca="1">AND(Tbl_ResidentData[[#This Row],[PRN Med Started]]&lt;&gt;"",Tbl_ResidentData[[#This Row],[PRN Med Started]]&lt;=NOW(),Tbl_ResidentData[[#This Row],[PRN Med Started]]&lt;=BJ$4,OR(Tbl_ResidentData[[#This Row],[PRN Med Discontinued]]&gt;BJ$4,ISBLANK(Tbl_ResidentData[[#This Row],[PRN Med Discontinued]])))</f>
        <v>0</v>
      </c>
      <c r="CI142" s="121" t="b">
        <f ca="1">AND(Tbl_ResidentData[[#This Row],[PRN Med Started]]&lt;&gt;"",Tbl_ResidentData[[#This Row],[PRN Med Started]]&lt;=NOW(),Tbl_ResidentData[[#This Row],[PRN Med Started]]&lt;=BK$4,OR(Tbl_ResidentData[[#This Row],[PRN Med Discontinued]]&gt;BK$4,ISBLANK(Tbl_ResidentData[[#This Row],[PRN Med Discontinued]])))</f>
        <v>0</v>
      </c>
      <c r="CJ142" s="121" t="b">
        <f ca="1">AND(Tbl_ResidentData[[#This Row],[PRN Med Started]]&lt;&gt;"",Tbl_ResidentData[[#This Row],[PRN Med Started]]&lt;=NOW(),Tbl_ResidentData[[#This Row],[PRN Med Started]]&lt;=BL$4,OR(Tbl_ResidentData[[#This Row],[PRN Med Discontinued]]&gt;BL$4,ISBLANK(Tbl_ResidentData[[#This Row],[PRN Med Discontinued]])))</f>
        <v>0</v>
      </c>
      <c r="CK142" s="121" t="b">
        <f ca="1">AND(Tbl_ResidentData[[#This Row],[PRN Med Started]]&lt;&gt;"",Tbl_ResidentData[[#This Row],[PRN Med Started]]&lt;=NOW(),Tbl_ResidentData[[#This Row],[PRN Med Started]]&lt;=BM$4,OR(Tbl_ResidentData[[#This Row],[PRN Med Discontinued]]&gt;BM$4,ISBLANK(Tbl_ResidentData[[#This Row],[PRN Med Discontinued]])))</f>
        <v>0</v>
      </c>
      <c r="CL142" s="121" t="b">
        <f ca="1">AND(Tbl_ResidentData[[#This Row],[PRN Med Started]]&lt;&gt;"",Tbl_ResidentData[[#This Row],[PRN Med Started]]&lt;=NOW(),Tbl_ResidentData[[#This Row],[PRN Med Started]]&lt;=BN$4,OR(Tbl_ResidentData[[#This Row],[PRN Med Discontinued]]&gt;BN$4,ISBLANK(Tbl_ResidentData[[#This Row],[PRN Med Discontinued]])))</f>
        <v>0</v>
      </c>
      <c r="CM142" s="121" t="b">
        <f ca="1">AND(Tbl_ResidentData[[#This Row],[PRN Med Started]]&lt;&gt;"",Tbl_ResidentData[[#This Row],[PRN Med Started]]&lt;=NOW(),Tbl_ResidentData[[#This Row],[PRN Med Started]]&lt;=BO$4,OR(Tbl_ResidentData[[#This Row],[PRN Med Discontinued]]&gt;BO$4,ISBLANK(Tbl_ResidentData[[#This Row],[PRN Med Discontinued]])))</f>
        <v>0</v>
      </c>
      <c r="CN142" s="122" t="b">
        <f ca="1">AND(Tbl_ResidentData[[#This Row],[PRN Med Started]]&lt;&gt;"",Tbl_ResidentData[[#This Row],[PRN Med Started]]&lt;=NOW(),Tbl_ResidentData[[#This Row],[PRN Med Started]]&lt;=BP$4,OR(Tbl_ResidentData[[#This Row],[PRN Med Discontinued]]&gt;BP$4,ISBLANK(Tbl_ResidentData[[#This Row],[PRN Med Discontinued]])))</f>
        <v>0</v>
      </c>
      <c r="CO142" s="120">
        <f ca="1">IF(OR(Tbl_ResidentData[[#This Row],[S1]]=TRUE,Tbl_ResidentData[[#This Row],[P1]]=TRUE),1,0)</f>
        <v>0</v>
      </c>
      <c r="CP142" s="121">
        <f ca="1">IF(OR(Tbl_ResidentData[[#This Row],[S2]]=TRUE,Tbl_ResidentData[[#This Row],[P2]]=TRUE),1,0)</f>
        <v>0</v>
      </c>
      <c r="CQ142" s="121">
        <f ca="1">IF(OR(Tbl_ResidentData[[#This Row],[S3]]=TRUE,Tbl_ResidentData[[#This Row],[P3]]=TRUE),1,0)</f>
        <v>0</v>
      </c>
      <c r="CR142" s="120">
        <f ca="1">IF(OR(Tbl_ResidentData[[#This Row],[S4]]=TRUE,Tbl_ResidentData[[#This Row],[P4]]=TRUE),1,0)</f>
        <v>0</v>
      </c>
      <c r="CS142" s="120">
        <f ca="1">IF(OR(Tbl_ResidentData[[#This Row],[S5]]=TRUE,Tbl_ResidentData[[#This Row],[P5]]=TRUE),1,0)</f>
        <v>0</v>
      </c>
      <c r="CT142" s="120">
        <f ca="1">IF(OR(Tbl_ResidentData[[#This Row],[S6]]=TRUE,Tbl_ResidentData[[#This Row],[P6]]=TRUE),1,0)</f>
        <v>0</v>
      </c>
      <c r="CU142" s="120">
        <f ca="1">IF(OR(Tbl_ResidentData[[#This Row],[S7]]=TRUE,Tbl_ResidentData[[#This Row],[P7]]=TRUE),1,0)</f>
        <v>0</v>
      </c>
      <c r="CV142" s="120">
        <f ca="1">IF(OR(Tbl_ResidentData[[#This Row],[S8]]=TRUE,Tbl_ResidentData[[#This Row],[P8]]=TRUE),1,0)</f>
        <v>0</v>
      </c>
      <c r="CW142" s="120">
        <f ca="1">IF(OR(Tbl_ResidentData[[#This Row],[S9]]=TRUE,Tbl_ResidentData[[#This Row],[P9]]=TRUE),1,0)</f>
        <v>0</v>
      </c>
      <c r="CX142" s="120">
        <f ca="1">IF(OR(Tbl_ResidentData[[#This Row],[S10]]=TRUE,Tbl_ResidentData[[#This Row],[P10]]=TRUE),1,0)</f>
        <v>0</v>
      </c>
      <c r="CY142" s="120">
        <f ca="1">IF(OR(Tbl_ResidentData[[#This Row],[S11]]=TRUE,Tbl_ResidentData[[#This Row],[P11]]=TRUE),1,0)</f>
        <v>0</v>
      </c>
      <c r="CZ142" s="120">
        <f ca="1">IF(OR(Tbl_ResidentData[[#This Row],[S12]]=TRUE,Tbl_ResidentData[[#This Row],[P12]]=TRUE),1,0)</f>
        <v>0</v>
      </c>
      <c r="DA142" s="120">
        <f ca="1">IF(OR(Tbl_ResidentData[[#This Row],[S13]]=TRUE,Tbl_ResidentData[[#This Row],[P13]]=TRUE),1,0)</f>
        <v>0</v>
      </c>
      <c r="DB142" s="120">
        <f ca="1">IF(OR(Tbl_ResidentData[[#This Row],[S14]]=TRUE,Tbl_ResidentData[[#This Row],[P14]]=TRUE),1,0)</f>
        <v>0</v>
      </c>
      <c r="DC142" s="120">
        <f ca="1">IF(OR(Tbl_ResidentData[[#This Row],[S15]]=TRUE,Tbl_ResidentData[[#This Row],[P15]]=TRUE),1,0)</f>
        <v>0</v>
      </c>
      <c r="DD142" s="120">
        <f ca="1">IF(OR(Tbl_ResidentData[[#This Row],[S16]]=TRUE,Tbl_ResidentData[[#This Row],[P16]]=TRUE),1,0)</f>
        <v>0</v>
      </c>
      <c r="DE142" s="120">
        <f ca="1">IF(OR(Tbl_ResidentData[[#This Row],[S17]]=TRUE,Tbl_ResidentData[[#This Row],[P17]]=TRUE),1,0)</f>
        <v>0</v>
      </c>
      <c r="DF142" s="120">
        <f ca="1">IF(OR(Tbl_ResidentData[[#This Row],[S18]]=TRUE,Tbl_ResidentData[[#This Row],[P18]]=TRUE),1,0)</f>
        <v>0</v>
      </c>
      <c r="DG142" s="120">
        <f ca="1">IF(OR(Tbl_ResidentData[[#This Row],[S19]]=TRUE,Tbl_ResidentData[[#This Row],[P19]]=TRUE),1,0)</f>
        <v>0</v>
      </c>
      <c r="DH142" s="120">
        <f ca="1">IF(OR(Tbl_ResidentData[[#This Row],[S20]]=TRUE,Tbl_ResidentData[[#This Row],[P20]]=TRUE),1,0)</f>
        <v>0</v>
      </c>
      <c r="DI142" s="120">
        <f ca="1">IF(OR(Tbl_ResidentData[[#This Row],[S21]]=TRUE,Tbl_ResidentData[[#This Row],[P21]]=TRUE),1,0)</f>
        <v>0</v>
      </c>
      <c r="DJ142" s="120">
        <f ca="1">IF(OR(Tbl_ResidentData[[#This Row],[S22]]=TRUE,Tbl_ResidentData[[#This Row],[P22]]=TRUE),1,0)</f>
        <v>0</v>
      </c>
      <c r="DK142" s="120">
        <f ca="1">IF(OR(Tbl_ResidentData[[#This Row],[S23]]=TRUE,Tbl_ResidentData[[#This Row],[P23]]=TRUE),1,0)</f>
        <v>0</v>
      </c>
      <c r="DL142" s="120">
        <f ca="1">IF(OR(Tbl_ResidentData[[#This Row],[S24]]=TRUE,Tbl_ResidentData[[#This Row],[P24]]=TRUE),1,0)</f>
        <v>0</v>
      </c>
      <c r="DM142" s="123" t="str">
        <f ca="1">IFERROR(INDEX($CO$4:$DL$4,MATCH(TRUE,INDEX((Tbl_ResidentData[[#This Row],[Over1]:[Over24]]&lt;&gt;0),0),0)),"")</f>
        <v/>
      </c>
      <c r="DN142" s="133" t="str">
        <f>IFERROR(INDEX(Tbl_PDSAData[Last DRT],MATCH(Tbl_ResidentData[Resident Name '[last, first']],Tbl_PDSAData[Resident Name (last, first)],0)),"")</f>
        <v/>
      </c>
      <c r="DO142" s="222" t="str">
        <f>IFERROR(INDEX(Tbl_PDSAData[Last MR],MATCH(Tbl_ResidentData[Resident Name '[last, first']],Tbl_PDSAData[Resident Name (last, first)],0)),"")</f>
        <v/>
      </c>
    </row>
    <row r="143" spans="1:119" x14ac:dyDescent="0.25">
      <c r="A143" s="179"/>
      <c r="B143" s="180"/>
      <c r="C143" s="180"/>
      <c r="D143" s="218"/>
      <c r="E143" s="179"/>
      <c r="F143" s="179"/>
      <c r="G143" s="181"/>
      <c r="H143" s="375"/>
      <c r="I143" s="185"/>
      <c r="J143" s="387"/>
      <c r="K143" s="178"/>
      <c r="L143" s="388"/>
      <c r="M143" s="185"/>
      <c r="N143" s="386"/>
      <c r="O143" s="178"/>
      <c r="P143" s="388"/>
      <c r="Q143" s="395"/>
      <c r="R143" s="396"/>
      <c r="S143" s="131" t="str">
        <f>IF(ISBLANK(Tbl_ResidentData[[#This Row],[Discharge '[mmm-yyyy']]]),IF(ISBLANK(Tbl_ResidentData[[#This Row],[Enrollment '[mmm-yyyy']]]),"","In Care Home"),"Discharged")</f>
        <v/>
      </c>
      <c r="T143" s="119" t="str">
        <f>IF(ISBLANK(Tbl_ResidentData[[#This Row],[Diagnosis (RAI)]]),IF(ISBLANK(Tbl_ResidentData[[#This Row],[Resident Name '[last, first']]]),"",0),IF(Tbl_ResidentData[[#This Row],[Diagnosis (RAI)]]="Other (see clinical notes)",0,1))</f>
        <v/>
      </c>
      <c r="U143" s="120" t="str">
        <f ca="1">IF(U$4&gt;NOW(),"-",IF(ISBLANK(Tbl_ResidentData[[#This Row],[Enrollment '[mmm-yyyy']]]),"-",AND((Tbl_ResidentData[[#This Row],[Enrollment '[mmm-yyyy']]]&lt;=U$4),IF(ISBLANK(Tbl_ResidentData[[#This Row],[Discharge '[mmm-yyyy']]]),TRUE,(Tbl_ResidentData[[#This Row],[Discharge '[mmm-yyyy']]]&gt;=U$4)))))</f>
        <v>-</v>
      </c>
      <c r="V143" s="121" t="str">
        <f ca="1">IF(V$4&gt;NOW(),"-",IF(ISBLANK(Tbl_ResidentData[[#This Row],[Enrollment '[mmm-yyyy']]]),"-",AND((Tbl_ResidentData[[#This Row],[Enrollment '[mmm-yyyy']]]&lt;=V$4),IF(ISBLANK(Tbl_ResidentData[[#This Row],[Discharge '[mmm-yyyy']]]),TRUE,(Tbl_ResidentData[[#This Row],[Discharge '[mmm-yyyy']]]&gt;=V$4)))))</f>
        <v>-</v>
      </c>
      <c r="W143" s="121" t="str">
        <f ca="1">IF(W$4&gt;NOW(),"-",IF(ISBLANK(Tbl_ResidentData[[#This Row],[Enrollment '[mmm-yyyy']]]),"-",AND((Tbl_ResidentData[[#This Row],[Enrollment '[mmm-yyyy']]]&lt;=W$4),IF(ISBLANK(Tbl_ResidentData[[#This Row],[Discharge '[mmm-yyyy']]]),TRUE,(Tbl_ResidentData[[#This Row],[Discharge '[mmm-yyyy']]]&gt;=W$4)))))</f>
        <v>-</v>
      </c>
      <c r="X143" s="121" t="str">
        <f ca="1">IF(X$4&gt;NOW(),"-",IF(ISBLANK(Tbl_ResidentData[[#This Row],[Enrollment '[mmm-yyyy']]]),"-",AND((Tbl_ResidentData[[#This Row],[Enrollment '[mmm-yyyy']]]&lt;=X$4),IF(ISBLANK(Tbl_ResidentData[[#This Row],[Discharge '[mmm-yyyy']]]),TRUE,(Tbl_ResidentData[[#This Row],[Discharge '[mmm-yyyy']]]&gt;=X$4)))))</f>
        <v>-</v>
      </c>
      <c r="Y143" s="121" t="str">
        <f ca="1">IF(Y$4&gt;NOW(),"-",IF(ISBLANK(Tbl_ResidentData[[#This Row],[Enrollment '[mmm-yyyy']]]),"-",AND((Tbl_ResidentData[[#This Row],[Enrollment '[mmm-yyyy']]]&lt;=Y$4),IF(ISBLANK(Tbl_ResidentData[[#This Row],[Discharge '[mmm-yyyy']]]),TRUE,(Tbl_ResidentData[[#This Row],[Discharge '[mmm-yyyy']]]&gt;=Y$4)))))</f>
        <v>-</v>
      </c>
      <c r="Z143" s="121" t="str">
        <f ca="1">IF(Z$4&gt;NOW(),"-",IF(ISBLANK(Tbl_ResidentData[[#This Row],[Enrollment '[mmm-yyyy']]]),"-",AND((Tbl_ResidentData[[#This Row],[Enrollment '[mmm-yyyy']]]&lt;=Z$4),IF(ISBLANK(Tbl_ResidentData[[#This Row],[Discharge '[mmm-yyyy']]]),TRUE,(Tbl_ResidentData[[#This Row],[Discharge '[mmm-yyyy']]]&gt;=Z$4)))))</f>
        <v>-</v>
      </c>
      <c r="AA143" s="121" t="str">
        <f ca="1">IF(AA$4&gt;NOW(),"-",IF(ISBLANK(Tbl_ResidentData[[#This Row],[Enrollment '[mmm-yyyy']]]),"-",AND((Tbl_ResidentData[[#This Row],[Enrollment '[mmm-yyyy']]]&lt;=AA$4),IF(ISBLANK(Tbl_ResidentData[[#This Row],[Discharge '[mmm-yyyy']]]),TRUE,(Tbl_ResidentData[[#This Row],[Discharge '[mmm-yyyy']]]&gt;=AA$4)))))</f>
        <v>-</v>
      </c>
      <c r="AB143" s="121" t="str">
        <f ca="1">IF(AB$4&gt;NOW(),"-",IF(ISBLANK(Tbl_ResidentData[[#This Row],[Enrollment '[mmm-yyyy']]]),"-",AND((Tbl_ResidentData[[#This Row],[Enrollment '[mmm-yyyy']]]&lt;=AB$4),IF(ISBLANK(Tbl_ResidentData[[#This Row],[Discharge '[mmm-yyyy']]]),TRUE,(Tbl_ResidentData[[#This Row],[Discharge '[mmm-yyyy']]]&gt;=AB$4)))))</f>
        <v>-</v>
      </c>
      <c r="AC143" s="121" t="str">
        <f ca="1">IF(AC$4&gt;NOW(),"-",IF(ISBLANK(Tbl_ResidentData[[#This Row],[Enrollment '[mmm-yyyy']]]),"-",AND((Tbl_ResidentData[[#This Row],[Enrollment '[mmm-yyyy']]]&lt;=AC$4),IF(ISBLANK(Tbl_ResidentData[[#This Row],[Discharge '[mmm-yyyy']]]),TRUE,(Tbl_ResidentData[[#This Row],[Discharge '[mmm-yyyy']]]&gt;=AC$4)))))</f>
        <v>-</v>
      </c>
      <c r="AD143" s="121" t="str">
        <f ca="1">IF(AD$4&gt;NOW(),"-",IF(ISBLANK(Tbl_ResidentData[[#This Row],[Enrollment '[mmm-yyyy']]]),"-",AND((Tbl_ResidentData[[#This Row],[Enrollment '[mmm-yyyy']]]&lt;=AD$4),IF(ISBLANK(Tbl_ResidentData[[#This Row],[Discharge '[mmm-yyyy']]]),TRUE,(Tbl_ResidentData[[#This Row],[Discharge '[mmm-yyyy']]]&gt;=AD$4)))))</f>
        <v>-</v>
      </c>
      <c r="AE143" s="121" t="str">
        <f ca="1">IF(AE$4&gt;NOW(),"-",IF(ISBLANK(Tbl_ResidentData[[#This Row],[Enrollment '[mmm-yyyy']]]),"-",AND((Tbl_ResidentData[[#This Row],[Enrollment '[mmm-yyyy']]]&lt;=AE$4),IF(ISBLANK(Tbl_ResidentData[[#This Row],[Discharge '[mmm-yyyy']]]),TRUE,(Tbl_ResidentData[[#This Row],[Discharge '[mmm-yyyy']]]&gt;=AE$4)))))</f>
        <v>-</v>
      </c>
      <c r="AF143" s="121" t="str">
        <f ca="1">IF(AF$4&gt;NOW(),"-",IF(ISBLANK(Tbl_ResidentData[[#This Row],[Enrollment '[mmm-yyyy']]]),"-",AND((Tbl_ResidentData[[#This Row],[Enrollment '[mmm-yyyy']]]&lt;=AF$4),IF(ISBLANK(Tbl_ResidentData[[#This Row],[Discharge '[mmm-yyyy']]]),TRUE,(Tbl_ResidentData[[#This Row],[Discharge '[mmm-yyyy']]]&gt;=AF$4)))))</f>
        <v>-</v>
      </c>
      <c r="AG143" s="121" t="str">
        <f ca="1">IF(AG$4&gt;NOW(),"-",IF(ISBLANK(Tbl_ResidentData[[#This Row],[Enrollment '[mmm-yyyy']]]),"-",AND((Tbl_ResidentData[[#This Row],[Enrollment '[mmm-yyyy']]]&lt;=AG$4),IF(ISBLANK(Tbl_ResidentData[[#This Row],[Discharge '[mmm-yyyy']]]),TRUE,(Tbl_ResidentData[[#This Row],[Discharge '[mmm-yyyy']]]&gt;=AG$4)))))</f>
        <v>-</v>
      </c>
      <c r="AH143" s="121" t="str">
        <f ca="1">IF(AH$4&gt;NOW(),"-",IF(ISBLANK(Tbl_ResidentData[[#This Row],[Enrollment '[mmm-yyyy']]]),"-",AND((Tbl_ResidentData[[#This Row],[Enrollment '[mmm-yyyy']]]&lt;=AH$4),IF(ISBLANK(Tbl_ResidentData[[#This Row],[Discharge '[mmm-yyyy']]]),TRUE,(Tbl_ResidentData[[#This Row],[Discharge '[mmm-yyyy']]]&gt;=AH$4)))))</f>
        <v>-</v>
      </c>
      <c r="AI143" s="121" t="str">
        <f ca="1">IF(AI$4&gt;NOW(),"-",IF(ISBLANK(Tbl_ResidentData[[#This Row],[Enrollment '[mmm-yyyy']]]),"-",AND((Tbl_ResidentData[[#This Row],[Enrollment '[mmm-yyyy']]]&lt;=AI$4),IF(ISBLANK(Tbl_ResidentData[[#This Row],[Discharge '[mmm-yyyy']]]),TRUE,(Tbl_ResidentData[[#This Row],[Discharge '[mmm-yyyy']]]&gt;=AI$4)))))</f>
        <v>-</v>
      </c>
      <c r="AJ143" s="121" t="str">
        <f ca="1">IF(AJ$4&gt;NOW(),"-",IF(ISBLANK(Tbl_ResidentData[[#This Row],[Enrollment '[mmm-yyyy']]]),"-",AND((Tbl_ResidentData[[#This Row],[Enrollment '[mmm-yyyy']]]&lt;=AJ$4),IF(ISBLANK(Tbl_ResidentData[[#This Row],[Discharge '[mmm-yyyy']]]),TRUE,(Tbl_ResidentData[[#This Row],[Discharge '[mmm-yyyy']]]&gt;=AJ$4)))))</f>
        <v>-</v>
      </c>
      <c r="AK143" s="121" t="str">
        <f ca="1">IF(AK$4&gt;NOW(),"-",IF(ISBLANK(Tbl_ResidentData[[#This Row],[Enrollment '[mmm-yyyy']]]),"-",AND((Tbl_ResidentData[[#This Row],[Enrollment '[mmm-yyyy']]]&lt;=AK$4),IF(ISBLANK(Tbl_ResidentData[[#This Row],[Discharge '[mmm-yyyy']]]),TRUE,(Tbl_ResidentData[[#This Row],[Discharge '[mmm-yyyy']]]&gt;=AK$4)))))</f>
        <v>-</v>
      </c>
      <c r="AL143" s="121" t="str">
        <f ca="1">IF(AL$4&gt;NOW(),"-",IF(ISBLANK(Tbl_ResidentData[[#This Row],[Enrollment '[mmm-yyyy']]]),"-",AND((Tbl_ResidentData[[#This Row],[Enrollment '[mmm-yyyy']]]&lt;=AL$4),IF(ISBLANK(Tbl_ResidentData[[#This Row],[Discharge '[mmm-yyyy']]]),TRUE,(Tbl_ResidentData[[#This Row],[Discharge '[mmm-yyyy']]]&gt;=AL$4)))))</f>
        <v>-</v>
      </c>
      <c r="AM143" s="121" t="str">
        <f ca="1">IF(AM$4&gt;NOW(),"-",IF(ISBLANK(Tbl_ResidentData[[#This Row],[Enrollment '[mmm-yyyy']]]),"-",AND((Tbl_ResidentData[[#This Row],[Enrollment '[mmm-yyyy']]]&lt;=AM$4),IF(ISBLANK(Tbl_ResidentData[[#This Row],[Discharge '[mmm-yyyy']]]),TRUE,(Tbl_ResidentData[[#This Row],[Discharge '[mmm-yyyy']]]&gt;=AM$4)))))</f>
        <v>-</v>
      </c>
      <c r="AN143" s="121" t="str">
        <f ca="1">IF(AN$4&gt;NOW(),"-",IF(ISBLANK(Tbl_ResidentData[[#This Row],[Enrollment '[mmm-yyyy']]]),"-",AND((Tbl_ResidentData[[#This Row],[Enrollment '[mmm-yyyy']]]&lt;=AN$4),IF(ISBLANK(Tbl_ResidentData[[#This Row],[Discharge '[mmm-yyyy']]]),TRUE,(Tbl_ResidentData[[#This Row],[Discharge '[mmm-yyyy']]]&gt;=AN$4)))))</f>
        <v>-</v>
      </c>
      <c r="AO143" s="121" t="str">
        <f ca="1">IF(AO$4&gt;NOW(),"-",IF(ISBLANK(Tbl_ResidentData[[#This Row],[Enrollment '[mmm-yyyy']]]),"-",AND((Tbl_ResidentData[[#This Row],[Enrollment '[mmm-yyyy']]]&lt;=AO$4),IF(ISBLANK(Tbl_ResidentData[[#This Row],[Discharge '[mmm-yyyy']]]),TRUE,(Tbl_ResidentData[[#This Row],[Discharge '[mmm-yyyy']]]&gt;=AO$4)))))</f>
        <v>-</v>
      </c>
      <c r="AP143" s="121" t="str">
        <f ca="1">IF(AP$4&gt;NOW(),"-",IF(ISBLANK(Tbl_ResidentData[[#This Row],[Enrollment '[mmm-yyyy']]]),"-",AND((Tbl_ResidentData[[#This Row],[Enrollment '[mmm-yyyy']]]&lt;=AP$4),IF(ISBLANK(Tbl_ResidentData[[#This Row],[Discharge '[mmm-yyyy']]]),TRUE,(Tbl_ResidentData[[#This Row],[Discharge '[mmm-yyyy']]]&gt;=AP$4)))))</f>
        <v>-</v>
      </c>
      <c r="AQ143" s="121" t="str">
        <f ca="1">IF(AQ$4&gt;NOW(),"-",IF(ISBLANK(Tbl_ResidentData[[#This Row],[Enrollment '[mmm-yyyy']]]),"-",AND((Tbl_ResidentData[[#This Row],[Enrollment '[mmm-yyyy']]]&lt;=AQ$4),IF(ISBLANK(Tbl_ResidentData[[#This Row],[Discharge '[mmm-yyyy']]]),TRUE,(Tbl_ResidentData[[#This Row],[Discharge '[mmm-yyyy']]]&gt;=AQ$4)))))</f>
        <v>-</v>
      </c>
      <c r="AR143" s="122" t="str">
        <f ca="1">IF(AR$4&gt;NOW(),"-",IF(ISBLANK(Tbl_ResidentData[[#This Row],[Enrollment '[mmm-yyyy']]]),"-",AND((Tbl_ResidentData[[#This Row],[Enrollment '[mmm-yyyy']]]&lt;=AR$4),IF(ISBLANK(Tbl_ResidentData[[#This Row],[Discharge '[mmm-yyyy']]]),TRUE,(Tbl_ResidentData[[#This Row],[Discharge '[mmm-yyyy']]]&gt;=AR$4)))))</f>
        <v>-</v>
      </c>
      <c r="AS14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3" s="120" t="b">
        <f ca="1">AND(Tbl_ResidentData[[#This Row],[PRN Med Started]]&lt;&gt;"",Tbl_ResidentData[[#This Row],[PRN Med Started]]&lt;=NOW(),Tbl_ResidentData[[#This Row],[PRN Med Started]]&lt;=AS$4,OR(Tbl_ResidentData[[#This Row],[PRN Med Discontinued]]&gt;AS$4,ISBLANK(Tbl_ResidentData[[#This Row],[PRN Med Discontinued]])))</f>
        <v>0</v>
      </c>
      <c r="BR143" s="121" t="b">
        <f ca="1">AND(Tbl_ResidentData[[#This Row],[PRN Med Started]]&lt;&gt;"",Tbl_ResidentData[[#This Row],[PRN Med Started]]&lt;=NOW(),Tbl_ResidentData[[#This Row],[PRN Med Started]]&lt;=AT$4,OR(Tbl_ResidentData[[#This Row],[PRN Med Discontinued]]&gt;AT$4,ISBLANK(Tbl_ResidentData[[#This Row],[PRN Med Discontinued]])))</f>
        <v>0</v>
      </c>
      <c r="BS143" s="121" t="b">
        <f ca="1">AND(Tbl_ResidentData[[#This Row],[PRN Med Started]]&lt;&gt;"",Tbl_ResidentData[[#This Row],[PRN Med Started]]&lt;=NOW(),Tbl_ResidentData[[#This Row],[PRN Med Started]]&lt;=AU$4,OR(Tbl_ResidentData[[#This Row],[PRN Med Discontinued]]&gt;AU$4,ISBLANK(Tbl_ResidentData[[#This Row],[PRN Med Discontinued]])))</f>
        <v>0</v>
      </c>
      <c r="BT143" s="121" t="b">
        <f ca="1">AND(Tbl_ResidentData[[#This Row],[PRN Med Started]]&lt;&gt;"",Tbl_ResidentData[[#This Row],[PRN Med Started]]&lt;=NOW(),Tbl_ResidentData[[#This Row],[PRN Med Started]]&lt;=AV$4,OR(Tbl_ResidentData[[#This Row],[PRN Med Discontinued]]&gt;AV$4,ISBLANK(Tbl_ResidentData[[#This Row],[PRN Med Discontinued]])))</f>
        <v>0</v>
      </c>
      <c r="BU143" s="121" t="b">
        <f ca="1">AND(Tbl_ResidentData[[#This Row],[PRN Med Started]]&lt;&gt;"",Tbl_ResidentData[[#This Row],[PRN Med Started]]&lt;=NOW(),Tbl_ResidentData[[#This Row],[PRN Med Started]]&lt;=AW$4,OR(Tbl_ResidentData[[#This Row],[PRN Med Discontinued]]&gt;AW$4,ISBLANK(Tbl_ResidentData[[#This Row],[PRN Med Discontinued]])))</f>
        <v>0</v>
      </c>
      <c r="BV143" s="121" t="b">
        <f ca="1">AND(Tbl_ResidentData[[#This Row],[PRN Med Started]]&lt;&gt;"",Tbl_ResidentData[[#This Row],[PRN Med Started]]&lt;=NOW(),Tbl_ResidentData[[#This Row],[PRN Med Started]]&lt;=AX$4,OR(Tbl_ResidentData[[#This Row],[PRN Med Discontinued]]&gt;AX$4,ISBLANK(Tbl_ResidentData[[#This Row],[PRN Med Discontinued]])))</f>
        <v>0</v>
      </c>
      <c r="BW143" s="121" t="b">
        <f ca="1">AND(Tbl_ResidentData[[#This Row],[PRN Med Started]]&lt;&gt;"",Tbl_ResidentData[[#This Row],[PRN Med Started]]&lt;=NOW(),Tbl_ResidentData[[#This Row],[PRN Med Started]]&lt;=AY$4,OR(Tbl_ResidentData[[#This Row],[PRN Med Discontinued]]&gt;AY$4,ISBLANK(Tbl_ResidentData[[#This Row],[PRN Med Discontinued]])))</f>
        <v>0</v>
      </c>
      <c r="BX143" s="121" t="b">
        <f ca="1">AND(Tbl_ResidentData[[#This Row],[PRN Med Started]]&lt;&gt;"",Tbl_ResidentData[[#This Row],[PRN Med Started]]&lt;=NOW(),Tbl_ResidentData[[#This Row],[PRN Med Started]]&lt;=AZ$4,OR(Tbl_ResidentData[[#This Row],[PRN Med Discontinued]]&gt;AZ$4,ISBLANK(Tbl_ResidentData[[#This Row],[PRN Med Discontinued]])))</f>
        <v>0</v>
      </c>
      <c r="BY143" s="121" t="b">
        <f ca="1">AND(Tbl_ResidentData[[#This Row],[PRN Med Started]]&lt;&gt;"",Tbl_ResidentData[[#This Row],[PRN Med Started]]&lt;=NOW(),Tbl_ResidentData[[#This Row],[PRN Med Started]]&lt;=BA$4,OR(Tbl_ResidentData[[#This Row],[PRN Med Discontinued]]&gt;BA$4,ISBLANK(Tbl_ResidentData[[#This Row],[PRN Med Discontinued]])))</f>
        <v>0</v>
      </c>
      <c r="BZ143" s="121" t="b">
        <f ca="1">AND(Tbl_ResidentData[[#This Row],[PRN Med Started]]&lt;&gt;"",Tbl_ResidentData[[#This Row],[PRN Med Started]]&lt;=NOW(),Tbl_ResidentData[[#This Row],[PRN Med Started]]&lt;=BB$4,OR(Tbl_ResidentData[[#This Row],[PRN Med Discontinued]]&gt;BB$4,ISBLANK(Tbl_ResidentData[[#This Row],[PRN Med Discontinued]])))</f>
        <v>0</v>
      </c>
      <c r="CA143" s="121" t="b">
        <f ca="1">AND(Tbl_ResidentData[[#This Row],[PRN Med Started]]&lt;&gt;"",Tbl_ResidentData[[#This Row],[PRN Med Started]]&lt;=NOW(),Tbl_ResidentData[[#This Row],[PRN Med Started]]&lt;=BC$4,OR(Tbl_ResidentData[[#This Row],[PRN Med Discontinued]]&gt;BC$4,ISBLANK(Tbl_ResidentData[[#This Row],[PRN Med Discontinued]])))</f>
        <v>0</v>
      </c>
      <c r="CB143" s="121" t="b">
        <f ca="1">AND(Tbl_ResidentData[[#This Row],[PRN Med Started]]&lt;&gt;"",Tbl_ResidentData[[#This Row],[PRN Med Started]]&lt;=NOW(),Tbl_ResidentData[[#This Row],[PRN Med Started]]&lt;=BD$4,OR(Tbl_ResidentData[[#This Row],[PRN Med Discontinued]]&gt;BD$4,ISBLANK(Tbl_ResidentData[[#This Row],[PRN Med Discontinued]])))</f>
        <v>0</v>
      </c>
      <c r="CC143" s="121" t="b">
        <f ca="1">AND(Tbl_ResidentData[[#This Row],[PRN Med Started]]&lt;&gt;"",Tbl_ResidentData[[#This Row],[PRN Med Started]]&lt;=NOW(),Tbl_ResidentData[[#This Row],[PRN Med Started]]&lt;=BE$4,OR(Tbl_ResidentData[[#This Row],[PRN Med Discontinued]]&gt;BE$4,ISBLANK(Tbl_ResidentData[[#This Row],[PRN Med Discontinued]])))</f>
        <v>0</v>
      </c>
      <c r="CD143" s="121" t="b">
        <f ca="1">AND(Tbl_ResidentData[[#This Row],[PRN Med Started]]&lt;&gt;"",Tbl_ResidentData[[#This Row],[PRN Med Started]]&lt;=NOW(),Tbl_ResidentData[[#This Row],[PRN Med Started]]&lt;=BF$4,OR(Tbl_ResidentData[[#This Row],[PRN Med Discontinued]]&gt;BF$4,ISBLANK(Tbl_ResidentData[[#This Row],[PRN Med Discontinued]])))</f>
        <v>0</v>
      </c>
      <c r="CE143" s="121" t="b">
        <f ca="1">AND(Tbl_ResidentData[[#This Row],[PRN Med Started]]&lt;&gt;"",Tbl_ResidentData[[#This Row],[PRN Med Started]]&lt;=NOW(),Tbl_ResidentData[[#This Row],[PRN Med Started]]&lt;=BG$4,OR(Tbl_ResidentData[[#This Row],[PRN Med Discontinued]]&gt;BG$4,ISBLANK(Tbl_ResidentData[[#This Row],[PRN Med Discontinued]])))</f>
        <v>0</v>
      </c>
      <c r="CF143" s="121" t="b">
        <f ca="1">AND(Tbl_ResidentData[[#This Row],[PRN Med Started]]&lt;&gt;"",Tbl_ResidentData[[#This Row],[PRN Med Started]]&lt;=NOW(),Tbl_ResidentData[[#This Row],[PRN Med Started]]&lt;=BH$4,OR(Tbl_ResidentData[[#This Row],[PRN Med Discontinued]]&gt;BH$4,ISBLANK(Tbl_ResidentData[[#This Row],[PRN Med Discontinued]])))</f>
        <v>0</v>
      </c>
      <c r="CG143" s="121" t="b">
        <f ca="1">AND(Tbl_ResidentData[[#This Row],[PRN Med Started]]&lt;&gt;"",Tbl_ResidentData[[#This Row],[PRN Med Started]]&lt;=NOW(),Tbl_ResidentData[[#This Row],[PRN Med Started]]&lt;=BI$4,OR(Tbl_ResidentData[[#This Row],[PRN Med Discontinued]]&gt;BI$4,ISBLANK(Tbl_ResidentData[[#This Row],[PRN Med Discontinued]])))</f>
        <v>0</v>
      </c>
      <c r="CH143" s="121" t="b">
        <f ca="1">AND(Tbl_ResidentData[[#This Row],[PRN Med Started]]&lt;&gt;"",Tbl_ResidentData[[#This Row],[PRN Med Started]]&lt;=NOW(),Tbl_ResidentData[[#This Row],[PRN Med Started]]&lt;=BJ$4,OR(Tbl_ResidentData[[#This Row],[PRN Med Discontinued]]&gt;BJ$4,ISBLANK(Tbl_ResidentData[[#This Row],[PRN Med Discontinued]])))</f>
        <v>0</v>
      </c>
      <c r="CI143" s="121" t="b">
        <f ca="1">AND(Tbl_ResidentData[[#This Row],[PRN Med Started]]&lt;&gt;"",Tbl_ResidentData[[#This Row],[PRN Med Started]]&lt;=NOW(),Tbl_ResidentData[[#This Row],[PRN Med Started]]&lt;=BK$4,OR(Tbl_ResidentData[[#This Row],[PRN Med Discontinued]]&gt;BK$4,ISBLANK(Tbl_ResidentData[[#This Row],[PRN Med Discontinued]])))</f>
        <v>0</v>
      </c>
      <c r="CJ143" s="121" t="b">
        <f ca="1">AND(Tbl_ResidentData[[#This Row],[PRN Med Started]]&lt;&gt;"",Tbl_ResidentData[[#This Row],[PRN Med Started]]&lt;=NOW(),Tbl_ResidentData[[#This Row],[PRN Med Started]]&lt;=BL$4,OR(Tbl_ResidentData[[#This Row],[PRN Med Discontinued]]&gt;BL$4,ISBLANK(Tbl_ResidentData[[#This Row],[PRN Med Discontinued]])))</f>
        <v>0</v>
      </c>
      <c r="CK143" s="121" t="b">
        <f ca="1">AND(Tbl_ResidentData[[#This Row],[PRN Med Started]]&lt;&gt;"",Tbl_ResidentData[[#This Row],[PRN Med Started]]&lt;=NOW(),Tbl_ResidentData[[#This Row],[PRN Med Started]]&lt;=BM$4,OR(Tbl_ResidentData[[#This Row],[PRN Med Discontinued]]&gt;BM$4,ISBLANK(Tbl_ResidentData[[#This Row],[PRN Med Discontinued]])))</f>
        <v>0</v>
      </c>
      <c r="CL143" s="121" t="b">
        <f ca="1">AND(Tbl_ResidentData[[#This Row],[PRN Med Started]]&lt;&gt;"",Tbl_ResidentData[[#This Row],[PRN Med Started]]&lt;=NOW(),Tbl_ResidentData[[#This Row],[PRN Med Started]]&lt;=BN$4,OR(Tbl_ResidentData[[#This Row],[PRN Med Discontinued]]&gt;BN$4,ISBLANK(Tbl_ResidentData[[#This Row],[PRN Med Discontinued]])))</f>
        <v>0</v>
      </c>
      <c r="CM143" s="121" t="b">
        <f ca="1">AND(Tbl_ResidentData[[#This Row],[PRN Med Started]]&lt;&gt;"",Tbl_ResidentData[[#This Row],[PRN Med Started]]&lt;=NOW(),Tbl_ResidentData[[#This Row],[PRN Med Started]]&lt;=BO$4,OR(Tbl_ResidentData[[#This Row],[PRN Med Discontinued]]&gt;BO$4,ISBLANK(Tbl_ResidentData[[#This Row],[PRN Med Discontinued]])))</f>
        <v>0</v>
      </c>
      <c r="CN143" s="122" t="b">
        <f ca="1">AND(Tbl_ResidentData[[#This Row],[PRN Med Started]]&lt;&gt;"",Tbl_ResidentData[[#This Row],[PRN Med Started]]&lt;=NOW(),Tbl_ResidentData[[#This Row],[PRN Med Started]]&lt;=BP$4,OR(Tbl_ResidentData[[#This Row],[PRN Med Discontinued]]&gt;BP$4,ISBLANK(Tbl_ResidentData[[#This Row],[PRN Med Discontinued]])))</f>
        <v>0</v>
      </c>
      <c r="CO143" s="120">
        <f ca="1">IF(OR(Tbl_ResidentData[[#This Row],[S1]]=TRUE,Tbl_ResidentData[[#This Row],[P1]]=TRUE),1,0)</f>
        <v>0</v>
      </c>
      <c r="CP143" s="121">
        <f ca="1">IF(OR(Tbl_ResidentData[[#This Row],[S2]]=TRUE,Tbl_ResidentData[[#This Row],[P2]]=TRUE),1,0)</f>
        <v>0</v>
      </c>
      <c r="CQ143" s="121">
        <f ca="1">IF(OR(Tbl_ResidentData[[#This Row],[S3]]=TRUE,Tbl_ResidentData[[#This Row],[P3]]=TRUE),1,0)</f>
        <v>0</v>
      </c>
      <c r="CR143" s="120">
        <f ca="1">IF(OR(Tbl_ResidentData[[#This Row],[S4]]=TRUE,Tbl_ResidentData[[#This Row],[P4]]=TRUE),1,0)</f>
        <v>0</v>
      </c>
      <c r="CS143" s="120">
        <f ca="1">IF(OR(Tbl_ResidentData[[#This Row],[S5]]=TRUE,Tbl_ResidentData[[#This Row],[P5]]=TRUE),1,0)</f>
        <v>0</v>
      </c>
      <c r="CT143" s="120">
        <f ca="1">IF(OR(Tbl_ResidentData[[#This Row],[S6]]=TRUE,Tbl_ResidentData[[#This Row],[P6]]=TRUE),1,0)</f>
        <v>0</v>
      </c>
      <c r="CU143" s="120">
        <f ca="1">IF(OR(Tbl_ResidentData[[#This Row],[S7]]=TRUE,Tbl_ResidentData[[#This Row],[P7]]=TRUE),1,0)</f>
        <v>0</v>
      </c>
      <c r="CV143" s="120">
        <f ca="1">IF(OR(Tbl_ResidentData[[#This Row],[S8]]=TRUE,Tbl_ResidentData[[#This Row],[P8]]=TRUE),1,0)</f>
        <v>0</v>
      </c>
      <c r="CW143" s="120">
        <f ca="1">IF(OR(Tbl_ResidentData[[#This Row],[S9]]=TRUE,Tbl_ResidentData[[#This Row],[P9]]=TRUE),1,0)</f>
        <v>0</v>
      </c>
      <c r="CX143" s="120">
        <f ca="1">IF(OR(Tbl_ResidentData[[#This Row],[S10]]=TRUE,Tbl_ResidentData[[#This Row],[P10]]=TRUE),1,0)</f>
        <v>0</v>
      </c>
      <c r="CY143" s="120">
        <f ca="1">IF(OR(Tbl_ResidentData[[#This Row],[S11]]=TRUE,Tbl_ResidentData[[#This Row],[P11]]=TRUE),1,0)</f>
        <v>0</v>
      </c>
      <c r="CZ143" s="120">
        <f ca="1">IF(OR(Tbl_ResidentData[[#This Row],[S12]]=TRUE,Tbl_ResidentData[[#This Row],[P12]]=TRUE),1,0)</f>
        <v>0</v>
      </c>
      <c r="DA143" s="120">
        <f ca="1">IF(OR(Tbl_ResidentData[[#This Row],[S13]]=TRUE,Tbl_ResidentData[[#This Row],[P13]]=TRUE),1,0)</f>
        <v>0</v>
      </c>
      <c r="DB143" s="120">
        <f ca="1">IF(OR(Tbl_ResidentData[[#This Row],[S14]]=TRUE,Tbl_ResidentData[[#This Row],[P14]]=TRUE),1,0)</f>
        <v>0</v>
      </c>
      <c r="DC143" s="120">
        <f ca="1">IF(OR(Tbl_ResidentData[[#This Row],[S15]]=TRUE,Tbl_ResidentData[[#This Row],[P15]]=TRUE),1,0)</f>
        <v>0</v>
      </c>
      <c r="DD143" s="120">
        <f ca="1">IF(OR(Tbl_ResidentData[[#This Row],[S16]]=TRUE,Tbl_ResidentData[[#This Row],[P16]]=TRUE),1,0)</f>
        <v>0</v>
      </c>
      <c r="DE143" s="120">
        <f ca="1">IF(OR(Tbl_ResidentData[[#This Row],[S17]]=TRUE,Tbl_ResidentData[[#This Row],[P17]]=TRUE),1,0)</f>
        <v>0</v>
      </c>
      <c r="DF143" s="120">
        <f ca="1">IF(OR(Tbl_ResidentData[[#This Row],[S18]]=TRUE,Tbl_ResidentData[[#This Row],[P18]]=TRUE),1,0)</f>
        <v>0</v>
      </c>
      <c r="DG143" s="120">
        <f ca="1">IF(OR(Tbl_ResidentData[[#This Row],[S19]]=TRUE,Tbl_ResidentData[[#This Row],[P19]]=TRUE),1,0)</f>
        <v>0</v>
      </c>
      <c r="DH143" s="120">
        <f ca="1">IF(OR(Tbl_ResidentData[[#This Row],[S20]]=TRUE,Tbl_ResidentData[[#This Row],[P20]]=TRUE),1,0)</f>
        <v>0</v>
      </c>
      <c r="DI143" s="120">
        <f ca="1">IF(OR(Tbl_ResidentData[[#This Row],[S21]]=TRUE,Tbl_ResidentData[[#This Row],[P21]]=TRUE),1,0)</f>
        <v>0</v>
      </c>
      <c r="DJ143" s="120">
        <f ca="1">IF(OR(Tbl_ResidentData[[#This Row],[S22]]=TRUE,Tbl_ResidentData[[#This Row],[P22]]=TRUE),1,0)</f>
        <v>0</v>
      </c>
      <c r="DK143" s="120">
        <f ca="1">IF(OR(Tbl_ResidentData[[#This Row],[S23]]=TRUE,Tbl_ResidentData[[#This Row],[P23]]=TRUE),1,0)</f>
        <v>0</v>
      </c>
      <c r="DL143" s="120">
        <f ca="1">IF(OR(Tbl_ResidentData[[#This Row],[S24]]=TRUE,Tbl_ResidentData[[#This Row],[P24]]=TRUE),1,0)</f>
        <v>0</v>
      </c>
      <c r="DM143" s="123" t="str">
        <f ca="1">IFERROR(INDEX($CO$4:$DL$4,MATCH(TRUE,INDEX((Tbl_ResidentData[[#This Row],[Over1]:[Over24]]&lt;&gt;0),0),0)),"")</f>
        <v/>
      </c>
      <c r="DN143" s="133" t="str">
        <f>IFERROR(INDEX(Tbl_PDSAData[Last DRT],MATCH(Tbl_ResidentData[Resident Name '[last, first']],Tbl_PDSAData[Resident Name (last, first)],0)),"")</f>
        <v/>
      </c>
      <c r="DO143" s="222" t="str">
        <f>IFERROR(INDEX(Tbl_PDSAData[Last MR],MATCH(Tbl_ResidentData[Resident Name '[last, first']],Tbl_PDSAData[Resident Name (last, first)],0)),"")</f>
        <v/>
      </c>
    </row>
    <row r="144" spans="1:119" x14ac:dyDescent="0.25">
      <c r="A144" s="179"/>
      <c r="B144" s="180"/>
      <c r="C144" s="180"/>
      <c r="D144" s="218"/>
      <c r="E144" s="179"/>
      <c r="F144" s="179"/>
      <c r="G144" s="181"/>
      <c r="H144" s="182"/>
      <c r="I144" s="185"/>
      <c r="J144" s="387"/>
      <c r="K144" s="178"/>
      <c r="L144" s="388"/>
      <c r="M144" s="185"/>
      <c r="N144" s="386"/>
      <c r="O144" s="178"/>
      <c r="P144" s="388"/>
      <c r="Q144" s="394"/>
      <c r="R144" s="388"/>
      <c r="S144" s="131" t="str">
        <f>IF(ISBLANK(Tbl_ResidentData[[#This Row],[Discharge '[mmm-yyyy']]]),IF(ISBLANK(Tbl_ResidentData[[#This Row],[Enrollment '[mmm-yyyy']]]),"","In Care Home"),"Discharged")</f>
        <v/>
      </c>
      <c r="T144" s="119" t="str">
        <f>IF(ISBLANK(Tbl_ResidentData[[#This Row],[Diagnosis (RAI)]]),IF(ISBLANK(Tbl_ResidentData[[#This Row],[Resident Name '[last, first']]]),"",0),IF(Tbl_ResidentData[[#This Row],[Diagnosis (RAI)]]="Other (see clinical notes)",0,1))</f>
        <v/>
      </c>
      <c r="U144" s="120" t="str">
        <f ca="1">IF(U$4&gt;NOW(),"-",IF(ISBLANK(Tbl_ResidentData[[#This Row],[Enrollment '[mmm-yyyy']]]),"-",AND((Tbl_ResidentData[[#This Row],[Enrollment '[mmm-yyyy']]]&lt;=U$4),IF(ISBLANK(Tbl_ResidentData[[#This Row],[Discharge '[mmm-yyyy']]]),TRUE,(Tbl_ResidentData[[#This Row],[Discharge '[mmm-yyyy']]]&gt;=U$4)))))</f>
        <v>-</v>
      </c>
      <c r="V144" s="121" t="str">
        <f ca="1">IF(V$4&gt;NOW(),"-",IF(ISBLANK(Tbl_ResidentData[[#This Row],[Enrollment '[mmm-yyyy']]]),"-",AND((Tbl_ResidentData[[#This Row],[Enrollment '[mmm-yyyy']]]&lt;=V$4),IF(ISBLANK(Tbl_ResidentData[[#This Row],[Discharge '[mmm-yyyy']]]),TRUE,(Tbl_ResidentData[[#This Row],[Discharge '[mmm-yyyy']]]&gt;=V$4)))))</f>
        <v>-</v>
      </c>
      <c r="W144" s="121" t="str">
        <f ca="1">IF(W$4&gt;NOW(),"-",IF(ISBLANK(Tbl_ResidentData[[#This Row],[Enrollment '[mmm-yyyy']]]),"-",AND((Tbl_ResidentData[[#This Row],[Enrollment '[mmm-yyyy']]]&lt;=W$4),IF(ISBLANK(Tbl_ResidentData[[#This Row],[Discharge '[mmm-yyyy']]]),TRUE,(Tbl_ResidentData[[#This Row],[Discharge '[mmm-yyyy']]]&gt;=W$4)))))</f>
        <v>-</v>
      </c>
      <c r="X144" s="121" t="str">
        <f ca="1">IF(X$4&gt;NOW(),"-",IF(ISBLANK(Tbl_ResidentData[[#This Row],[Enrollment '[mmm-yyyy']]]),"-",AND((Tbl_ResidentData[[#This Row],[Enrollment '[mmm-yyyy']]]&lt;=X$4),IF(ISBLANK(Tbl_ResidentData[[#This Row],[Discharge '[mmm-yyyy']]]),TRUE,(Tbl_ResidentData[[#This Row],[Discharge '[mmm-yyyy']]]&gt;=X$4)))))</f>
        <v>-</v>
      </c>
      <c r="Y144" s="121" t="str">
        <f ca="1">IF(Y$4&gt;NOW(),"-",IF(ISBLANK(Tbl_ResidentData[[#This Row],[Enrollment '[mmm-yyyy']]]),"-",AND((Tbl_ResidentData[[#This Row],[Enrollment '[mmm-yyyy']]]&lt;=Y$4),IF(ISBLANK(Tbl_ResidentData[[#This Row],[Discharge '[mmm-yyyy']]]),TRUE,(Tbl_ResidentData[[#This Row],[Discharge '[mmm-yyyy']]]&gt;=Y$4)))))</f>
        <v>-</v>
      </c>
      <c r="Z144" s="121" t="str">
        <f ca="1">IF(Z$4&gt;NOW(),"-",IF(ISBLANK(Tbl_ResidentData[[#This Row],[Enrollment '[mmm-yyyy']]]),"-",AND((Tbl_ResidentData[[#This Row],[Enrollment '[mmm-yyyy']]]&lt;=Z$4),IF(ISBLANK(Tbl_ResidentData[[#This Row],[Discharge '[mmm-yyyy']]]),TRUE,(Tbl_ResidentData[[#This Row],[Discharge '[mmm-yyyy']]]&gt;=Z$4)))))</f>
        <v>-</v>
      </c>
      <c r="AA144" s="121" t="str">
        <f ca="1">IF(AA$4&gt;NOW(),"-",IF(ISBLANK(Tbl_ResidentData[[#This Row],[Enrollment '[mmm-yyyy']]]),"-",AND((Tbl_ResidentData[[#This Row],[Enrollment '[mmm-yyyy']]]&lt;=AA$4),IF(ISBLANK(Tbl_ResidentData[[#This Row],[Discharge '[mmm-yyyy']]]),TRUE,(Tbl_ResidentData[[#This Row],[Discharge '[mmm-yyyy']]]&gt;=AA$4)))))</f>
        <v>-</v>
      </c>
      <c r="AB144" s="121" t="str">
        <f ca="1">IF(AB$4&gt;NOW(),"-",IF(ISBLANK(Tbl_ResidentData[[#This Row],[Enrollment '[mmm-yyyy']]]),"-",AND((Tbl_ResidentData[[#This Row],[Enrollment '[mmm-yyyy']]]&lt;=AB$4),IF(ISBLANK(Tbl_ResidentData[[#This Row],[Discharge '[mmm-yyyy']]]),TRUE,(Tbl_ResidentData[[#This Row],[Discharge '[mmm-yyyy']]]&gt;=AB$4)))))</f>
        <v>-</v>
      </c>
      <c r="AC144" s="121" t="str">
        <f ca="1">IF(AC$4&gt;NOW(),"-",IF(ISBLANK(Tbl_ResidentData[[#This Row],[Enrollment '[mmm-yyyy']]]),"-",AND((Tbl_ResidentData[[#This Row],[Enrollment '[mmm-yyyy']]]&lt;=AC$4),IF(ISBLANK(Tbl_ResidentData[[#This Row],[Discharge '[mmm-yyyy']]]),TRUE,(Tbl_ResidentData[[#This Row],[Discharge '[mmm-yyyy']]]&gt;=AC$4)))))</f>
        <v>-</v>
      </c>
      <c r="AD144" s="121" t="str">
        <f ca="1">IF(AD$4&gt;NOW(),"-",IF(ISBLANK(Tbl_ResidentData[[#This Row],[Enrollment '[mmm-yyyy']]]),"-",AND((Tbl_ResidentData[[#This Row],[Enrollment '[mmm-yyyy']]]&lt;=AD$4),IF(ISBLANK(Tbl_ResidentData[[#This Row],[Discharge '[mmm-yyyy']]]),TRUE,(Tbl_ResidentData[[#This Row],[Discharge '[mmm-yyyy']]]&gt;=AD$4)))))</f>
        <v>-</v>
      </c>
      <c r="AE144" s="121" t="str">
        <f ca="1">IF(AE$4&gt;NOW(),"-",IF(ISBLANK(Tbl_ResidentData[[#This Row],[Enrollment '[mmm-yyyy']]]),"-",AND((Tbl_ResidentData[[#This Row],[Enrollment '[mmm-yyyy']]]&lt;=AE$4),IF(ISBLANK(Tbl_ResidentData[[#This Row],[Discharge '[mmm-yyyy']]]),TRUE,(Tbl_ResidentData[[#This Row],[Discharge '[mmm-yyyy']]]&gt;=AE$4)))))</f>
        <v>-</v>
      </c>
      <c r="AF144" s="121" t="str">
        <f ca="1">IF(AF$4&gt;NOW(),"-",IF(ISBLANK(Tbl_ResidentData[[#This Row],[Enrollment '[mmm-yyyy']]]),"-",AND((Tbl_ResidentData[[#This Row],[Enrollment '[mmm-yyyy']]]&lt;=AF$4),IF(ISBLANK(Tbl_ResidentData[[#This Row],[Discharge '[mmm-yyyy']]]),TRUE,(Tbl_ResidentData[[#This Row],[Discharge '[mmm-yyyy']]]&gt;=AF$4)))))</f>
        <v>-</v>
      </c>
      <c r="AG144" s="121" t="str">
        <f ca="1">IF(AG$4&gt;NOW(),"-",IF(ISBLANK(Tbl_ResidentData[[#This Row],[Enrollment '[mmm-yyyy']]]),"-",AND((Tbl_ResidentData[[#This Row],[Enrollment '[mmm-yyyy']]]&lt;=AG$4),IF(ISBLANK(Tbl_ResidentData[[#This Row],[Discharge '[mmm-yyyy']]]),TRUE,(Tbl_ResidentData[[#This Row],[Discharge '[mmm-yyyy']]]&gt;=AG$4)))))</f>
        <v>-</v>
      </c>
      <c r="AH144" s="121" t="str">
        <f ca="1">IF(AH$4&gt;NOW(),"-",IF(ISBLANK(Tbl_ResidentData[[#This Row],[Enrollment '[mmm-yyyy']]]),"-",AND((Tbl_ResidentData[[#This Row],[Enrollment '[mmm-yyyy']]]&lt;=AH$4),IF(ISBLANK(Tbl_ResidentData[[#This Row],[Discharge '[mmm-yyyy']]]),TRUE,(Tbl_ResidentData[[#This Row],[Discharge '[mmm-yyyy']]]&gt;=AH$4)))))</f>
        <v>-</v>
      </c>
      <c r="AI144" s="121" t="str">
        <f ca="1">IF(AI$4&gt;NOW(),"-",IF(ISBLANK(Tbl_ResidentData[[#This Row],[Enrollment '[mmm-yyyy']]]),"-",AND((Tbl_ResidentData[[#This Row],[Enrollment '[mmm-yyyy']]]&lt;=AI$4),IF(ISBLANK(Tbl_ResidentData[[#This Row],[Discharge '[mmm-yyyy']]]),TRUE,(Tbl_ResidentData[[#This Row],[Discharge '[mmm-yyyy']]]&gt;=AI$4)))))</f>
        <v>-</v>
      </c>
      <c r="AJ144" s="121" t="str">
        <f ca="1">IF(AJ$4&gt;NOW(),"-",IF(ISBLANK(Tbl_ResidentData[[#This Row],[Enrollment '[mmm-yyyy']]]),"-",AND((Tbl_ResidentData[[#This Row],[Enrollment '[mmm-yyyy']]]&lt;=AJ$4),IF(ISBLANK(Tbl_ResidentData[[#This Row],[Discharge '[mmm-yyyy']]]),TRUE,(Tbl_ResidentData[[#This Row],[Discharge '[mmm-yyyy']]]&gt;=AJ$4)))))</f>
        <v>-</v>
      </c>
      <c r="AK144" s="121" t="str">
        <f ca="1">IF(AK$4&gt;NOW(),"-",IF(ISBLANK(Tbl_ResidentData[[#This Row],[Enrollment '[mmm-yyyy']]]),"-",AND((Tbl_ResidentData[[#This Row],[Enrollment '[mmm-yyyy']]]&lt;=AK$4),IF(ISBLANK(Tbl_ResidentData[[#This Row],[Discharge '[mmm-yyyy']]]),TRUE,(Tbl_ResidentData[[#This Row],[Discharge '[mmm-yyyy']]]&gt;=AK$4)))))</f>
        <v>-</v>
      </c>
      <c r="AL144" s="121" t="str">
        <f ca="1">IF(AL$4&gt;NOW(),"-",IF(ISBLANK(Tbl_ResidentData[[#This Row],[Enrollment '[mmm-yyyy']]]),"-",AND((Tbl_ResidentData[[#This Row],[Enrollment '[mmm-yyyy']]]&lt;=AL$4),IF(ISBLANK(Tbl_ResidentData[[#This Row],[Discharge '[mmm-yyyy']]]),TRUE,(Tbl_ResidentData[[#This Row],[Discharge '[mmm-yyyy']]]&gt;=AL$4)))))</f>
        <v>-</v>
      </c>
      <c r="AM144" s="121" t="str">
        <f ca="1">IF(AM$4&gt;NOW(),"-",IF(ISBLANK(Tbl_ResidentData[[#This Row],[Enrollment '[mmm-yyyy']]]),"-",AND((Tbl_ResidentData[[#This Row],[Enrollment '[mmm-yyyy']]]&lt;=AM$4),IF(ISBLANK(Tbl_ResidentData[[#This Row],[Discharge '[mmm-yyyy']]]),TRUE,(Tbl_ResidentData[[#This Row],[Discharge '[mmm-yyyy']]]&gt;=AM$4)))))</f>
        <v>-</v>
      </c>
      <c r="AN144" s="121" t="str">
        <f ca="1">IF(AN$4&gt;NOW(),"-",IF(ISBLANK(Tbl_ResidentData[[#This Row],[Enrollment '[mmm-yyyy']]]),"-",AND((Tbl_ResidentData[[#This Row],[Enrollment '[mmm-yyyy']]]&lt;=AN$4),IF(ISBLANK(Tbl_ResidentData[[#This Row],[Discharge '[mmm-yyyy']]]),TRUE,(Tbl_ResidentData[[#This Row],[Discharge '[mmm-yyyy']]]&gt;=AN$4)))))</f>
        <v>-</v>
      </c>
      <c r="AO144" s="121" t="str">
        <f ca="1">IF(AO$4&gt;NOW(),"-",IF(ISBLANK(Tbl_ResidentData[[#This Row],[Enrollment '[mmm-yyyy']]]),"-",AND((Tbl_ResidentData[[#This Row],[Enrollment '[mmm-yyyy']]]&lt;=AO$4),IF(ISBLANK(Tbl_ResidentData[[#This Row],[Discharge '[mmm-yyyy']]]),TRUE,(Tbl_ResidentData[[#This Row],[Discharge '[mmm-yyyy']]]&gt;=AO$4)))))</f>
        <v>-</v>
      </c>
      <c r="AP144" s="121" t="str">
        <f ca="1">IF(AP$4&gt;NOW(),"-",IF(ISBLANK(Tbl_ResidentData[[#This Row],[Enrollment '[mmm-yyyy']]]),"-",AND((Tbl_ResidentData[[#This Row],[Enrollment '[mmm-yyyy']]]&lt;=AP$4),IF(ISBLANK(Tbl_ResidentData[[#This Row],[Discharge '[mmm-yyyy']]]),TRUE,(Tbl_ResidentData[[#This Row],[Discharge '[mmm-yyyy']]]&gt;=AP$4)))))</f>
        <v>-</v>
      </c>
      <c r="AQ144" s="121" t="str">
        <f ca="1">IF(AQ$4&gt;NOW(),"-",IF(ISBLANK(Tbl_ResidentData[[#This Row],[Enrollment '[mmm-yyyy']]]),"-",AND((Tbl_ResidentData[[#This Row],[Enrollment '[mmm-yyyy']]]&lt;=AQ$4),IF(ISBLANK(Tbl_ResidentData[[#This Row],[Discharge '[mmm-yyyy']]]),TRUE,(Tbl_ResidentData[[#This Row],[Discharge '[mmm-yyyy']]]&gt;=AQ$4)))))</f>
        <v>-</v>
      </c>
      <c r="AR144" s="122" t="str">
        <f ca="1">IF(AR$4&gt;NOW(),"-",IF(ISBLANK(Tbl_ResidentData[[#This Row],[Enrollment '[mmm-yyyy']]]),"-",AND((Tbl_ResidentData[[#This Row],[Enrollment '[mmm-yyyy']]]&lt;=AR$4),IF(ISBLANK(Tbl_ResidentData[[#This Row],[Discharge '[mmm-yyyy']]]),TRUE,(Tbl_ResidentData[[#This Row],[Discharge '[mmm-yyyy']]]&gt;=AR$4)))))</f>
        <v>-</v>
      </c>
      <c r="AS14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4" s="120" t="b">
        <f ca="1">AND(Tbl_ResidentData[[#This Row],[PRN Med Started]]&lt;&gt;"",Tbl_ResidentData[[#This Row],[PRN Med Started]]&lt;=NOW(),Tbl_ResidentData[[#This Row],[PRN Med Started]]&lt;=AS$4,OR(Tbl_ResidentData[[#This Row],[PRN Med Discontinued]]&gt;AS$4,ISBLANK(Tbl_ResidentData[[#This Row],[PRN Med Discontinued]])))</f>
        <v>0</v>
      </c>
      <c r="BR144" s="121" t="b">
        <f ca="1">AND(Tbl_ResidentData[[#This Row],[PRN Med Started]]&lt;&gt;"",Tbl_ResidentData[[#This Row],[PRN Med Started]]&lt;=NOW(),Tbl_ResidentData[[#This Row],[PRN Med Started]]&lt;=AT$4,OR(Tbl_ResidentData[[#This Row],[PRN Med Discontinued]]&gt;AT$4,ISBLANK(Tbl_ResidentData[[#This Row],[PRN Med Discontinued]])))</f>
        <v>0</v>
      </c>
      <c r="BS144" s="121" t="b">
        <f ca="1">AND(Tbl_ResidentData[[#This Row],[PRN Med Started]]&lt;&gt;"",Tbl_ResidentData[[#This Row],[PRN Med Started]]&lt;=NOW(),Tbl_ResidentData[[#This Row],[PRN Med Started]]&lt;=AU$4,OR(Tbl_ResidentData[[#This Row],[PRN Med Discontinued]]&gt;AU$4,ISBLANK(Tbl_ResidentData[[#This Row],[PRN Med Discontinued]])))</f>
        <v>0</v>
      </c>
      <c r="BT144" s="121" t="b">
        <f ca="1">AND(Tbl_ResidentData[[#This Row],[PRN Med Started]]&lt;&gt;"",Tbl_ResidentData[[#This Row],[PRN Med Started]]&lt;=NOW(),Tbl_ResidentData[[#This Row],[PRN Med Started]]&lt;=AV$4,OR(Tbl_ResidentData[[#This Row],[PRN Med Discontinued]]&gt;AV$4,ISBLANK(Tbl_ResidentData[[#This Row],[PRN Med Discontinued]])))</f>
        <v>0</v>
      </c>
      <c r="BU144" s="121" t="b">
        <f ca="1">AND(Tbl_ResidentData[[#This Row],[PRN Med Started]]&lt;&gt;"",Tbl_ResidentData[[#This Row],[PRN Med Started]]&lt;=NOW(),Tbl_ResidentData[[#This Row],[PRN Med Started]]&lt;=AW$4,OR(Tbl_ResidentData[[#This Row],[PRN Med Discontinued]]&gt;AW$4,ISBLANK(Tbl_ResidentData[[#This Row],[PRN Med Discontinued]])))</f>
        <v>0</v>
      </c>
      <c r="BV144" s="121" t="b">
        <f ca="1">AND(Tbl_ResidentData[[#This Row],[PRN Med Started]]&lt;&gt;"",Tbl_ResidentData[[#This Row],[PRN Med Started]]&lt;=NOW(),Tbl_ResidentData[[#This Row],[PRN Med Started]]&lt;=AX$4,OR(Tbl_ResidentData[[#This Row],[PRN Med Discontinued]]&gt;AX$4,ISBLANK(Tbl_ResidentData[[#This Row],[PRN Med Discontinued]])))</f>
        <v>0</v>
      </c>
      <c r="BW144" s="121" t="b">
        <f ca="1">AND(Tbl_ResidentData[[#This Row],[PRN Med Started]]&lt;&gt;"",Tbl_ResidentData[[#This Row],[PRN Med Started]]&lt;=NOW(),Tbl_ResidentData[[#This Row],[PRN Med Started]]&lt;=AY$4,OR(Tbl_ResidentData[[#This Row],[PRN Med Discontinued]]&gt;AY$4,ISBLANK(Tbl_ResidentData[[#This Row],[PRN Med Discontinued]])))</f>
        <v>0</v>
      </c>
      <c r="BX144" s="121" t="b">
        <f ca="1">AND(Tbl_ResidentData[[#This Row],[PRN Med Started]]&lt;&gt;"",Tbl_ResidentData[[#This Row],[PRN Med Started]]&lt;=NOW(),Tbl_ResidentData[[#This Row],[PRN Med Started]]&lt;=AZ$4,OR(Tbl_ResidentData[[#This Row],[PRN Med Discontinued]]&gt;AZ$4,ISBLANK(Tbl_ResidentData[[#This Row],[PRN Med Discontinued]])))</f>
        <v>0</v>
      </c>
      <c r="BY144" s="121" t="b">
        <f ca="1">AND(Tbl_ResidentData[[#This Row],[PRN Med Started]]&lt;&gt;"",Tbl_ResidentData[[#This Row],[PRN Med Started]]&lt;=NOW(),Tbl_ResidentData[[#This Row],[PRN Med Started]]&lt;=BA$4,OR(Tbl_ResidentData[[#This Row],[PRN Med Discontinued]]&gt;BA$4,ISBLANK(Tbl_ResidentData[[#This Row],[PRN Med Discontinued]])))</f>
        <v>0</v>
      </c>
      <c r="BZ144" s="121" t="b">
        <f ca="1">AND(Tbl_ResidentData[[#This Row],[PRN Med Started]]&lt;&gt;"",Tbl_ResidentData[[#This Row],[PRN Med Started]]&lt;=NOW(),Tbl_ResidentData[[#This Row],[PRN Med Started]]&lt;=BB$4,OR(Tbl_ResidentData[[#This Row],[PRN Med Discontinued]]&gt;BB$4,ISBLANK(Tbl_ResidentData[[#This Row],[PRN Med Discontinued]])))</f>
        <v>0</v>
      </c>
      <c r="CA144" s="121" t="b">
        <f ca="1">AND(Tbl_ResidentData[[#This Row],[PRN Med Started]]&lt;&gt;"",Tbl_ResidentData[[#This Row],[PRN Med Started]]&lt;=NOW(),Tbl_ResidentData[[#This Row],[PRN Med Started]]&lt;=BC$4,OR(Tbl_ResidentData[[#This Row],[PRN Med Discontinued]]&gt;BC$4,ISBLANK(Tbl_ResidentData[[#This Row],[PRN Med Discontinued]])))</f>
        <v>0</v>
      </c>
      <c r="CB144" s="121" t="b">
        <f ca="1">AND(Tbl_ResidentData[[#This Row],[PRN Med Started]]&lt;&gt;"",Tbl_ResidentData[[#This Row],[PRN Med Started]]&lt;=NOW(),Tbl_ResidentData[[#This Row],[PRN Med Started]]&lt;=BD$4,OR(Tbl_ResidentData[[#This Row],[PRN Med Discontinued]]&gt;BD$4,ISBLANK(Tbl_ResidentData[[#This Row],[PRN Med Discontinued]])))</f>
        <v>0</v>
      </c>
      <c r="CC144" s="121" t="b">
        <f ca="1">AND(Tbl_ResidentData[[#This Row],[PRN Med Started]]&lt;&gt;"",Tbl_ResidentData[[#This Row],[PRN Med Started]]&lt;=NOW(),Tbl_ResidentData[[#This Row],[PRN Med Started]]&lt;=BE$4,OR(Tbl_ResidentData[[#This Row],[PRN Med Discontinued]]&gt;BE$4,ISBLANK(Tbl_ResidentData[[#This Row],[PRN Med Discontinued]])))</f>
        <v>0</v>
      </c>
      <c r="CD144" s="121" t="b">
        <f ca="1">AND(Tbl_ResidentData[[#This Row],[PRN Med Started]]&lt;&gt;"",Tbl_ResidentData[[#This Row],[PRN Med Started]]&lt;=NOW(),Tbl_ResidentData[[#This Row],[PRN Med Started]]&lt;=BF$4,OR(Tbl_ResidentData[[#This Row],[PRN Med Discontinued]]&gt;BF$4,ISBLANK(Tbl_ResidentData[[#This Row],[PRN Med Discontinued]])))</f>
        <v>0</v>
      </c>
      <c r="CE144" s="121" t="b">
        <f ca="1">AND(Tbl_ResidentData[[#This Row],[PRN Med Started]]&lt;&gt;"",Tbl_ResidentData[[#This Row],[PRN Med Started]]&lt;=NOW(),Tbl_ResidentData[[#This Row],[PRN Med Started]]&lt;=BG$4,OR(Tbl_ResidentData[[#This Row],[PRN Med Discontinued]]&gt;BG$4,ISBLANK(Tbl_ResidentData[[#This Row],[PRN Med Discontinued]])))</f>
        <v>0</v>
      </c>
      <c r="CF144" s="121" t="b">
        <f ca="1">AND(Tbl_ResidentData[[#This Row],[PRN Med Started]]&lt;&gt;"",Tbl_ResidentData[[#This Row],[PRN Med Started]]&lt;=NOW(),Tbl_ResidentData[[#This Row],[PRN Med Started]]&lt;=BH$4,OR(Tbl_ResidentData[[#This Row],[PRN Med Discontinued]]&gt;BH$4,ISBLANK(Tbl_ResidentData[[#This Row],[PRN Med Discontinued]])))</f>
        <v>0</v>
      </c>
      <c r="CG144" s="121" t="b">
        <f ca="1">AND(Tbl_ResidentData[[#This Row],[PRN Med Started]]&lt;&gt;"",Tbl_ResidentData[[#This Row],[PRN Med Started]]&lt;=NOW(),Tbl_ResidentData[[#This Row],[PRN Med Started]]&lt;=BI$4,OR(Tbl_ResidentData[[#This Row],[PRN Med Discontinued]]&gt;BI$4,ISBLANK(Tbl_ResidentData[[#This Row],[PRN Med Discontinued]])))</f>
        <v>0</v>
      </c>
      <c r="CH144" s="121" t="b">
        <f ca="1">AND(Tbl_ResidentData[[#This Row],[PRN Med Started]]&lt;&gt;"",Tbl_ResidentData[[#This Row],[PRN Med Started]]&lt;=NOW(),Tbl_ResidentData[[#This Row],[PRN Med Started]]&lt;=BJ$4,OR(Tbl_ResidentData[[#This Row],[PRN Med Discontinued]]&gt;BJ$4,ISBLANK(Tbl_ResidentData[[#This Row],[PRN Med Discontinued]])))</f>
        <v>0</v>
      </c>
      <c r="CI144" s="121" t="b">
        <f ca="1">AND(Tbl_ResidentData[[#This Row],[PRN Med Started]]&lt;&gt;"",Tbl_ResidentData[[#This Row],[PRN Med Started]]&lt;=NOW(),Tbl_ResidentData[[#This Row],[PRN Med Started]]&lt;=BK$4,OR(Tbl_ResidentData[[#This Row],[PRN Med Discontinued]]&gt;BK$4,ISBLANK(Tbl_ResidentData[[#This Row],[PRN Med Discontinued]])))</f>
        <v>0</v>
      </c>
      <c r="CJ144" s="121" t="b">
        <f ca="1">AND(Tbl_ResidentData[[#This Row],[PRN Med Started]]&lt;&gt;"",Tbl_ResidentData[[#This Row],[PRN Med Started]]&lt;=NOW(),Tbl_ResidentData[[#This Row],[PRN Med Started]]&lt;=BL$4,OR(Tbl_ResidentData[[#This Row],[PRN Med Discontinued]]&gt;BL$4,ISBLANK(Tbl_ResidentData[[#This Row],[PRN Med Discontinued]])))</f>
        <v>0</v>
      </c>
      <c r="CK144" s="121" t="b">
        <f ca="1">AND(Tbl_ResidentData[[#This Row],[PRN Med Started]]&lt;&gt;"",Tbl_ResidentData[[#This Row],[PRN Med Started]]&lt;=NOW(),Tbl_ResidentData[[#This Row],[PRN Med Started]]&lt;=BM$4,OR(Tbl_ResidentData[[#This Row],[PRN Med Discontinued]]&gt;BM$4,ISBLANK(Tbl_ResidentData[[#This Row],[PRN Med Discontinued]])))</f>
        <v>0</v>
      </c>
      <c r="CL144" s="121" t="b">
        <f ca="1">AND(Tbl_ResidentData[[#This Row],[PRN Med Started]]&lt;&gt;"",Tbl_ResidentData[[#This Row],[PRN Med Started]]&lt;=NOW(),Tbl_ResidentData[[#This Row],[PRN Med Started]]&lt;=BN$4,OR(Tbl_ResidentData[[#This Row],[PRN Med Discontinued]]&gt;BN$4,ISBLANK(Tbl_ResidentData[[#This Row],[PRN Med Discontinued]])))</f>
        <v>0</v>
      </c>
      <c r="CM144" s="121" t="b">
        <f ca="1">AND(Tbl_ResidentData[[#This Row],[PRN Med Started]]&lt;&gt;"",Tbl_ResidentData[[#This Row],[PRN Med Started]]&lt;=NOW(),Tbl_ResidentData[[#This Row],[PRN Med Started]]&lt;=BO$4,OR(Tbl_ResidentData[[#This Row],[PRN Med Discontinued]]&gt;BO$4,ISBLANK(Tbl_ResidentData[[#This Row],[PRN Med Discontinued]])))</f>
        <v>0</v>
      </c>
      <c r="CN144" s="122" t="b">
        <f ca="1">AND(Tbl_ResidentData[[#This Row],[PRN Med Started]]&lt;&gt;"",Tbl_ResidentData[[#This Row],[PRN Med Started]]&lt;=NOW(),Tbl_ResidentData[[#This Row],[PRN Med Started]]&lt;=BP$4,OR(Tbl_ResidentData[[#This Row],[PRN Med Discontinued]]&gt;BP$4,ISBLANK(Tbl_ResidentData[[#This Row],[PRN Med Discontinued]])))</f>
        <v>0</v>
      </c>
      <c r="CO144" s="120">
        <f ca="1">IF(OR(Tbl_ResidentData[[#This Row],[S1]]=TRUE,Tbl_ResidentData[[#This Row],[P1]]=TRUE),1,0)</f>
        <v>0</v>
      </c>
      <c r="CP144" s="121">
        <f ca="1">IF(OR(Tbl_ResidentData[[#This Row],[S2]]=TRUE,Tbl_ResidentData[[#This Row],[P2]]=TRUE),1,0)</f>
        <v>0</v>
      </c>
      <c r="CQ144" s="121">
        <f ca="1">IF(OR(Tbl_ResidentData[[#This Row],[S3]]=TRUE,Tbl_ResidentData[[#This Row],[P3]]=TRUE),1,0)</f>
        <v>0</v>
      </c>
      <c r="CR144" s="120">
        <f ca="1">IF(OR(Tbl_ResidentData[[#This Row],[S4]]=TRUE,Tbl_ResidentData[[#This Row],[P4]]=TRUE),1,0)</f>
        <v>0</v>
      </c>
      <c r="CS144" s="120">
        <f ca="1">IF(OR(Tbl_ResidentData[[#This Row],[S5]]=TRUE,Tbl_ResidentData[[#This Row],[P5]]=TRUE),1,0)</f>
        <v>0</v>
      </c>
      <c r="CT144" s="120">
        <f ca="1">IF(OR(Tbl_ResidentData[[#This Row],[S6]]=TRUE,Tbl_ResidentData[[#This Row],[P6]]=TRUE),1,0)</f>
        <v>0</v>
      </c>
      <c r="CU144" s="120">
        <f ca="1">IF(OR(Tbl_ResidentData[[#This Row],[S7]]=TRUE,Tbl_ResidentData[[#This Row],[P7]]=TRUE),1,0)</f>
        <v>0</v>
      </c>
      <c r="CV144" s="120">
        <f ca="1">IF(OR(Tbl_ResidentData[[#This Row],[S8]]=TRUE,Tbl_ResidentData[[#This Row],[P8]]=TRUE),1,0)</f>
        <v>0</v>
      </c>
      <c r="CW144" s="120">
        <f ca="1">IF(OR(Tbl_ResidentData[[#This Row],[S9]]=TRUE,Tbl_ResidentData[[#This Row],[P9]]=TRUE),1,0)</f>
        <v>0</v>
      </c>
      <c r="CX144" s="120">
        <f ca="1">IF(OR(Tbl_ResidentData[[#This Row],[S10]]=TRUE,Tbl_ResidentData[[#This Row],[P10]]=TRUE),1,0)</f>
        <v>0</v>
      </c>
      <c r="CY144" s="120">
        <f ca="1">IF(OR(Tbl_ResidentData[[#This Row],[S11]]=TRUE,Tbl_ResidentData[[#This Row],[P11]]=TRUE),1,0)</f>
        <v>0</v>
      </c>
      <c r="CZ144" s="120">
        <f ca="1">IF(OR(Tbl_ResidentData[[#This Row],[S12]]=TRUE,Tbl_ResidentData[[#This Row],[P12]]=TRUE),1,0)</f>
        <v>0</v>
      </c>
      <c r="DA144" s="120">
        <f ca="1">IF(OR(Tbl_ResidentData[[#This Row],[S13]]=TRUE,Tbl_ResidentData[[#This Row],[P13]]=TRUE),1,0)</f>
        <v>0</v>
      </c>
      <c r="DB144" s="120">
        <f ca="1">IF(OR(Tbl_ResidentData[[#This Row],[S14]]=TRUE,Tbl_ResidentData[[#This Row],[P14]]=TRUE),1,0)</f>
        <v>0</v>
      </c>
      <c r="DC144" s="120">
        <f ca="1">IF(OR(Tbl_ResidentData[[#This Row],[S15]]=TRUE,Tbl_ResidentData[[#This Row],[P15]]=TRUE),1,0)</f>
        <v>0</v>
      </c>
      <c r="DD144" s="120">
        <f ca="1">IF(OR(Tbl_ResidentData[[#This Row],[S16]]=TRUE,Tbl_ResidentData[[#This Row],[P16]]=TRUE),1,0)</f>
        <v>0</v>
      </c>
      <c r="DE144" s="120">
        <f ca="1">IF(OR(Tbl_ResidentData[[#This Row],[S17]]=TRUE,Tbl_ResidentData[[#This Row],[P17]]=TRUE),1,0)</f>
        <v>0</v>
      </c>
      <c r="DF144" s="120">
        <f ca="1">IF(OR(Tbl_ResidentData[[#This Row],[S18]]=TRUE,Tbl_ResidentData[[#This Row],[P18]]=TRUE),1,0)</f>
        <v>0</v>
      </c>
      <c r="DG144" s="120">
        <f ca="1">IF(OR(Tbl_ResidentData[[#This Row],[S19]]=TRUE,Tbl_ResidentData[[#This Row],[P19]]=TRUE),1,0)</f>
        <v>0</v>
      </c>
      <c r="DH144" s="120">
        <f ca="1">IF(OR(Tbl_ResidentData[[#This Row],[S20]]=TRUE,Tbl_ResidentData[[#This Row],[P20]]=TRUE),1,0)</f>
        <v>0</v>
      </c>
      <c r="DI144" s="120">
        <f ca="1">IF(OR(Tbl_ResidentData[[#This Row],[S21]]=TRUE,Tbl_ResidentData[[#This Row],[P21]]=TRUE),1,0)</f>
        <v>0</v>
      </c>
      <c r="DJ144" s="120">
        <f ca="1">IF(OR(Tbl_ResidentData[[#This Row],[S22]]=TRUE,Tbl_ResidentData[[#This Row],[P22]]=TRUE),1,0)</f>
        <v>0</v>
      </c>
      <c r="DK144" s="120">
        <f ca="1">IF(OR(Tbl_ResidentData[[#This Row],[S23]]=TRUE,Tbl_ResidentData[[#This Row],[P23]]=TRUE),1,0)</f>
        <v>0</v>
      </c>
      <c r="DL144" s="120">
        <f ca="1">IF(OR(Tbl_ResidentData[[#This Row],[S24]]=TRUE,Tbl_ResidentData[[#This Row],[P24]]=TRUE),1,0)</f>
        <v>0</v>
      </c>
      <c r="DM144" s="123" t="str">
        <f ca="1">IFERROR(INDEX($CO$4:$DL$4,MATCH(TRUE,INDEX((Tbl_ResidentData[[#This Row],[Over1]:[Over24]]&lt;&gt;0),0),0)),"")</f>
        <v/>
      </c>
      <c r="DN144" s="133" t="str">
        <f>IFERROR(INDEX(Tbl_PDSAData[Last DRT],MATCH(Tbl_ResidentData[Resident Name '[last, first']],Tbl_PDSAData[Resident Name (last, first)],0)),"")</f>
        <v/>
      </c>
      <c r="DO144" s="222" t="str">
        <f>IFERROR(INDEX(Tbl_PDSAData[Last MR],MATCH(Tbl_ResidentData[Resident Name '[last, first']],Tbl_PDSAData[Resident Name (last, first)],0)),"")</f>
        <v/>
      </c>
    </row>
    <row r="145" spans="1:119" x14ac:dyDescent="0.25">
      <c r="A145" s="179"/>
      <c r="B145" s="180"/>
      <c r="C145" s="180"/>
      <c r="D145" s="218"/>
      <c r="E145" s="179"/>
      <c r="F145" s="179"/>
      <c r="G145" s="181"/>
      <c r="H145" s="375"/>
      <c r="I145" s="185"/>
      <c r="J145" s="387"/>
      <c r="K145" s="178"/>
      <c r="L145" s="388"/>
      <c r="M145" s="185"/>
      <c r="N145" s="386"/>
      <c r="O145" s="178"/>
      <c r="P145" s="388"/>
      <c r="Q145" s="395"/>
      <c r="R145" s="396"/>
      <c r="S145" s="131" t="str">
        <f>IF(ISBLANK(Tbl_ResidentData[[#This Row],[Discharge '[mmm-yyyy']]]),IF(ISBLANK(Tbl_ResidentData[[#This Row],[Enrollment '[mmm-yyyy']]]),"","In Care Home"),"Discharged")</f>
        <v/>
      </c>
      <c r="T145" s="119" t="str">
        <f>IF(ISBLANK(Tbl_ResidentData[[#This Row],[Diagnosis (RAI)]]),IF(ISBLANK(Tbl_ResidentData[[#This Row],[Resident Name '[last, first']]]),"",0),IF(Tbl_ResidentData[[#This Row],[Diagnosis (RAI)]]="Other (see clinical notes)",0,1))</f>
        <v/>
      </c>
      <c r="U145" s="120" t="str">
        <f ca="1">IF(U$4&gt;NOW(),"-",IF(ISBLANK(Tbl_ResidentData[[#This Row],[Enrollment '[mmm-yyyy']]]),"-",AND((Tbl_ResidentData[[#This Row],[Enrollment '[mmm-yyyy']]]&lt;=U$4),IF(ISBLANK(Tbl_ResidentData[[#This Row],[Discharge '[mmm-yyyy']]]),TRUE,(Tbl_ResidentData[[#This Row],[Discharge '[mmm-yyyy']]]&gt;=U$4)))))</f>
        <v>-</v>
      </c>
      <c r="V145" s="121" t="str">
        <f ca="1">IF(V$4&gt;NOW(),"-",IF(ISBLANK(Tbl_ResidentData[[#This Row],[Enrollment '[mmm-yyyy']]]),"-",AND((Tbl_ResidentData[[#This Row],[Enrollment '[mmm-yyyy']]]&lt;=V$4),IF(ISBLANK(Tbl_ResidentData[[#This Row],[Discharge '[mmm-yyyy']]]),TRUE,(Tbl_ResidentData[[#This Row],[Discharge '[mmm-yyyy']]]&gt;=V$4)))))</f>
        <v>-</v>
      </c>
      <c r="W145" s="121" t="str">
        <f ca="1">IF(W$4&gt;NOW(),"-",IF(ISBLANK(Tbl_ResidentData[[#This Row],[Enrollment '[mmm-yyyy']]]),"-",AND((Tbl_ResidentData[[#This Row],[Enrollment '[mmm-yyyy']]]&lt;=W$4),IF(ISBLANK(Tbl_ResidentData[[#This Row],[Discharge '[mmm-yyyy']]]),TRUE,(Tbl_ResidentData[[#This Row],[Discharge '[mmm-yyyy']]]&gt;=W$4)))))</f>
        <v>-</v>
      </c>
      <c r="X145" s="121" t="str">
        <f ca="1">IF(X$4&gt;NOW(),"-",IF(ISBLANK(Tbl_ResidentData[[#This Row],[Enrollment '[mmm-yyyy']]]),"-",AND((Tbl_ResidentData[[#This Row],[Enrollment '[mmm-yyyy']]]&lt;=X$4),IF(ISBLANK(Tbl_ResidentData[[#This Row],[Discharge '[mmm-yyyy']]]),TRUE,(Tbl_ResidentData[[#This Row],[Discharge '[mmm-yyyy']]]&gt;=X$4)))))</f>
        <v>-</v>
      </c>
      <c r="Y145" s="121" t="str">
        <f ca="1">IF(Y$4&gt;NOW(),"-",IF(ISBLANK(Tbl_ResidentData[[#This Row],[Enrollment '[mmm-yyyy']]]),"-",AND((Tbl_ResidentData[[#This Row],[Enrollment '[mmm-yyyy']]]&lt;=Y$4),IF(ISBLANK(Tbl_ResidentData[[#This Row],[Discharge '[mmm-yyyy']]]),TRUE,(Tbl_ResidentData[[#This Row],[Discharge '[mmm-yyyy']]]&gt;=Y$4)))))</f>
        <v>-</v>
      </c>
      <c r="Z145" s="121" t="str">
        <f ca="1">IF(Z$4&gt;NOW(),"-",IF(ISBLANK(Tbl_ResidentData[[#This Row],[Enrollment '[mmm-yyyy']]]),"-",AND((Tbl_ResidentData[[#This Row],[Enrollment '[mmm-yyyy']]]&lt;=Z$4),IF(ISBLANK(Tbl_ResidentData[[#This Row],[Discharge '[mmm-yyyy']]]),TRUE,(Tbl_ResidentData[[#This Row],[Discharge '[mmm-yyyy']]]&gt;=Z$4)))))</f>
        <v>-</v>
      </c>
      <c r="AA145" s="121" t="str">
        <f ca="1">IF(AA$4&gt;NOW(),"-",IF(ISBLANK(Tbl_ResidentData[[#This Row],[Enrollment '[mmm-yyyy']]]),"-",AND((Tbl_ResidentData[[#This Row],[Enrollment '[mmm-yyyy']]]&lt;=AA$4),IF(ISBLANK(Tbl_ResidentData[[#This Row],[Discharge '[mmm-yyyy']]]),TRUE,(Tbl_ResidentData[[#This Row],[Discharge '[mmm-yyyy']]]&gt;=AA$4)))))</f>
        <v>-</v>
      </c>
      <c r="AB145" s="121" t="str">
        <f ca="1">IF(AB$4&gt;NOW(),"-",IF(ISBLANK(Tbl_ResidentData[[#This Row],[Enrollment '[mmm-yyyy']]]),"-",AND((Tbl_ResidentData[[#This Row],[Enrollment '[mmm-yyyy']]]&lt;=AB$4),IF(ISBLANK(Tbl_ResidentData[[#This Row],[Discharge '[mmm-yyyy']]]),TRUE,(Tbl_ResidentData[[#This Row],[Discharge '[mmm-yyyy']]]&gt;=AB$4)))))</f>
        <v>-</v>
      </c>
      <c r="AC145" s="121" t="str">
        <f ca="1">IF(AC$4&gt;NOW(),"-",IF(ISBLANK(Tbl_ResidentData[[#This Row],[Enrollment '[mmm-yyyy']]]),"-",AND((Tbl_ResidentData[[#This Row],[Enrollment '[mmm-yyyy']]]&lt;=AC$4),IF(ISBLANK(Tbl_ResidentData[[#This Row],[Discharge '[mmm-yyyy']]]),TRUE,(Tbl_ResidentData[[#This Row],[Discharge '[mmm-yyyy']]]&gt;=AC$4)))))</f>
        <v>-</v>
      </c>
      <c r="AD145" s="121" t="str">
        <f ca="1">IF(AD$4&gt;NOW(),"-",IF(ISBLANK(Tbl_ResidentData[[#This Row],[Enrollment '[mmm-yyyy']]]),"-",AND((Tbl_ResidentData[[#This Row],[Enrollment '[mmm-yyyy']]]&lt;=AD$4),IF(ISBLANK(Tbl_ResidentData[[#This Row],[Discharge '[mmm-yyyy']]]),TRUE,(Tbl_ResidentData[[#This Row],[Discharge '[mmm-yyyy']]]&gt;=AD$4)))))</f>
        <v>-</v>
      </c>
      <c r="AE145" s="121" t="str">
        <f ca="1">IF(AE$4&gt;NOW(),"-",IF(ISBLANK(Tbl_ResidentData[[#This Row],[Enrollment '[mmm-yyyy']]]),"-",AND((Tbl_ResidentData[[#This Row],[Enrollment '[mmm-yyyy']]]&lt;=AE$4),IF(ISBLANK(Tbl_ResidentData[[#This Row],[Discharge '[mmm-yyyy']]]),TRUE,(Tbl_ResidentData[[#This Row],[Discharge '[mmm-yyyy']]]&gt;=AE$4)))))</f>
        <v>-</v>
      </c>
      <c r="AF145" s="121" t="str">
        <f ca="1">IF(AF$4&gt;NOW(),"-",IF(ISBLANK(Tbl_ResidentData[[#This Row],[Enrollment '[mmm-yyyy']]]),"-",AND((Tbl_ResidentData[[#This Row],[Enrollment '[mmm-yyyy']]]&lt;=AF$4),IF(ISBLANK(Tbl_ResidentData[[#This Row],[Discharge '[mmm-yyyy']]]),TRUE,(Tbl_ResidentData[[#This Row],[Discharge '[mmm-yyyy']]]&gt;=AF$4)))))</f>
        <v>-</v>
      </c>
      <c r="AG145" s="121" t="str">
        <f ca="1">IF(AG$4&gt;NOW(),"-",IF(ISBLANK(Tbl_ResidentData[[#This Row],[Enrollment '[mmm-yyyy']]]),"-",AND((Tbl_ResidentData[[#This Row],[Enrollment '[mmm-yyyy']]]&lt;=AG$4),IF(ISBLANK(Tbl_ResidentData[[#This Row],[Discharge '[mmm-yyyy']]]),TRUE,(Tbl_ResidentData[[#This Row],[Discharge '[mmm-yyyy']]]&gt;=AG$4)))))</f>
        <v>-</v>
      </c>
      <c r="AH145" s="121" t="str">
        <f ca="1">IF(AH$4&gt;NOW(),"-",IF(ISBLANK(Tbl_ResidentData[[#This Row],[Enrollment '[mmm-yyyy']]]),"-",AND((Tbl_ResidentData[[#This Row],[Enrollment '[mmm-yyyy']]]&lt;=AH$4),IF(ISBLANK(Tbl_ResidentData[[#This Row],[Discharge '[mmm-yyyy']]]),TRUE,(Tbl_ResidentData[[#This Row],[Discharge '[mmm-yyyy']]]&gt;=AH$4)))))</f>
        <v>-</v>
      </c>
      <c r="AI145" s="121" t="str">
        <f ca="1">IF(AI$4&gt;NOW(),"-",IF(ISBLANK(Tbl_ResidentData[[#This Row],[Enrollment '[mmm-yyyy']]]),"-",AND((Tbl_ResidentData[[#This Row],[Enrollment '[mmm-yyyy']]]&lt;=AI$4),IF(ISBLANK(Tbl_ResidentData[[#This Row],[Discharge '[mmm-yyyy']]]),TRUE,(Tbl_ResidentData[[#This Row],[Discharge '[mmm-yyyy']]]&gt;=AI$4)))))</f>
        <v>-</v>
      </c>
      <c r="AJ145" s="121" t="str">
        <f ca="1">IF(AJ$4&gt;NOW(),"-",IF(ISBLANK(Tbl_ResidentData[[#This Row],[Enrollment '[mmm-yyyy']]]),"-",AND((Tbl_ResidentData[[#This Row],[Enrollment '[mmm-yyyy']]]&lt;=AJ$4),IF(ISBLANK(Tbl_ResidentData[[#This Row],[Discharge '[mmm-yyyy']]]),TRUE,(Tbl_ResidentData[[#This Row],[Discharge '[mmm-yyyy']]]&gt;=AJ$4)))))</f>
        <v>-</v>
      </c>
      <c r="AK145" s="121" t="str">
        <f ca="1">IF(AK$4&gt;NOW(),"-",IF(ISBLANK(Tbl_ResidentData[[#This Row],[Enrollment '[mmm-yyyy']]]),"-",AND((Tbl_ResidentData[[#This Row],[Enrollment '[mmm-yyyy']]]&lt;=AK$4),IF(ISBLANK(Tbl_ResidentData[[#This Row],[Discharge '[mmm-yyyy']]]),TRUE,(Tbl_ResidentData[[#This Row],[Discharge '[mmm-yyyy']]]&gt;=AK$4)))))</f>
        <v>-</v>
      </c>
      <c r="AL145" s="121" t="str">
        <f ca="1">IF(AL$4&gt;NOW(),"-",IF(ISBLANK(Tbl_ResidentData[[#This Row],[Enrollment '[mmm-yyyy']]]),"-",AND((Tbl_ResidentData[[#This Row],[Enrollment '[mmm-yyyy']]]&lt;=AL$4),IF(ISBLANK(Tbl_ResidentData[[#This Row],[Discharge '[mmm-yyyy']]]),TRUE,(Tbl_ResidentData[[#This Row],[Discharge '[mmm-yyyy']]]&gt;=AL$4)))))</f>
        <v>-</v>
      </c>
      <c r="AM145" s="121" t="str">
        <f ca="1">IF(AM$4&gt;NOW(),"-",IF(ISBLANK(Tbl_ResidentData[[#This Row],[Enrollment '[mmm-yyyy']]]),"-",AND((Tbl_ResidentData[[#This Row],[Enrollment '[mmm-yyyy']]]&lt;=AM$4),IF(ISBLANK(Tbl_ResidentData[[#This Row],[Discharge '[mmm-yyyy']]]),TRUE,(Tbl_ResidentData[[#This Row],[Discharge '[mmm-yyyy']]]&gt;=AM$4)))))</f>
        <v>-</v>
      </c>
      <c r="AN145" s="121" t="str">
        <f ca="1">IF(AN$4&gt;NOW(),"-",IF(ISBLANK(Tbl_ResidentData[[#This Row],[Enrollment '[mmm-yyyy']]]),"-",AND((Tbl_ResidentData[[#This Row],[Enrollment '[mmm-yyyy']]]&lt;=AN$4),IF(ISBLANK(Tbl_ResidentData[[#This Row],[Discharge '[mmm-yyyy']]]),TRUE,(Tbl_ResidentData[[#This Row],[Discharge '[mmm-yyyy']]]&gt;=AN$4)))))</f>
        <v>-</v>
      </c>
      <c r="AO145" s="121" t="str">
        <f ca="1">IF(AO$4&gt;NOW(),"-",IF(ISBLANK(Tbl_ResidentData[[#This Row],[Enrollment '[mmm-yyyy']]]),"-",AND((Tbl_ResidentData[[#This Row],[Enrollment '[mmm-yyyy']]]&lt;=AO$4),IF(ISBLANK(Tbl_ResidentData[[#This Row],[Discharge '[mmm-yyyy']]]),TRUE,(Tbl_ResidentData[[#This Row],[Discharge '[mmm-yyyy']]]&gt;=AO$4)))))</f>
        <v>-</v>
      </c>
      <c r="AP145" s="121" t="str">
        <f ca="1">IF(AP$4&gt;NOW(),"-",IF(ISBLANK(Tbl_ResidentData[[#This Row],[Enrollment '[mmm-yyyy']]]),"-",AND((Tbl_ResidentData[[#This Row],[Enrollment '[mmm-yyyy']]]&lt;=AP$4),IF(ISBLANK(Tbl_ResidentData[[#This Row],[Discharge '[mmm-yyyy']]]),TRUE,(Tbl_ResidentData[[#This Row],[Discharge '[mmm-yyyy']]]&gt;=AP$4)))))</f>
        <v>-</v>
      </c>
      <c r="AQ145" s="121" t="str">
        <f ca="1">IF(AQ$4&gt;NOW(),"-",IF(ISBLANK(Tbl_ResidentData[[#This Row],[Enrollment '[mmm-yyyy']]]),"-",AND((Tbl_ResidentData[[#This Row],[Enrollment '[mmm-yyyy']]]&lt;=AQ$4),IF(ISBLANK(Tbl_ResidentData[[#This Row],[Discharge '[mmm-yyyy']]]),TRUE,(Tbl_ResidentData[[#This Row],[Discharge '[mmm-yyyy']]]&gt;=AQ$4)))))</f>
        <v>-</v>
      </c>
      <c r="AR145" s="122" t="str">
        <f ca="1">IF(AR$4&gt;NOW(),"-",IF(ISBLANK(Tbl_ResidentData[[#This Row],[Enrollment '[mmm-yyyy']]]),"-",AND((Tbl_ResidentData[[#This Row],[Enrollment '[mmm-yyyy']]]&lt;=AR$4),IF(ISBLANK(Tbl_ResidentData[[#This Row],[Discharge '[mmm-yyyy']]]),TRUE,(Tbl_ResidentData[[#This Row],[Discharge '[mmm-yyyy']]]&gt;=AR$4)))))</f>
        <v>-</v>
      </c>
      <c r="AS14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5" s="120" t="b">
        <f ca="1">AND(Tbl_ResidentData[[#This Row],[PRN Med Started]]&lt;&gt;"",Tbl_ResidentData[[#This Row],[PRN Med Started]]&lt;=NOW(),Tbl_ResidentData[[#This Row],[PRN Med Started]]&lt;=AS$4,OR(Tbl_ResidentData[[#This Row],[PRN Med Discontinued]]&gt;AS$4,ISBLANK(Tbl_ResidentData[[#This Row],[PRN Med Discontinued]])))</f>
        <v>0</v>
      </c>
      <c r="BR145" s="121" t="b">
        <f ca="1">AND(Tbl_ResidentData[[#This Row],[PRN Med Started]]&lt;&gt;"",Tbl_ResidentData[[#This Row],[PRN Med Started]]&lt;=NOW(),Tbl_ResidentData[[#This Row],[PRN Med Started]]&lt;=AT$4,OR(Tbl_ResidentData[[#This Row],[PRN Med Discontinued]]&gt;AT$4,ISBLANK(Tbl_ResidentData[[#This Row],[PRN Med Discontinued]])))</f>
        <v>0</v>
      </c>
      <c r="BS145" s="121" t="b">
        <f ca="1">AND(Tbl_ResidentData[[#This Row],[PRN Med Started]]&lt;&gt;"",Tbl_ResidentData[[#This Row],[PRN Med Started]]&lt;=NOW(),Tbl_ResidentData[[#This Row],[PRN Med Started]]&lt;=AU$4,OR(Tbl_ResidentData[[#This Row],[PRN Med Discontinued]]&gt;AU$4,ISBLANK(Tbl_ResidentData[[#This Row],[PRN Med Discontinued]])))</f>
        <v>0</v>
      </c>
      <c r="BT145" s="121" t="b">
        <f ca="1">AND(Tbl_ResidentData[[#This Row],[PRN Med Started]]&lt;&gt;"",Tbl_ResidentData[[#This Row],[PRN Med Started]]&lt;=NOW(),Tbl_ResidentData[[#This Row],[PRN Med Started]]&lt;=AV$4,OR(Tbl_ResidentData[[#This Row],[PRN Med Discontinued]]&gt;AV$4,ISBLANK(Tbl_ResidentData[[#This Row],[PRN Med Discontinued]])))</f>
        <v>0</v>
      </c>
      <c r="BU145" s="121" t="b">
        <f ca="1">AND(Tbl_ResidentData[[#This Row],[PRN Med Started]]&lt;&gt;"",Tbl_ResidentData[[#This Row],[PRN Med Started]]&lt;=NOW(),Tbl_ResidentData[[#This Row],[PRN Med Started]]&lt;=AW$4,OR(Tbl_ResidentData[[#This Row],[PRN Med Discontinued]]&gt;AW$4,ISBLANK(Tbl_ResidentData[[#This Row],[PRN Med Discontinued]])))</f>
        <v>0</v>
      </c>
      <c r="BV145" s="121" t="b">
        <f ca="1">AND(Tbl_ResidentData[[#This Row],[PRN Med Started]]&lt;&gt;"",Tbl_ResidentData[[#This Row],[PRN Med Started]]&lt;=NOW(),Tbl_ResidentData[[#This Row],[PRN Med Started]]&lt;=AX$4,OR(Tbl_ResidentData[[#This Row],[PRN Med Discontinued]]&gt;AX$4,ISBLANK(Tbl_ResidentData[[#This Row],[PRN Med Discontinued]])))</f>
        <v>0</v>
      </c>
      <c r="BW145" s="121" t="b">
        <f ca="1">AND(Tbl_ResidentData[[#This Row],[PRN Med Started]]&lt;&gt;"",Tbl_ResidentData[[#This Row],[PRN Med Started]]&lt;=NOW(),Tbl_ResidentData[[#This Row],[PRN Med Started]]&lt;=AY$4,OR(Tbl_ResidentData[[#This Row],[PRN Med Discontinued]]&gt;AY$4,ISBLANK(Tbl_ResidentData[[#This Row],[PRN Med Discontinued]])))</f>
        <v>0</v>
      </c>
      <c r="BX145" s="121" t="b">
        <f ca="1">AND(Tbl_ResidentData[[#This Row],[PRN Med Started]]&lt;&gt;"",Tbl_ResidentData[[#This Row],[PRN Med Started]]&lt;=NOW(),Tbl_ResidentData[[#This Row],[PRN Med Started]]&lt;=AZ$4,OR(Tbl_ResidentData[[#This Row],[PRN Med Discontinued]]&gt;AZ$4,ISBLANK(Tbl_ResidentData[[#This Row],[PRN Med Discontinued]])))</f>
        <v>0</v>
      </c>
      <c r="BY145" s="121" t="b">
        <f ca="1">AND(Tbl_ResidentData[[#This Row],[PRN Med Started]]&lt;&gt;"",Tbl_ResidentData[[#This Row],[PRN Med Started]]&lt;=NOW(),Tbl_ResidentData[[#This Row],[PRN Med Started]]&lt;=BA$4,OR(Tbl_ResidentData[[#This Row],[PRN Med Discontinued]]&gt;BA$4,ISBLANK(Tbl_ResidentData[[#This Row],[PRN Med Discontinued]])))</f>
        <v>0</v>
      </c>
      <c r="BZ145" s="121" t="b">
        <f ca="1">AND(Tbl_ResidentData[[#This Row],[PRN Med Started]]&lt;&gt;"",Tbl_ResidentData[[#This Row],[PRN Med Started]]&lt;=NOW(),Tbl_ResidentData[[#This Row],[PRN Med Started]]&lt;=BB$4,OR(Tbl_ResidentData[[#This Row],[PRN Med Discontinued]]&gt;BB$4,ISBLANK(Tbl_ResidentData[[#This Row],[PRN Med Discontinued]])))</f>
        <v>0</v>
      </c>
      <c r="CA145" s="121" t="b">
        <f ca="1">AND(Tbl_ResidentData[[#This Row],[PRN Med Started]]&lt;&gt;"",Tbl_ResidentData[[#This Row],[PRN Med Started]]&lt;=NOW(),Tbl_ResidentData[[#This Row],[PRN Med Started]]&lt;=BC$4,OR(Tbl_ResidentData[[#This Row],[PRN Med Discontinued]]&gt;BC$4,ISBLANK(Tbl_ResidentData[[#This Row],[PRN Med Discontinued]])))</f>
        <v>0</v>
      </c>
      <c r="CB145" s="121" t="b">
        <f ca="1">AND(Tbl_ResidentData[[#This Row],[PRN Med Started]]&lt;&gt;"",Tbl_ResidentData[[#This Row],[PRN Med Started]]&lt;=NOW(),Tbl_ResidentData[[#This Row],[PRN Med Started]]&lt;=BD$4,OR(Tbl_ResidentData[[#This Row],[PRN Med Discontinued]]&gt;BD$4,ISBLANK(Tbl_ResidentData[[#This Row],[PRN Med Discontinued]])))</f>
        <v>0</v>
      </c>
      <c r="CC145" s="121" t="b">
        <f ca="1">AND(Tbl_ResidentData[[#This Row],[PRN Med Started]]&lt;&gt;"",Tbl_ResidentData[[#This Row],[PRN Med Started]]&lt;=NOW(),Tbl_ResidentData[[#This Row],[PRN Med Started]]&lt;=BE$4,OR(Tbl_ResidentData[[#This Row],[PRN Med Discontinued]]&gt;BE$4,ISBLANK(Tbl_ResidentData[[#This Row],[PRN Med Discontinued]])))</f>
        <v>0</v>
      </c>
      <c r="CD145" s="121" t="b">
        <f ca="1">AND(Tbl_ResidentData[[#This Row],[PRN Med Started]]&lt;&gt;"",Tbl_ResidentData[[#This Row],[PRN Med Started]]&lt;=NOW(),Tbl_ResidentData[[#This Row],[PRN Med Started]]&lt;=BF$4,OR(Tbl_ResidentData[[#This Row],[PRN Med Discontinued]]&gt;BF$4,ISBLANK(Tbl_ResidentData[[#This Row],[PRN Med Discontinued]])))</f>
        <v>0</v>
      </c>
      <c r="CE145" s="121" t="b">
        <f ca="1">AND(Tbl_ResidentData[[#This Row],[PRN Med Started]]&lt;&gt;"",Tbl_ResidentData[[#This Row],[PRN Med Started]]&lt;=NOW(),Tbl_ResidentData[[#This Row],[PRN Med Started]]&lt;=BG$4,OR(Tbl_ResidentData[[#This Row],[PRN Med Discontinued]]&gt;BG$4,ISBLANK(Tbl_ResidentData[[#This Row],[PRN Med Discontinued]])))</f>
        <v>0</v>
      </c>
      <c r="CF145" s="121" t="b">
        <f ca="1">AND(Tbl_ResidentData[[#This Row],[PRN Med Started]]&lt;&gt;"",Tbl_ResidentData[[#This Row],[PRN Med Started]]&lt;=NOW(),Tbl_ResidentData[[#This Row],[PRN Med Started]]&lt;=BH$4,OR(Tbl_ResidentData[[#This Row],[PRN Med Discontinued]]&gt;BH$4,ISBLANK(Tbl_ResidentData[[#This Row],[PRN Med Discontinued]])))</f>
        <v>0</v>
      </c>
      <c r="CG145" s="121" t="b">
        <f ca="1">AND(Tbl_ResidentData[[#This Row],[PRN Med Started]]&lt;&gt;"",Tbl_ResidentData[[#This Row],[PRN Med Started]]&lt;=NOW(),Tbl_ResidentData[[#This Row],[PRN Med Started]]&lt;=BI$4,OR(Tbl_ResidentData[[#This Row],[PRN Med Discontinued]]&gt;BI$4,ISBLANK(Tbl_ResidentData[[#This Row],[PRN Med Discontinued]])))</f>
        <v>0</v>
      </c>
      <c r="CH145" s="121" t="b">
        <f ca="1">AND(Tbl_ResidentData[[#This Row],[PRN Med Started]]&lt;&gt;"",Tbl_ResidentData[[#This Row],[PRN Med Started]]&lt;=NOW(),Tbl_ResidentData[[#This Row],[PRN Med Started]]&lt;=BJ$4,OR(Tbl_ResidentData[[#This Row],[PRN Med Discontinued]]&gt;BJ$4,ISBLANK(Tbl_ResidentData[[#This Row],[PRN Med Discontinued]])))</f>
        <v>0</v>
      </c>
      <c r="CI145" s="121" t="b">
        <f ca="1">AND(Tbl_ResidentData[[#This Row],[PRN Med Started]]&lt;&gt;"",Tbl_ResidentData[[#This Row],[PRN Med Started]]&lt;=NOW(),Tbl_ResidentData[[#This Row],[PRN Med Started]]&lt;=BK$4,OR(Tbl_ResidentData[[#This Row],[PRN Med Discontinued]]&gt;BK$4,ISBLANK(Tbl_ResidentData[[#This Row],[PRN Med Discontinued]])))</f>
        <v>0</v>
      </c>
      <c r="CJ145" s="121" t="b">
        <f ca="1">AND(Tbl_ResidentData[[#This Row],[PRN Med Started]]&lt;&gt;"",Tbl_ResidentData[[#This Row],[PRN Med Started]]&lt;=NOW(),Tbl_ResidentData[[#This Row],[PRN Med Started]]&lt;=BL$4,OR(Tbl_ResidentData[[#This Row],[PRN Med Discontinued]]&gt;BL$4,ISBLANK(Tbl_ResidentData[[#This Row],[PRN Med Discontinued]])))</f>
        <v>0</v>
      </c>
      <c r="CK145" s="121" t="b">
        <f ca="1">AND(Tbl_ResidentData[[#This Row],[PRN Med Started]]&lt;&gt;"",Tbl_ResidentData[[#This Row],[PRN Med Started]]&lt;=NOW(),Tbl_ResidentData[[#This Row],[PRN Med Started]]&lt;=BM$4,OR(Tbl_ResidentData[[#This Row],[PRN Med Discontinued]]&gt;BM$4,ISBLANK(Tbl_ResidentData[[#This Row],[PRN Med Discontinued]])))</f>
        <v>0</v>
      </c>
      <c r="CL145" s="121" t="b">
        <f ca="1">AND(Tbl_ResidentData[[#This Row],[PRN Med Started]]&lt;&gt;"",Tbl_ResidentData[[#This Row],[PRN Med Started]]&lt;=NOW(),Tbl_ResidentData[[#This Row],[PRN Med Started]]&lt;=BN$4,OR(Tbl_ResidentData[[#This Row],[PRN Med Discontinued]]&gt;BN$4,ISBLANK(Tbl_ResidentData[[#This Row],[PRN Med Discontinued]])))</f>
        <v>0</v>
      </c>
      <c r="CM145" s="121" t="b">
        <f ca="1">AND(Tbl_ResidentData[[#This Row],[PRN Med Started]]&lt;&gt;"",Tbl_ResidentData[[#This Row],[PRN Med Started]]&lt;=NOW(),Tbl_ResidentData[[#This Row],[PRN Med Started]]&lt;=BO$4,OR(Tbl_ResidentData[[#This Row],[PRN Med Discontinued]]&gt;BO$4,ISBLANK(Tbl_ResidentData[[#This Row],[PRN Med Discontinued]])))</f>
        <v>0</v>
      </c>
      <c r="CN145" s="122" t="b">
        <f ca="1">AND(Tbl_ResidentData[[#This Row],[PRN Med Started]]&lt;&gt;"",Tbl_ResidentData[[#This Row],[PRN Med Started]]&lt;=NOW(),Tbl_ResidentData[[#This Row],[PRN Med Started]]&lt;=BP$4,OR(Tbl_ResidentData[[#This Row],[PRN Med Discontinued]]&gt;BP$4,ISBLANK(Tbl_ResidentData[[#This Row],[PRN Med Discontinued]])))</f>
        <v>0</v>
      </c>
      <c r="CO145" s="120">
        <f ca="1">IF(OR(Tbl_ResidentData[[#This Row],[S1]]=TRUE,Tbl_ResidentData[[#This Row],[P1]]=TRUE),1,0)</f>
        <v>0</v>
      </c>
      <c r="CP145" s="121">
        <f ca="1">IF(OR(Tbl_ResidentData[[#This Row],[S2]]=TRUE,Tbl_ResidentData[[#This Row],[P2]]=TRUE),1,0)</f>
        <v>0</v>
      </c>
      <c r="CQ145" s="121">
        <f ca="1">IF(OR(Tbl_ResidentData[[#This Row],[S3]]=TRUE,Tbl_ResidentData[[#This Row],[P3]]=TRUE),1,0)</f>
        <v>0</v>
      </c>
      <c r="CR145" s="120">
        <f ca="1">IF(OR(Tbl_ResidentData[[#This Row],[S4]]=TRUE,Tbl_ResidentData[[#This Row],[P4]]=TRUE),1,0)</f>
        <v>0</v>
      </c>
      <c r="CS145" s="120">
        <f ca="1">IF(OR(Tbl_ResidentData[[#This Row],[S5]]=TRUE,Tbl_ResidentData[[#This Row],[P5]]=TRUE),1,0)</f>
        <v>0</v>
      </c>
      <c r="CT145" s="120">
        <f ca="1">IF(OR(Tbl_ResidentData[[#This Row],[S6]]=TRUE,Tbl_ResidentData[[#This Row],[P6]]=TRUE),1,0)</f>
        <v>0</v>
      </c>
      <c r="CU145" s="120">
        <f ca="1">IF(OR(Tbl_ResidentData[[#This Row],[S7]]=TRUE,Tbl_ResidentData[[#This Row],[P7]]=TRUE),1,0)</f>
        <v>0</v>
      </c>
      <c r="CV145" s="120">
        <f ca="1">IF(OR(Tbl_ResidentData[[#This Row],[S8]]=TRUE,Tbl_ResidentData[[#This Row],[P8]]=TRUE),1,0)</f>
        <v>0</v>
      </c>
      <c r="CW145" s="120">
        <f ca="1">IF(OR(Tbl_ResidentData[[#This Row],[S9]]=TRUE,Tbl_ResidentData[[#This Row],[P9]]=TRUE),1,0)</f>
        <v>0</v>
      </c>
      <c r="CX145" s="120">
        <f ca="1">IF(OR(Tbl_ResidentData[[#This Row],[S10]]=TRUE,Tbl_ResidentData[[#This Row],[P10]]=TRUE),1,0)</f>
        <v>0</v>
      </c>
      <c r="CY145" s="120">
        <f ca="1">IF(OR(Tbl_ResidentData[[#This Row],[S11]]=TRUE,Tbl_ResidentData[[#This Row],[P11]]=TRUE),1,0)</f>
        <v>0</v>
      </c>
      <c r="CZ145" s="120">
        <f ca="1">IF(OR(Tbl_ResidentData[[#This Row],[S12]]=TRUE,Tbl_ResidentData[[#This Row],[P12]]=TRUE),1,0)</f>
        <v>0</v>
      </c>
      <c r="DA145" s="120">
        <f ca="1">IF(OR(Tbl_ResidentData[[#This Row],[S13]]=TRUE,Tbl_ResidentData[[#This Row],[P13]]=TRUE),1,0)</f>
        <v>0</v>
      </c>
      <c r="DB145" s="120">
        <f ca="1">IF(OR(Tbl_ResidentData[[#This Row],[S14]]=TRUE,Tbl_ResidentData[[#This Row],[P14]]=TRUE),1,0)</f>
        <v>0</v>
      </c>
      <c r="DC145" s="120">
        <f ca="1">IF(OR(Tbl_ResidentData[[#This Row],[S15]]=TRUE,Tbl_ResidentData[[#This Row],[P15]]=TRUE),1,0)</f>
        <v>0</v>
      </c>
      <c r="DD145" s="120">
        <f ca="1">IF(OR(Tbl_ResidentData[[#This Row],[S16]]=TRUE,Tbl_ResidentData[[#This Row],[P16]]=TRUE),1,0)</f>
        <v>0</v>
      </c>
      <c r="DE145" s="120">
        <f ca="1">IF(OR(Tbl_ResidentData[[#This Row],[S17]]=TRUE,Tbl_ResidentData[[#This Row],[P17]]=TRUE),1,0)</f>
        <v>0</v>
      </c>
      <c r="DF145" s="120">
        <f ca="1">IF(OR(Tbl_ResidentData[[#This Row],[S18]]=TRUE,Tbl_ResidentData[[#This Row],[P18]]=TRUE),1,0)</f>
        <v>0</v>
      </c>
      <c r="DG145" s="120">
        <f ca="1">IF(OR(Tbl_ResidentData[[#This Row],[S19]]=TRUE,Tbl_ResidentData[[#This Row],[P19]]=TRUE),1,0)</f>
        <v>0</v>
      </c>
      <c r="DH145" s="120">
        <f ca="1">IF(OR(Tbl_ResidentData[[#This Row],[S20]]=TRUE,Tbl_ResidentData[[#This Row],[P20]]=TRUE),1,0)</f>
        <v>0</v>
      </c>
      <c r="DI145" s="120">
        <f ca="1">IF(OR(Tbl_ResidentData[[#This Row],[S21]]=TRUE,Tbl_ResidentData[[#This Row],[P21]]=TRUE),1,0)</f>
        <v>0</v>
      </c>
      <c r="DJ145" s="120">
        <f ca="1">IF(OR(Tbl_ResidentData[[#This Row],[S22]]=TRUE,Tbl_ResidentData[[#This Row],[P22]]=TRUE),1,0)</f>
        <v>0</v>
      </c>
      <c r="DK145" s="120">
        <f ca="1">IF(OR(Tbl_ResidentData[[#This Row],[S23]]=TRUE,Tbl_ResidentData[[#This Row],[P23]]=TRUE),1,0)</f>
        <v>0</v>
      </c>
      <c r="DL145" s="120">
        <f ca="1">IF(OR(Tbl_ResidentData[[#This Row],[S24]]=TRUE,Tbl_ResidentData[[#This Row],[P24]]=TRUE),1,0)</f>
        <v>0</v>
      </c>
      <c r="DM145" s="123" t="str">
        <f ca="1">IFERROR(INDEX($CO$4:$DL$4,MATCH(TRUE,INDEX((Tbl_ResidentData[[#This Row],[Over1]:[Over24]]&lt;&gt;0),0),0)),"")</f>
        <v/>
      </c>
      <c r="DN145" s="133" t="str">
        <f>IFERROR(INDEX(Tbl_PDSAData[Last DRT],MATCH(Tbl_ResidentData[Resident Name '[last, first']],Tbl_PDSAData[Resident Name (last, first)],0)),"")</f>
        <v/>
      </c>
      <c r="DO145" s="222" t="str">
        <f>IFERROR(INDEX(Tbl_PDSAData[Last MR],MATCH(Tbl_ResidentData[Resident Name '[last, first']],Tbl_PDSAData[Resident Name (last, first)],0)),"")</f>
        <v/>
      </c>
    </row>
    <row r="146" spans="1:119" x14ac:dyDescent="0.25">
      <c r="A146" s="179"/>
      <c r="B146" s="180"/>
      <c r="C146" s="180"/>
      <c r="D146" s="218"/>
      <c r="E146" s="179"/>
      <c r="F146" s="179"/>
      <c r="G146" s="181"/>
      <c r="H146" s="375"/>
      <c r="I146" s="185"/>
      <c r="J146" s="387"/>
      <c r="K146" s="178"/>
      <c r="L146" s="388"/>
      <c r="M146" s="185"/>
      <c r="N146" s="386"/>
      <c r="O146" s="178"/>
      <c r="P146" s="388"/>
      <c r="Q146" s="394"/>
      <c r="R146" s="388"/>
      <c r="S146" s="131" t="str">
        <f>IF(ISBLANK(Tbl_ResidentData[[#This Row],[Discharge '[mmm-yyyy']]]),IF(ISBLANK(Tbl_ResidentData[[#This Row],[Enrollment '[mmm-yyyy']]]),"","In Care Home"),"Discharged")</f>
        <v/>
      </c>
      <c r="T146" s="119" t="str">
        <f>IF(ISBLANK(Tbl_ResidentData[[#This Row],[Diagnosis (RAI)]]),IF(ISBLANK(Tbl_ResidentData[[#This Row],[Resident Name '[last, first']]]),"",0),IF(Tbl_ResidentData[[#This Row],[Diagnosis (RAI)]]="Other (see clinical notes)",0,1))</f>
        <v/>
      </c>
      <c r="U146" s="120" t="str">
        <f ca="1">IF(U$4&gt;NOW(),"-",IF(ISBLANK(Tbl_ResidentData[[#This Row],[Enrollment '[mmm-yyyy']]]),"-",AND((Tbl_ResidentData[[#This Row],[Enrollment '[mmm-yyyy']]]&lt;=U$4),IF(ISBLANK(Tbl_ResidentData[[#This Row],[Discharge '[mmm-yyyy']]]),TRUE,(Tbl_ResidentData[[#This Row],[Discharge '[mmm-yyyy']]]&gt;=U$4)))))</f>
        <v>-</v>
      </c>
      <c r="V146" s="121" t="str">
        <f ca="1">IF(V$4&gt;NOW(),"-",IF(ISBLANK(Tbl_ResidentData[[#This Row],[Enrollment '[mmm-yyyy']]]),"-",AND((Tbl_ResidentData[[#This Row],[Enrollment '[mmm-yyyy']]]&lt;=V$4),IF(ISBLANK(Tbl_ResidentData[[#This Row],[Discharge '[mmm-yyyy']]]),TRUE,(Tbl_ResidentData[[#This Row],[Discharge '[mmm-yyyy']]]&gt;=V$4)))))</f>
        <v>-</v>
      </c>
      <c r="W146" s="121" t="str">
        <f ca="1">IF(W$4&gt;NOW(),"-",IF(ISBLANK(Tbl_ResidentData[[#This Row],[Enrollment '[mmm-yyyy']]]),"-",AND((Tbl_ResidentData[[#This Row],[Enrollment '[mmm-yyyy']]]&lt;=W$4),IF(ISBLANK(Tbl_ResidentData[[#This Row],[Discharge '[mmm-yyyy']]]),TRUE,(Tbl_ResidentData[[#This Row],[Discharge '[mmm-yyyy']]]&gt;=W$4)))))</f>
        <v>-</v>
      </c>
      <c r="X146" s="121" t="str">
        <f ca="1">IF(X$4&gt;NOW(),"-",IF(ISBLANK(Tbl_ResidentData[[#This Row],[Enrollment '[mmm-yyyy']]]),"-",AND((Tbl_ResidentData[[#This Row],[Enrollment '[mmm-yyyy']]]&lt;=X$4),IF(ISBLANK(Tbl_ResidentData[[#This Row],[Discharge '[mmm-yyyy']]]),TRUE,(Tbl_ResidentData[[#This Row],[Discharge '[mmm-yyyy']]]&gt;=X$4)))))</f>
        <v>-</v>
      </c>
      <c r="Y146" s="121" t="str">
        <f ca="1">IF(Y$4&gt;NOW(),"-",IF(ISBLANK(Tbl_ResidentData[[#This Row],[Enrollment '[mmm-yyyy']]]),"-",AND((Tbl_ResidentData[[#This Row],[Enrollment '[mmm-yyyy']]]&lt;=Y$4),IF(ISBLANK(Tbl_ResidentData[[#This Row],[Discharge '[mmm-yyyy']]]),TRUE,(Tbl_ResidentData[[#This Row],[Discharge '[mmm-yyyy']]]&gt;=Y$4)))))</f>
        <v>-</v>
      </c>
      <c r="Z146" s="121" t="str">
        <f ca="1">IF(Z$4&gt;NOW(),"-",IF(ISBLANK(Tbl_ResidentData[[#This Row],[Enrollment '[mmm-yyyy']]]),"-",AND((Tbl_ResidentData[[#This Row],[Enrollment '[mmm-yyyy']]]&lt;=Z$4),IF(ISBLANK(Tbl_ResidentData[[#This Row],[Discharge '[mmm-yyyy']]]),TRUE,(Tbl_ResidentData[[#This Row],[Discharge '[mmm-yyyy']]]&gt;=Z$4)))))</f>
        <v>-</v>
      </c>
      <c r="AA146" s="121" t="str">
        <f ca="1">IF(AA$4&gt;NOW(),"-",IF(ISBLANK(Tbl_ResidentData[[#This Row],[Enrollment '[mmm-yyyy']]]),"-",AND((Tbl_ResidentData[[#This Row],[Enrollment '[mmm-yyyy']]]&lt;=AA$4),IF(ISBLANK(Tbl_ResidentData[[#This Row],[Discharge '[mmm-yyyy']]]),TRUE,(Tbl_ResidentData[[#This Row],[Discharge '[mmm-yyyy']]]&gt;=AA$4)))))</f>
        <v>-</v>
      </c>
      <c r="AB146" s="121" t="str">
        <f ca="1">IF(AB$4&gt;NOW(),"-",IF(ISBLANK(Tbl_ResidentData[[#This Row],[Enrollment '[mmm-yyyy']]]),"-",AND((Tbl_ResidentData[[#This Row],[Enrollment '[mmm-yyyy']]]&lt;=AB$4),IF(ISBLANK(Tbl_ResidentData[[#This Row],[Discharge '[mmm-yyyy']]]),TRUE,(Tbl_ResidentData[[#This Row],[Discharge '[mmm-yyyy']]]&gt;=AB$4)))))</f>
        <v>-</v>
      </c>
      <c r="AC146" s="121" t="str">
        <f ca="1">IF(AC$4&gt;NOW(),"-",IF(ISBLANK(Tbl_ResidentData[[#This Row],[Enrollment '[mmm-yyyy']]]),"-",AND((Tbl_ResidentData[[#This Row],[Enrollment '[mmm-yyyy']]]&lt;=AC$4),IF(ISBLANK(Tbl_ResidentData[[#This Row],[Discharge '[mmm-yyyy']]]),TRUE,(Tbl_ResidentData[[#This Row],[Discharge '[mmm-yyyy']]]&gt;=AC$4)))))</f>
        <v>-</v>
      </c>
      <c r="AD146" s="121" t="str">
        <f ca="1">IF(AD$4&gt;NOW(),"-",IF(ISBLANK(Tbl_ResidentData[[#This Row],[Enrollment '[mmm-yyyy']]]),"-",AND((Tbl_ResidentData[[#This Row],[Enrollment '[mmm-yyyy']]]&lt;=AD$4),IF(ISBLANK(Tbl_ResidentData[[#This Row],[Discharge '[mmm-yyyy']]]),TRUE,(Tbl_ResidentData[[#This Row],[Discharge '[mmm-yyyy']]]&gt;=AD$4)))))</f>
        <v>-</v>
      </c>
      <c r="AE146" s="121" t="str">
        <f ca="1">IF(AE$4&gt;NOW(),"-",IF(ISBLANK(Tbl_ResidentData[[#This Row],[Enrollment '[mmm-yyyy']]]),"-",AND((Tbl_ResidentData[[#This Row],[Enrollment '[mmm-yyyy']]]&lt;=AE$4),IF(ISBLANK(Tbl_ResidentData[[#This Row],[Discharge '[mmm-yyyy']]]),TRUE,(Tbl_ResidentData[[#This Row],[Discharge '[mmm-yyyy']]]&gt;=AE$4)))))</f>
        <v>-</v>
      </c>
      <c r="AF146" s="121" t="str">
        <f ca="1">IF(AF$4&gt;NOW(),"-",IF(ISBLANK(Tbl_ResidentData[[#This Row],[Enrollment '[mmm-yyyy']]]),"-",AND((Tbl_ResidentData[[#This Row],[Enrollment '[mmm-yyyy']]]&lt;=AF$4),IF(ISBLANK(Tbl_ResidentData[[#This Row],[Discharge '[mmm-yyyy']]]),TRUE,(Tbl_ResidentData[[#This Row],[Discharge '[mmm-yyyy']]]&gt;=AF$4)))))</f>
        <v>-</v>
      </c>
      <c r="AG146" s="121" t="str">
        <f ca="1">IF(AG$4&gt;NOW(),"-",IF(ISBLANK(Tbl_ResidentData[[#This Row],[Enrollment '[mmm-yyyy']]]),"-",AND((Tbl_ResidentData[[#This Row],[Enrollment '[mmm-yyyy']]]&lt;=AG$4),IF(ISBLANK(Tbl_ResidentData[[#This Row],[Discharge '[mmm-yyyy']]]),TRUE,(Tbl_ResidentData[[#This Row],[Discharge '[mmm-yyyy']]]&gt;=AG$4)))))</f>
        <v>-</v>
      </c>
      <c r="AH146" s="121" t="str">
        <f ca="1">IF(AH$4&gt;NOW(),"-",IF(ISBLANK(Tbl_ResidentData[[#This Row],[Enrollment '[mmm-yyyy']]]),"-",AND((Tbl_ResidentData[[#This Row],[Enrollment '[mmm-yyyy']]]&lt;=AH$4),IF(ISBLANK(Tbl_ResidentData[[#This Row],[Discharge '[mmm-yyyy']]]),TRUE,(Tbl_ResidentData[[#This Row],[Discharge '[mmm-yyyy']]]&gt;=AH$4)))))</f>
        <v>-</v>
      </c>
      <c r="AI146" s="121" t="str">
        <f ca="1">IF(AI$4&gt;NOW(),"-",IF(ISBLANK(Tbl_ResidentData[[#This Row],[Enrollment '[mmm-yyyy']]]),"-",AND((Tbl_ResidentData[[#This Row],[Enrollment '[mmm-yyyy']]]&lt;=AI$4),IF(ISBLANK(Tbl_ResidentData[[#This Row],[Discharge '[mmm-yyyy']]]),TRUE,(Tbl_ResidentData[[#This Row],[Discharge '[mmm-yyyy']]]&gt;=AI$4)))))</f>
        <v>-</v>
      </c>
      <c r="AJ146" s="121" t="str">
        <f ca="1">IF(AJ$4&gt;NOW(),"-",IF(ISBLANK(Tbl_ResidentData[[#This Row],[Enrollment '[mmm-yyyy']]]),"-",AND((Tbl_ResidentData[[#This Row],[Enrollment '[mmm-yyyy']]]&lt;=AJ$4),IF(ISBLANK(Tbl_ResidentData[[#This Row],[Discharge '[mmm-yyyy']]]),TRUE,(Tbl_ResidentData[[#This Row],[Discharge '[mmm-yyyy']]]&gt;=AJ$4)))))</f>
        <v>-</v>
      </c>
      <c r="AK146" s="121" t="str">
        <f ca="1">IF(AK$4&gt;NOW(),"-",IF(ISBLANK(Tbl_ResidentData[[#This Row],[Enrollment '[mmm-yyyy']]]),"-",AND((Tbl_ResidentData[[#This Row],[Enrollment '[mmm-yyyy']]]&lt;=AK$4),IF(ISBLANK(Tbl_ResidentData[[#This Row],[Discharge '[mmm-yyyy']]]),TRUE,(Tbl_ResidentData[[#This Row],[Discharge '[mmm-yyyy']]]&gt;=AK$4)))))</f>
        <v>-</v>
      </c>
      <c r="AL146" s="121" t="str">
        <f ca="1">IF(AL$4&gt;NOW(),"-",IF(ISBLANK(Tbl_ResidentData[[#This Row],[Enrollment '[mmm-yyyy']]]),"-",AND((Tbl_ResidentData[[#This Row],[Enrollment '[mmm-yyyy']]]&lt;=AL$4),IF(ISBLANK(Tbl_ResidentData[[#This Row],[Discharge '[mmm-yyyy']]]),TRUE,(Tbl_ResidentData[[#This Row],[Discharge '[mmm-yyyy']]]&gt;=AL$4)))))</f>
        <v>-</v>
      </c>
      <c r="AM146" s="121" t="str">
        <f ca="1">IF(AM$4&gt;NOW(),"-",IF(ISBLANK(Tbl_ResidentData[[#This Row],[Enrollment '[mmm-yyyy']]]),"-",AND((Tbl_ResidentData[[#This Row],[Enrollment '[mmm-yyyy']]]&lt;=AM$4),IF(ISBLANK(Tbl_ResidentData[[#This Row],[Discharge '[mmm-yyyy']]]),TRUE,(Tbl_ResidentData[[#This Row],[Discharge '[mmm-yyyy']]]&gt;=AM$4)))))</f>
        <v>-</v>
      </c>
      <c r="AN146" s="121" t="str">
        <f ca="1">IF(AN$4&gt;NOW(),"-",IF(ISBLANK(Tbl_ResidentData[[#This Row],[Enrollment '[mmm-yyyy']]]),"-",AND((Tbl_ResidentData[[#This Row],[Enrollment '[mmm-yyyy']]]&lt;=AN$4),IF(ISBLANK(Tbl_ResidentData[[#This Row],[Discharge '[mmm-yyyy']]]),TRUE,(Tbl_ResidentData[[#This Row],[Discharge '[mmm-yyyy']]]&gt;=AN$4)))))</f>
        <v>-</v>
      </c>
      <c r="AO146" s="121" t="str">
        <f ca="1">IF(AO$4&gt;NOW(),"-",IF(ISBLANK(Tbl_ResidentData[[#This Row],[Enrollment '[mmm-yyyy']]]),"-",AND((Tbl_ResidentData[[#This Row],[Enrollment '[mmm-yyyy']]]&lt;=AO$4),IF(ISBLANK(Tbl_ResidentData[[#This Row],[Discharge '[mmm-yyyy']]]),TRUE,(Tbl_ResidentData[[#This Row],[Discharge '[mmm-yyyy']]]&gt;=AO$4)))))</f>
        <v>-</v>
      </c>
      <c r="AP146" s="121" t="str">
        <f ca="1">IF(AP$4&gt;NOW(),"-",IF(ISBLANK(Tbl_ResidentData[[#This Row],[Enrollment '[mmm-yyyy']]]),"-",AND((Tbl_ResidentData[[#This Row],[Enrollment '[mmm-yyyy']]]&lt;=AP$4),IF(ISBLANK(Tbl_ResidentData[[#This Row],[Discharge '[mmm-yyyy']]]),TRUE,(Tbl_ResidentData[[#This Row],[Discharge '[mmm-yyyy']]]&gt;=AP$4)))))</f>
        <v>-</v>
      </c>
      <c r="AQ146" s="121" t="str">
        <f ca="1">IF(AQ$4&gt;NOW(),"-",IF(ISBLANK(Tbl_ResidentData[[#This Row],[Enrollment '[mmm-yyyy']]]),"-",AND((Tbl_ResidentData[[#This Row],[Enrollment '[mmm-yyyy']]]&lt;=AQ$4),IF(ISBLANK(Tbl_ResidentData[[#This Row],[Discharge '[mmm-yyyy']]]),TRUE,(Tbl_ResidentData[[#This Row],[Discharge '[mmm-yyyy']]]&gt;=AQ$4)))))</f>
        <v>-</v>
      </c>
      <c r="AR146" s="122" t="str">
        <f ca="1">IF(AR$4&gt;NOW(),"-",IF(ISBLANK(Tbl_ResidentData[[#This Row],[Enrollment '[mmm-yyyy']]]),"-",AND((Tbl_ResidentData[[#This Row],[Enrollment '[mmm-yyyy']]]&lt;=AR$4),IF(ISBLANK(Tbl_ResidentData[[#This Row],[Discharge '[mmm-yyyy']]]),TRUE,(Tbl_ResidentData[[#This Row],[Discharge '[mmm-yyyy']]]&gt;=AR$4)))))</f>
        <v>-</v>
      </c>
      <c r="AS14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6" s="120" t="b">
        <f ca="1">AND(Tbl_ResidentData[[#This Row],[PRN Med Started]]&lt;&gt;"",Tbl_ResidentData[[#This Row],[PRN Med Started]]&lt;=NOW(),Tbl_ResidentData[[#This Row],[PRN Med Started]]&lt;=AS$4,OR(Tbl_ResidentData[[#This Row],[PRN Med Discontinued]]&gt;AS$4,ISBLANK(Tbl_ResidentData[[#This Row],[PRN Med Discontinued]])))</f>
        <v>0</v>
      </c>
      <c r="BR146" s="121" t="b">
        <f ca="1">AND(Tbl_ResidentData[[#This Row],[PRN Med Started]]&lt;&gt;"",Tbl_ResidentData[[#This Row],[PRN Med Started]]&lt;=NOW(),Tbl_ResidentData[[#This Row],[PRN Med Started]]&lt;=AT$4,OR(Tbl_ResidentData[[#This Row],[PRN Med Discontinued]]&gt;AT$4,ISBLANK(Tbl_ResidentData[[#This Row],[PRN Med Discontinued]])))</f>
        <v>0</v>
      </c>
      <c r="BS146" s="121" t="b">
        <f ca="1">AND(Tbl_ResidentData[[#This Row],[PRN Med Started]]&lt;&gt;"",Tbl_ResidentData[[#This Row],[PRN Med Started]]&lt;=NOW(),Tbl_ResidentData[[#This Row],[PRN Med Started]]&lt;=AU$4,OR(Tbl_ResidentData[[#This Row],[PRN Med Discontinued]]&gt;AU$4,ISBLANK(Tbl_ResidentData[[#This Row],[PRN Med Discontinued]])))</f>
        <v>0</v>
      </c>
      <c r="BT146" s="121" t="b">
        <f ca="1">AND(Tbl_ResidentData[[#This Row],[PRN Med Started]]&lt;&gt;"",Tbl_ResidentData[[#This Row],[PRN Med Started]]&lt;=NOW(),Tbl_ResidentData[[#This Row],[PRN Med Started]]&lt;=AV$4,OR(Tbl_ResidentData[[#This Row],[PRN Med Discontinued]]&gt;AV$4,ISBLANK(Tbl_ResidentData[[#This Row],[PRN Med Discontinued]])))</f>
        <v>0</v>
      </c>
      <c r="BU146" s="121" t="b">
        <f ca="1">AND(Tbl_ResidentData[[#This Row],[PRN Med Started]]&lt;&gt;"",Tbl_ResidentData[[#This Row],[PRN Med Started]]&lt;=NOW(),Tbl_ResidentData[[#This Row],[PRN Med Started]]&lt;=AW$4,OR(Tbl_ResidentData[[#This Row],[PRN Med Discontinued]]&gt;AW$4,ISBLANK(Tbl_ResidentData[[#This Row],[PRN Med Discontinued]])))</f>
        <v>0</v>
      </c>
      <c r="BV146" s="121" t="b">
        <f ca="1">AND(Tbl_ResidentData[[#This Row],[PRN Med Started]]&lt;&gt;"",Tbl_ResidentData[[#This Row],[PRN Med Started]]&lt;=NOW(),Tbl_ResidentData[[#This Row],[PRN Med Started]]&lt;=AX$4,OR(Tbl_ResidentData[[#This Row],[PRN Med Discontinued]]&gt;AX$4,ISBLANK(Tbl_ResidentData[[#This Row],[PRN Med Discontinued]])))</f>
        <v>0</v>
      </c>
      <c r="BW146" s="121" t="b">
        <f ca="1">AND(Tbl_ResidentData[[#This Row],[PRN Med Started]]&lt;&gt;"",Tbl_ResidentData[[#This Row],[PRN Med Started]]&lt;=NOW(),Tbl_ResidentData[[#This Row],[PRN Med Started]]&lt;=AY$4,OR(Tbl_ResidentData[[#This Row],[PRN Med Discontinued]]&gt;AY$4,ISBLANK(Tbl_ResidentData[[#This Row],[PRN Med Discontinued]])))</f>
        <v>0</v>
      </c>
      <c r="BX146" s="121" t="b">
        <f ca="1">AND(Tbl_ResidentData[[#This Row],[PRN Med Started]]&lt;&gt;"",Tbl_ResidentData[[#This Row],[PRN Med Started]]&lt;=NOW(),Tbl_ResidentData[[#This Row],[PRN Med Started]]&lt;=AZ$4,OR(Tbl_ResidentData[[#This Row],[PRN Med Discontinued]]&gt;AZ$4,ISBLANK(Tbl_ResidentData[[#This Row],[PRN Med Discontinued]])))</f>
        <v>0</v>
      </c>
      <c r="BY146" s="121" t="b">
        <f ca="1">AND(Tbl_ResidentData[[#This Row],[PRN Med Started]]&lt;&gt;"",Tbl_ResidentData[[#This Row],[PRN Med Started]]&lt;=NOW(),Tbl_ResidentData[[#This Row],[PRN Med Started]]&lt;=BA$4,OR(Tbl_ResidentData[[#This Row],[PRN Med Discontinued]]&gt;BA$4,ISBLANK(Tbl_ResidentData[[#This Row],[PRN Med Discontinued]])))</f>
        <v>0</v>
      </c>
      <c r="BZ146" s="121" t="b">
        <f ca="1">AND(Tbl_ResidentData[[#This Row],[PRN Med Started]]&lt;&gt;"",Tbl_ResidentData[[#This Row],[PRN Med Started]]&lt;=NOW(),Tbl_ResidentData[[#This Row],[PRN Med Started]]&lt;=BB$4,OR(Tbl_ResidentData[[#This Row],[PRN Med Discontinued]]&gt;BB$4,ISBLANK(Tbl_ResidentData[[#This Row],[PRN Med Discontinued]])))</f>
        <v>0</v>
      </c>
      <c r="CA146" s="121" t="b">
        <f ca="1">AND(Tbl_ResidentData[[#This Row],[PRN Med Started]]&lt;&gt;"",Tbl_ResidentData[[#This Row],[PRN Med Started]]&lt;=NOW(),Tbl_ResidentData[[#This Row],[PRN Med Started]]&lt;=BC$4,OR(Tbl_ResidentData[[#This Row],[PRN Med Discontinued]]&gt;BC$4,ISBLANK(Tbl_ResidentData[[#This Row],[PRN Med Discontinued]])))</f>
        <v>0</v>
      </c>
      <c r="CB146" s="121" t="b">
        <f ca="1">AND(Tbl_ResidentData[[#This Row],[PRN Med Started]]&lt;&gt;"",Tbl_ResidentData[[#This Row],[PRN Med Started]]&lt;=NOW(),Tbl_ResidentData[[#This Row],[PRN Med Started]]&lt;=BD$4,OR(Tbl_ResidentData[[#This Row],[PRN Med Discontinued]]&gt;BD$4,ISBLANK(Tbl_ResidentData[[#This Row],[PRN Med Discontinued]])))</f>
        <v>0</v>
      </c>
      <c r="CC146" s="121" t="b">
        <f ca="1">AND(Tbl_ResidentData[[#This Row],[PRN Med Started]]&lt;&gt;"",Tbl_ResidentData[[#This Row],[PRN Med Started]]&lt;=NOW(),Tbl_ResidentData[[#This Row],[PRN Med Started]]&lt;=BE$4,OR(Tbl_ResidentData[[#This Row],[PRN Med Discontinued]]&gt;BE$4,ISBLANK(Tbl_ResidentData[[#This Row],[PRN Med Discontinued]])))</f>
        <v>0</v>
      </c>
      <c r="CD146" s="121" t="b">
        <f ca="1">AND(Tbl_ResidentData[[#This Row],[PRN Med Started]]&lt;&gt;"",Tbl_ResidentData[[#This Row],[PRN Med Started]]&lt;=NOW(),Tbl_ResidentData[[#This Row],[PRN Med Started]]&lt;=BF$4,OR(Tbl_ResidentData[[#This Row],[PRN Med Discontinued]]&gt;BF$4,ISBLANK(Tbl_ResidentData[[#This Row],[PRN Med Discontinued]])))</f>
        <v>0</v>
      </c>
      <c r="CE146" s="121" t="b">
        <f ca="1">AND(Tbl_ResidentData[[#This Row],[PRN Med Started]]&lt;&gt;"",Tbl_ResidentData[[#This Row],[PRN Med Started]]&lt;=NOW(),Tbl_ResidentData[[#This Row],[PRN Med Started]]&lt;=BG$4,OR(Tbl_ResidentData[[#This Row],[PRN Med Discontinued]]&gt;BG$4,ISBLANK(Tbl_ResidentData[[#This Row],[PRN Med Discontinued]])))</f>
        <v>0</v>
      </c>
      <c r="CF146" s="121" t="b">
        <f ca="1">AND(Tbl_ResidentData[[#This Row],[PRN Med Started]]&lt;&gt;"",Tbl_ResidentData[[#This Row],[PRN Med Started]]&lt;=NOW(),Tbl_ResidentData[[#This Row],[PRN Med Started]]&lt;=BH$4,OR(Tbl_ResidentData[[#This Row],[PRN Med Discontinued]]&gt;BH$4,ISBLANK(Tbl_ResidentData[[#This Row],[PRN Med Discontinued]])))</f>
        <v>0</v>
      </c>
      <c r="CG146" s="121" t="b">
        <f ca="1">AND(Tbl_ResidentData[[#This Row],[PRN Med Started]]&lt;&gt;"",Tbl_ResidentData[[#This Row],[PRN Med Started]]&lt;=NOW(),Tbl_ResidentData[[#This Row],[PRN Med Started]]&lt;=BI$4,OR(Tbl_ResidentData[[#This Row],[PRN Med Discontinued]]&gt;BI$4,ISBLANK(Tbl_ResidentData[[#This Row],[PRN Med Discontinued]])))</f>
        <v>0</v>
      </c>
      <c r="CH146" s="121" t="b">
        <f ca="1">AND(Tbl_ResidentData[[#This Row],[PRN Med Started]]&lt;&gt;"",Tbl_ResidentData[[#This Row],[PRN Med Started]]&lt;=NOW(),Tbl_ResidentData[[#This Row],[PRN Med Started]]&lt;=BJ$4,OR(Tbl_ResidentData[[#This Row],[PRN Med Discontinued]]&gt;BJ$4,ISBLANK(Tbl_ResidentData[[#This Row],[PRN Med Discontinued]])))</f>
        <v>0</v>
      </c>
      <c r="CI146" s="121" t="b">
        <f ca="1">AND(Tbl_ResidentData[[#This Row],[PRN Med Started]]&lt;&gt;"",Tbl_ResidentData[[#This Row],[PRN Med Started]]&lt;=NOW(),Tbl_ResidentData[[#This Row],[PRN Med Started]]&lt;=BK$4,OR(Tbl_ResidentData[[#This Row],[PRN Med Discontinued]]&gt;BK$4,ISBLANK(Tbl_ResidentData[[#This Row],[PRN Med Discontinued]])))</f>
        <v>0</v>
      </c>
      <c r="CJ146" s="121" t="b">
        <f ca="1">AND(Tbl_ResidentData[[#This Row],[PRN Med Started]]&lt;&gt;"",Tbl_ResidentData[[#This Row],[PRN Med Started]]&lt;=NOW(),Tbl_ResidentData[[#This Row],[PRN Med Started]]&lt;=BL$4,OR(Tbl_ResidentData[[#This Row],[PRN Med Discontinued]]&gt;BL$4,ISBLANK(Tbl_ResidentData[[#This Row],[PRN Med Discontinued]])))</f>
        <v>0</v>
      </c>
      <c r="CK146" s="121" t="b">
        <f ca="1">AND(Tbl_ResidentData[[#This Row],[PRN Med Started]]&lt;&gt;"",Tbl_ResidentData[[#This Row],[PRN Med Started]]&lt;=NOW(),Tbl_ResidentData[[#This Row],[PRN Med Started]]&lt;=BM$4,OR(Tbl_ResidentData[[#This Row],[PRN Med Discontinued]]&gt;BM$4,ISBLANK(Tbl_ResidentData[[#This Row],[PRN Med Discontinued]])))</f>
        <v>0</v>
      </c>
      <c r="CL146" s="121" t="b">
        <f ca="1">AND(Tbl_ResidentData[[#This Row],[PRN Med Started]]&lt;&gt;"",Tbl_ResidentData[[#This Row],[PRN Med Started]]&lt;=NOW(),Tbl_ResidentData[[#This Row],[PRN Med Started]]&lt;=BN$4,OR(Tbl_ResidentData[[#This Row],[PRN Med Discontinued]]&gt;BN$4,ISBLANK(Tbl_ResidentData[[#This Row],[PRN Med Discontinued]])))</f>
        <v>0</v>
      </c>
      <c r="CM146" s="121" t="b">
        <f ca="1">AND(Tbl_ResidentData[[#This Row],[PRN Med Started]]&lt;&gt;"",Tbl_ResidentData[[#This Row],[PRN Med Started]]&lt;=NOW(),Tbl_ResidentData[[#This Row],[PRN Med Started]]&lt;=BO$4,OR(Tbl_ResidentData[[#This Row],[PRN Med Discontinued]]&gt;BO$4,ISBLANK(Tbl_ResidentData[[#This Row],[PRN Med Discontinued]])))</f>
        <v>0</v>
      </c>
      <c r="CN146" s="122" t="b">
        <f ca="1">AND(Tbl_ResidentData[[#This Row],[PRN Med Started]]&lt;&gt;"",Tbl_ResidentData[[#This Row],[PRN Med Started]]&lt;=NOW(),Tbl_ResidentData[[#This Row],[PRN Med Started]]&lt;=BP$4,OR(Tbl_ResidentData[[#This Row],[PRN Med Discontinued]]&gt;BP$4,ISBLANK(Tbl_ResidentData[[#This Row],[PRN Med Discontinued]])))</f>
        <v>0</v>
      </c>
      <c r="CO146" s="120">
        <f ca="1">IF(OR(Tbl_ResidentData[[#This Row],[S1]]=TRUE,Tbl_ResidentData[[#This Row],[P1]]=TRUE),1,0)</f>
        <v>0</v>
      </c>
      <c r="CP146" s="121">
        <f ca="1">IF(OR(Tbl_ResidentData[[#This Row],[S2]]=TRUE,Tbl_ResidentData[[#This Row],[P2]]=TRUE),1,0)</f>
        <v>0</v>
      </c>
      <c r="CQ146" s="121">
        <f ca="1">IF(OR(Tbl_ResidentData[[#This Row],[S3]]=TRUE,Tbl_ResidentData[[#This Row],[P3]]=TRUE),1,0)</f>
        <v>0</v>
      </c>
      <c r="CR146" s="120">
        <f ca="1">IF(OR(Tbl_ResidentData[[#This Row],[S4]]=TRUE,Tbl_ResidentData[[#This Row],[P4]]=TRUE),1,0)</f>
        <v>0</v>
      </c>
      <c r="CS146" s="120">
        <f ca="1">IF(OR(Tbl_ResidentData[[#This Row],[S5]]=TRUE,Tbl_ResidentData[[#This Row],[P5]]=TRUE),1,0)</f>
        <v>0</v>
      </c>
      <c r="CT146" s="120">
        <f ca="1">IF(OR(Tbl_ResidentData[[#This Row],[S6]]=TRUE,Tbl_ResidentData[[#This Row],[P6]]=TRUE),1,0)</f>
        <v>0</v>
      </c>
      <c r="CU146" s="120">
        <f ca="1">IF(OR(Tbl_ResidentData[[#This Row],[S7]]=TRUE,Tbl_ResidentData[[#This Row],[P7]]=TRUE),1,0)</f>
        <v>0</v>
      </c>
      <c r="CV146" s="120">
        <f ca="1">IF(OR(Tbl_ResidentData[[#This Row],[S8]]=TRUE,Tbl_ResidentData[[#This Row],[P8]]=TRUE),1,0)</f>
        <v>0</v>
      </c>
      <c r="CW146" s="120">
        <f ca="1">IF(OR(Tbl_ResidentData[[#This Row],[S9]]=TRUE,Tbl_ResidentData[[#This Row],[P9]]=TRUE),1,0)</f>
        <v>0</v>
      </c>
      <c r="CX146" s="120">
        <f ca="1">IF(OR(Tbl_ResidentData[[#This Row],[S10]]=TRUE,Tbl_ResidentData[[#This Row],[P10]]=TRUE),1,0)</f>
        <v>0</v>
      </c>
      <c r="CY146" s="120">
        <f ca="1">IF(OR(Tbl_ResidentData[[#This Row],[S11]]=TRUE,Tbl_ResidentData[[#This Row],[P11]]=TRUE),1,0)</f>
        <v>0</v>
      </c>
      <c r="CZ146" s="120">
        <f ca="1">IF(OR(Tbl_ResidentData[[#This Row],[S12]]=TRUE,Tbl_ResidentData[[#This Row],[P12]]=TRUE),1,0)</f>
        <v>0</v>
      </c>
      <c r="DA146" s="120">
        <f ca="1">IF(OR(Tbl_ResidentData[[#This Row],[S13]]=TRUE,Tbl_ResidentData[[#This Row],[P13]]=TRUE),1,0)</f>
        <v>0</v>
      </c>
      <c r="DB146" s="120">
        <f ca="1">IF(OR(Tbl_ResidentData[[#This Row],[S14]]=TRUE,Tbl_ResidentData[[#This Row],[P14]]=TRUE),1,0)</f>
        <v>0</v>
      </c>
      <c r="DC146" s="120">
        <f ca="1">IF(OR(Tbl_ResidentData[[#This Row],[S15]]=TRUE,Tbl_ResidentData[[#This Row],[P15]]=TRUE),1,0)</f>
        <v>0</v>
      </c>
      <c r="DD146" s="120">
        <f ca="1">IF(OR(Tbl_ResidentData[[#This Row],[S16]]=TRUE,Tbl_ResidentData[[#This Row],[P16]]=TRUE),1,0)</f>
        <v>0</v>
      </c>
      <c r="DE146" s="120">
        <f ca="1">IF(OR(Tbl_ResidentData[[#This Row],[S17]]=TRUE,Tbl_ResidentData[[#This Row],[P17]]=TRUE),1,0)</f>
        <v>0</v>
      </c>
      <c r="DF146" s="120">
        <f ca="1">IF(OR(Tbl_ResidentData[[#This Row],[S18]]=TRUE,Tbl_ResidentData[[#This Row],[P18]]=TRUE),1,0)</f>
        <v>0</v>
      </c>
      <c r="DG146" s="120">
        <f ca="1">IF(OR(Tbl_ResidentData[[#This Row],[S19]]=TRUE,Tbl_ResidentData[[#This Row],[P19]]=TRUE),1,0)</f>
        <v>0</v>
      </c>
      <c r="DH146" s="120">
        <f ca="1">IF(OR(Tbl_ResidentData[[#This Row],[S20]]=TRUE,Tbl_ResidentData[[#This Row],[P20]]=TRUE),1,0)</f>
        <v>0</v>
      </c>
      <c r="DI146" s="120">
        <f ca="1">IF(OR(Tbl_ResidentData[[#This Row],[S21]]=TRUE,Tbl_ResidentData[[#This Row],[P21]]=TRUE),1,0)</f>
        <v>0</v>
      </c>
      <c r="DJ146" s="120">
        <f ca="1">IF(OR(Tbl_ResidentData[[#This Row],[S22]]=TRUE,Tbl_ResidentData[[#This Row],[P22]]=TRUE),1,0)</f>
        <v>0</v>
      </c>
      <c r="DK146" s="120">
        <f ca="1">IF(OR(Tbl_ResidentData[[#This Row],[S23]]=TRUE,Tbl_ResidentData[[#This Row],[P23]]=TRUE),1,0)</f>
        <v>0</v>
      </c>
      <c r="DL146" s="120">
        <f ca="1">IF(OR(Tbl_ResidentData[[#This Row],[S24]]=TRUE,Tbl_ResidentData[[#This Row],[P24]]=TRUE),1,0)</f>
        <v>0</v>
      </c>
      <c r="DM146" s="123" t="str">
        <f ca="1">IFERROR(INDEX($CO$4:$DL$4,MATCH(TRUE,INDEX((Tbl_ResidentData[[#This Row],[Over1]:[Over24]]&lt;&gt;0),0),0)),"")</f>
        <v/>
      </c>
      <c r="DN146" s="133" t="str">
        <f>IFERROR(INDEX(Tbl_PDSAData[Last DRT],MATCH(Tbl_ResidentData[Resident Name '[last, first']],Tbl_PDSAData[Resident Name (last, first)],0)),"")</f>
        <v/>
      </c>
      <c r="DO146" s="222" t="str">
        <f>IFERROR(INDEX(Tbl_PDSAData[Last MR],MATCH(Tbl_ResidentData[Resident Name '[last, first']],Tbl_PDSAData[Resident Name (last, first)],0)),"")</f>
        <v/>
      </c>
    </row>
    <row r="147" spans="1:119" x14ac:dyDescent="0.25">
      <c r="A147" s="179"/>
      <c r="B147" s="180"/>
      <c r="C147" s="180"/>
      <c r="D147" s="218"/>
      <c r="E147" s="179"/>
      <c r="F147" s="179"/>
      <c r="G147" s="181"/>
      <c r="H147" s="182"/>
      <c r="I147" s="185"/>
      <c r="J147" s="387"/>
      <c r="K147" s="178"/>
      <c r="L147" s="388"/>
      <c r="M147" s="185"/>
      <c r="N147" s="386"/>
      <c r="O147" s="178"/>
      <c r="P147" s="388"/>
      <c r="Q147" s="395"/>
      <c r="R147" s="396"/>
      <c r="S147" s="131" t="str">
        <f>IF(ISBLANK(Tbl_ResidentData[[#This Row],[Discharge '[mmm-yyyy']]]),IF(ISBLANK(Tbl_ResidentData[[#This Row],[Enrollment '[mmm-yyyy']]]),"","In Care Home"),"Discharged")</f>
        <v/>
      </c>
      <c r="T147" s="119" t="str">
        <f>IF(ISBLANK(Tbl_ResidentData[[#This Row],[Diagnosis (RAI)]]),IF(ISBLANK(Tbl_ResidentData[[#This Row],[Resident Name '[last, first']]]),"",0),IF(Tbl_ResidentData[[#This Row],[Diagnosis (RAI)]]="Other (see clinical notes)",0,1))</f>
        <v/>
      </c>
      <c r="U147" s="120" t="str">
        <f ca="1">IF(U$4&gt;NOW(),"-",IF(ISBLANK(Tbl_ResidentData[[#This Row],[Enrollment '[mmm-yyyy']]]),"-",AND((Tbl_ResidentData[[#This Row],[Enrollment '[mmm-yyyy']]]&lt;=U$4),IF(ISBLANK(Tbl_ResidentData[[#This Row],[Discharge '[mmm-yyyy']]]),TRUE,(Tbl_ResidentData[[#This Row],[Discharge '[mmm-yyyy']]]&gt;=U$4)))))</f>
        <v>-</v>
      </c>
      <c r="V147" s="121" t="str">
        <f ca="1">IF(V$4&gt;NOW(),"-",IF(ISBLANK(Tbl_ResidentData[[#This Row],[Enrollment '[mmm-yyyy']]]),"-",AND((Tbl_ResidentData[[#This Row],[Enrollment '[mmm-yyyy']]]&lt;=V$4),IF(ISBLANK(Tbl_ResidentData[[#This Row],[Discharge '[mmm-yyyy']]]),TRUE,(Tbl_ResidentData[[#This Row],[Discharge '[mmm-yyyy']]]&gt;=V$4)))))</f>
        <v>-</v>
      </c>
      <c r="W147" s="121" t="str">
        <f ca="1">IF(W$4&gt;NOW(),"-",IF(ISBLANK(Tbl_ResidentData[[#This Row],[Enrollment '[mmm-yyyy']]]),"-",AND((Tbl_ResidentData[[#This Row],[Enrollment '[mmm-yyyy']]]&lt;=W$4),IF(ISBLANK(Tbl_ResidentData[[#This Row],[Discharge '[mmm-yyyy']]]),TRUE,(Tbl_ResidentData[[#This Row],[Discharge '[mmm-yyyy']]]&gt;=W$4)))))</f>
        <v>-</v>
      </c>
      <c r="X147" s="121" t="str">
        <f ca="1">IF(X$4&gt;NOW(),"-",IF(ISBLANK(Tbl_ResidentData[[#This Row],[Enrollment '[mmm-yyyy']]]),"-",AND((Tbl_ResidentData[[#This Row],[Enrollment '[mmm-yyyy']]]&lt;=X$4),IF(ISBLANK(Tbl_ResidentData[[#This Row],[Discharge '[mmm-yyyy']]]),TRUE,(Tbl_ResidentData[[#This Row],[Discharge '[mmm-yyyy']]]&gt;=X$4)))))</f>
        <v>-</v>
      </c>
      <c r="Y147" s="121" t="str">
        <f ca="1">IF(Y$4&gt;NOW(),"-",IF(ISBLANK(Tbl_ResidentData[[#This Row],[Enrollment '[mmm-yyyy']]]),"-",AND((Tbl_ResidentData[[#This Row],[Enrollment '[mmm-yyyy']]]&lt;=Y$4),IF(ISBLANK(Tbl_ResidentData[[#This Row],[Discharge '[mmm-yyyy']]]),TRUE,(Tbl_ResidentData[[#This Row],[Discharge '[mmm-yyyy']]]&gt;=Y$4)))))</f>
        <v>-</v>
      </c>
      <c r="Z147" s="121" t="str">
        <f ca="1">IF(Z$4&gt;NOW(),"-",IF(ISBLANK(Tbl_ResidentData[[#This Row],[Enrollment '[mmm-yyyy']]]),"-",AND((Tbl_ResidentData[[#This Row],[Enrollment '[mmm-yyyy']]]&lt;=Z$4),IF(ISBLANK(Tbl_ResidentData[[#This Row],[Discharge '[mmm-yyyy']]]),TRUE,(Tbl_ResidentData[[#This Row],[Discharge '[mmm-yyyy']]]&gt;=Z$4)))))</f>
        <v>-</v>
      </c>
      <c r="AA147" s="121" t="str">
        <f ca="1">IF(AA$4&gt;NOW(),"-",IF(ISBLANK(Tbl_ResidentData[[#This Row],[Enrollment '[mmm-yyyy']]]),"-",AND((Tbl_ResidentData[[#This Row],[Enrollment '[mmm-yyyy']]]&lt;=AA$4),IF(ISBLANK(Tbl_ResidentData[[#This Row],[Discharge '[mmm-yyyy']]]),TRUE,(Tbl_ResidentData[[#This Row],[Discharge '[mmm-yyyy']]]&gt;=AA$4)))))</f>
        <v>-</v>
      </c>
      <c r="AB147" s="121" t="str">
        <f ca="1">IF(AB$4&gt;NOW(),"-",IF(ISBLANK(Tbl_ResidentData[[#This Row],[Enrollment '[mmm-yyyy']]]),"-",AND((Tbl_ResidentData[[#This Row],[Enrollment '[mmm-yyyy']]]&lt;=AB$4),IF(ISBLANK(Tbl_ResidentData[[#This Row],[Discharge '[mmm-yyyy']]]),TRUE,(Tbl_ResidentData[[#This Row],[Discharge '[mmm-yyyy']]]&gt;=AB$4)))))</f>
        <v>-</v>
      </c>
      <c r="AC147" s="121" t="str">
        <f ca="1">IF(AC$4&gt;NOW(),"-",IF(ISBLANK(Tbl_ResidentData[[#This Row],[Enrollment '[mmm-yyyy']]]),"-",AND((Tbl_ResidentData[[#This Row],[Enrollment '[mmm-yyyy']]]&lt;=AC$4),IF(ISBLANK(Tbl_ResidentData[[#This Row],[Discharge '[mmm-yyyy']]]),TRUE,(Tbl_ResidentData[[#This Row],[Discharge '[mmm-yyyy']]]&gt;=AC$4)))))</f>
        <v>-</v>
      </c>
      <c r="AD147" s="121" t="str">
        <f ca="1">IF(AD$4&gt;NOW(),"-",IF(ISBLANK(Tbl_ResidentData[[#This Row],[Enrollment '[mmm-yyyy']]]),"-",AND((Tbl_ResidentData[[#This Row],[Enrollment '[mmm-yyyy']]]&lt;=AD$4),IF(ISBLANK(Tbl_ResidentData[[#This Row],[Discharge '[mmm-yyyy']]]),TRUE,(Tbl_ResidentData[[#This Row],[Discharge '[mmm-yyyy']]]&gt;=AD$4)))))</f>
        <v>-</v>
      </c>
      <c r="AE147" s="121" t="str">
        <f ca="1">IF(AE$4&gt;NOW(),"-",IF(ISBLANK(Tbl_ResidentData[[#This Row],[Enrollment '[mmm-yyyy']]]),"-",AND((Tbl_ResidentData[[#This Row],[Enrollment '[mmm-yyyy']]]&lt;=AE$4),IF(ISBLANK(Tbl_ResidentData[[#This Row],[Discharge '[mmm-yyyy']]]),TRUE,(Tbl_ResidentData[[#This Row],[Discharge '[mmm-yyyy']]]&gt;=AE$4)))))</f>
        <v>-</v>
      </c>
      <c r="AF147" s="121" t="str">
        <f ca="1">IF(AF$4&gt;NOW(),"-",IF(ISBLANK(Tbl_ResidentData[[#This Row],[Enrollment '[mmm-yyyy']]]),"-",AND((Tbl_ResidentData[[#This Row],[Enrollment '[mmm-yyyy']]]&lt;=AF$4),IF(ISBLANK(Tbl_ResidentData[[#This Row],[Discharge '[mmm-yyyy']]]),TRUE,(Tbl_ResidentData[[#This Row],[Discharge '[mmm-yyyy']]]&gt;=AF$4)))))</f>
        <v>-</v>
      </c>
      <c r="AG147" s="121" t="str">
        <f ca="1">IF(AG$4&gt;NOW(),"-",IF(ISBLANK(Tbl_ResidentData[[#This Row],[Enrollment '[mmm-yyyy']]]),"-",AND((Tbl_ResidentData[[#This Row],[Enrollment '[mmm-yyyy']]]&lt;=AG$4),IF(ISBLANK(Tbl_ResidentData[[#This Row],[Discharge '[mmm-yyyy']]]),TRUE,(Tbl_ResidentData[[#This Row],[Discharge '[mmm-yyyy']]]&gt;=AG$4)))))</f>
        <v>-</v>
      </c>
      <c r="AH147" s="121" t="str">
        <f ca="1">IF(AH$4&gt;NOW(),"-",IF(ISBLANK(Tbl_ResidentData[[#This Row],[Enrollment '[mmm-yyyy']]]),"-",AND((Tbl_ResidentData[[#This Row],[Enrollment '[mmm-yyyy']]]&lt;=AH$4),IF(ISBLANK(Tbl_ResidentData[[#This Row],[Discharge '[mmm-yyyy']]]),TRUE,(Tbl_ResidentData[[#This Row],[Discharge '[mmm-yyyy']]]&gt;=AH$4)))))</f>
        <v>-</v>
      </c>
      <c r="AI147" s="121" t="str">
        <f ca="1">IF(AI$4&gt;NOW(),"-",IF(ISBLANK(Tbl_ResidentData[[#This Row],[Enrollment '[mmm-yyyy']]]),"-",AND((Tbl_ResidentData[[#This Row],[Enrollment '[mmm-yyyy']]]&lt;=AI$4),IF(ISBLANK(Tbl_ResidentData[[#This Row],[Discharge '[mmm-yyyy']]]),TRUE,(Tbl_ResidentData[[#This Row],[Discharge '[mmm-yyyy']]]&gt;=AI$4)))))</f>
        <v>-</v>
      </c>
      <c r="AJ147" s="121" t="str">
        <f ca="1">IF(AJ$4&gt;NOW(),"-",IF(ISBLANK(Tbl_ResidentData[[#This Row],[Enrollment '[mmm-yyyy']]]),"-",AND((Tbl_ResidentData[[#This Row],[Enrollment '[mmm-yyyy']]]&lt;=AJ$4),IF(ISBLANK(Tbl_ResidentData[[#This Row],[Discharge '[mmm-yyyy']]]),TRUE,(Tbl_ResidentData[[#This Row],[Discharge '[mmm-yyyy']]]&gt;=AJ$4)))))</f>
        <v>-</v>
      </c>
      <c r="AK147" s="121" t="str">
        <f ca="1">IF(AK$4&gt;NOW(),"-",IF(ISBLANK(Tbl_ResidentData[[#This Row],[Enrollment '[mmm-yyyy']]]),"-",AND((Tbl_ResidentData[[#This Row],[Enrollment '[mmm-yyyy']]]&lt;=AK$4),IF(ISBLANK(Tbl_ResidentData[[#This Row],[Discharge '[mmm-yyyy']]]),TRUE,(Tbl_ResidentData[[#This Row],[Discharge '[mmm-yyyy']]]&gt;=AK$4)))))</f>
        <v>-</v>
      </c>
      <c r="AL147" s="121" t="str">
        <f ca="1">IF(AL$4&gt;NOW(),"-",IF(ISBLANK(Tbl_ResidentData[[#This Row],[Enrollment '[mmm-yyyy']]]),"-",AND((Tbl_ResidentData[[#This Row],[Enrollment '[mmm-yyyy']]]&lt;=AL$4),IF(ISBLANK(Tbl_ResidentData[[#This Row],[Discharge '[mmm-yyyy']]]),TRUE,(Tbl_ResidentData[[#This Row],[Discharge '[mmm-yyyy']]]&gt;=AL$4)))))</f>
        <v>-</v>
      </c>
      <c r="AM147" s="121" t="str">
        <f ca="1">IF(AM$4&gt;NOW(),"-",IF(ISBLANK(Tbl_ResidentData[[#This Row],[Enrollment '[mmm-yyyy']]]),"-",AND((Tbl_ResidentData[[#This Row],[Enrollment '[mmm-yyyy']]]&lt;=AM$4),IF(ISBLANK(Tbl_ResidentData[[#This Row],[Discharge '[mmm-yyyy']]]),TRUE,(Tbl_ResidentData[[#This Row],[Discharge '[mmm-yyyy']]]&gt;=AM$4)))))</f>
        <v>-</v>
      </c>
      <c r="AN147" s="121" t="str">
        <f ca="1">IF(AN$4&gt;NOW(),"-",IF(ISBLANK(Tbl_ResidentData[[#This Row],[Enrollment '[mmm-yyyy']]]),"-",AND((Tbl_ResidentData[[#This Row],[Enrollment '[mmm-yyyy']]]&lt;=AN$4),IF(ISBLANK(Tbl_ResidentData[[#This Row],[Discharge '[mmm-yyyy']]]),TRUE,(Tbl_ResidentData[[#This Row],[Discharge '[mmm-yyyy']]]&gt;=AN$4)))))</f>
        <v>-</v>
      </c>
      <c r="AO147" s="121" t="str">
        <f ca="1">IF(AO$4&gt;NOW(),"-",IF(ISBLANK(Tbl_ResidentData[[#This Row],[Enrollment '[mmm-yyyy']]]),"-",AND((Tbl_ResidentData[[#This Row],[Enrollment '[mmm-yyyy']]]&lt;=AO$4),IF(ISBLANK(Tbl_ResidentData[[#This Row],[Discharge '[mmm-yyyy']]]),TRUE,(Tbl_ResidentData[[#This Row],[Discharge '[mmm-yyyy']]]&gt;=AO$4)))))</f>
        <v>-</v>
      </c>
      <c r="AP147" s="121" t="str">
        <f ca="1">IF(AP$4&gt;NOW(),"-",IF(ISBLANK(Tbl_ResidentData[[#This Row],[Enrollment '[mmm-yyyy']]]),"-",AND((Tbl_ResidentData[[#This Row],[Enrollment '[mmm-yyyy']]]&lt;=AP$4),IF(ISBLANK(Tbl_ResidentData[[#This Row],[Discharge '[mmm-yyyy']]]),TRUE,(Tbl_ResidentData[[#This Row],[Discharge '[mmm-yyyy']]]&gt;=AP$4)))))</f>
        <v>-</v>
      </c>
      <c r="AQ147" s="121" t="str">
        <f ca="1">IF(AQ$4&gt;NOW(),"-",IF(ISBLANK(Tbl_ResidentData[[#This Row],[Enrollment '[mmm-yyyy']]]),"-",AND((Tbl_ResidentData[[#This Row],[Enrollment '[mmm-yyyy']]]&lt;=AQ$4),IF(ISBLANK(Tbl_ResidentData[[#This Row],[Discharge '[mmm-yyyy']]]),TRUE,(Tbl_ResidentData[[#This Row],[Discharge '[mmm-yyyy']]]&gt;=AQ$4)))))</f>
        <v>-</v>
      </c>
      <c r="AR147" s="122" t="str">
        <f ca="1">IF(AR$4&gt;NOW(),"-",IF(ISBLANK(Tbl_ResidentData[[#This Row],[Enrollment '[mmm-yyyy']]]),"-",AND((Tbl_ResidentData[[#This Row],[Enrollment '[mmm-yyyy']]]&lt;=AR$4),IF(ISBLANK(Tbl_ResidentData[[#This Row],[Discharge '[mmm-yyyy']]]),TRUE,(Tbl_ResidentData[[#This Row],[Discharge '[mmm-yyyy']]]&gt;=AR$4)))))</f>
        <v>-</v>
      </c>
      <c r="AS14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7" s="120" t="b">
        <f ca="1">AND(Tbl_ResidentData[[#This Row],[PRN Med Started]]&lt;&gt;"",Tbl_ResidentData[[#This Row],[PRN Med Started]]&lt;=NOW(),Tbl_ResidentData[[#This Row],[PRN Med Started]]&lt;=AS$4,OR(Tbl_ResidentData[[#This Row],[PRN Med Discontinued]]&gt;AS$4,ISBLANK(Tbl_ResidentData[[#This Row],[PRN Med Discontinued]])))</f>
        <v>0</v>
      </c>
      <c r="BR147" s="121" t="b">
        <f ca="1">AND(Tbl_ResidentData[[#This Row],[PRN Med Started]]&lt;&gt;"",Tbl_ResidentData[[#This Row],[PRN Med Started]]&lt;=NOW(),Tbl_ResidentData[[#This Row],[PRN Med Started]]&lt;=AT$4,OR(Tbl_ResidentData[[#This Row],[PRN Med Discontinued]]&gt;AT$4,ISBLANK(Tbl_ResidentData[[#This Row],[PRN Med Discontinued]])))</f>
        <v>0</v>
      </c>
      <c r="BS147" s="121" t="b">
        <f ca="1">AND(Tbl_ResidentData[[#This Row],[PRN Med Started]]&lt;&gt;"",Tbl_ResidentData[[#This Row],[PRN Med Started]]&lt;=NOW(),Tbl_ResidentData[[#This Row],[PRN Med Started]]&lt;=AU$4,OR(Tbl_ResidentData[[#This Row],[PRN Med Discontinued]]&gt;AU$4,ISBLANK(Tbl_ResidentData[[#This Row],[PRN Med Discontinued]])))</f>
        <v>0</v>
      </c>
      <c r="BT147" s="121" t="b">
        <f ca="1">AND(Tbl_ResidentData[[#This Row],[PRN Med Started]]&lt;&gt;"",Tbl_ResidentData[[#This Row],[PRN Med Started]]&lt;=NOW(),Tbl_ResidentData[[#This Row],[PRN Med Started]]&lt;=AV$4,OR(Tbl_ResidentData[[#This Row],[PRN Med Discontinued]]&gt;AV$4,ISBLANK(Tbl_ResidentData[[#This Row],[PRN Med Discontinued]])))</f>
        <v>0</v>
      </c>
      <c r="BU147" s="121" t="b">
        <f ca="1">AND(Tbl_ResidentData[[#This Row],[PRN Med Started]]&lt;&gt;"",Tbl_ResidentData[[#This Row],[PRN Med Started]]&lt;=NOW(),Tbl_ResidentData[[#This Row],[PRN Med Started]]&lt;=AW$4,OR(Tbl_ResidentData[[#This Row],[PRN Med Discontinued]]&gt;AW$4,ISBLANK(Tbl_ResidentData[[#This Row],[PRN Med Discontinued]])))</f>
        <v>0</v>
      </c>
      <c r="BV147" s="121" t="b">
        <f ca="1">AND(Tbl_ResidentData[[#This Row],[PRN Med Started]]&lt;&gt;"",Tbl_ResidentData[[#This Row],[PRN Med Started]]&lt;=NOW(),Tbl_ResidentData[[#This Row],[PRN Med Started]]&lt;=AX$4,OR(Tbl_ResidentData[[#This Row],[PRN Med Discontinued]]&gt;AX$4,ISBLANK(Tbl_ResidentData[[#This Row],[PRN Med Discontinued]])))</f>
        <v>0</v>
      </c>
      <c r="BW147" s="121" t="b">
        <f ca="1">AND(Tbl_ResidentData[[#This Row],[PRN Med Started]]&lt;&gt;"",Tbl_ResidentData[[#This Row],[PRN Med Started]]&lt;=NOW(),Tbl_ResidentData[[#This Row],[PRN Med Started]]&lt;=AY$4,OR(Tbl_ResidentData[[#This Row],[PRN Med Discontinued]]&gt;AY$4,ISBLANK(Tbl_ResidentData[[#This Row],[PRN Med Discontinued]])))</f>
        <v>0</v>
      </c>
      <c r="BX147" s="121" t="b">
        <f ca="1">AND(Tbl_ResidentData[[#This Row],[PRN Med Started]]&lt;&gt;"",Tbl_ResidentData[[#This Row],[PRN Med Started]]&lt;=NOW(),Tbl_ResidentData[[#This Row],[PRN Med Started]]&lt;=AZ$4,OR(Tbl_ResidentData[[#This Row],[PRN Med Discontinued]]&gt;AZ$4,ISBLANK(Tbl_ResidentData[[#This Row],[PRN Med Discontinued]])))</f>
        <v>0</v>
      </c>
      <c r="BY147" s="121" t="b">
        <f ca="1">AND(Tbl_ResidentData[[#This Row],[PRN Med Started]]&lt;&gt;"",Tbl_ResidentData[[#This Row],[PRN Med Started]]&lt;=NOW(),Tbl_ResidentData[[#This Row],[PRN Med Started]]&lt;=BA$4,OR(Tbl_ResidentData[[#This Row],[PRN Med Discontinued]]&gt;BA$4,ISBLANK(Tbl_ResidentData[[#This Row],[PRN Med Discontinued]])))</f>
        <v>0</v>
      </c>
      <c r="BZ147" s="121" t="b">
        <f ca="1">AND(Tbl_ResidentData[[#This Row],[PRN Med Started]]&lt;&gt;"",Tbl_ResidentData[[#This Row],[PRN Med Started]]&lt;=NOW(),Tbl_ResidentData[[#This Row],[PRN Med Started]]&lt;=BB$4,OR(Tbl_ResidentData[[#This Row],[PRN Med Discontinued]]&gt;BB$4,ISBLANK(Tbl_ResidentData[[#This Row],[PRN Med Discontinued]])))</f>
        <v>0</v>
      </c>
      <c r="CA147" s="121" t="b">
        <f ca="1">AND(Tbl_ResidentData[[#This Row],[PRN Med Started]]&lt;&gt;"",Tbl_ResidentData[[#This Row],[PRN Med Started]]&lt;=NOW(),Tbl_ResidentData[[#This Row],[PRN Med Started]]&lt;=BC$4,OR(Tbl_ResidentData[[#This Row],[PRN Med Discontinued]]&gt;BC$4,ISBLANK(Tbl_ResidentData[[#This Row],[PRN Med Discontinued]])))</f>
        <v>0</v>
      </c>
      <c r="CB147" s="121" t="b">
        <f ca="1">AND(Tbl_ResidentData[[#This Row],[PRN Med Started]]&lt;&gt;"",Tbl_ResidentData[[#This Row],[PRN Med Started]]&lt;=NOW(),Tbl_ResidentData[[#This Row],[PRN Med Started]]&lt;=BD$4,OR(Tbl_ResidentData[[#This Row],[PRN Med Discontinued]]&gt;BD$4,ISBLANK(Tbl_ResidentData[[#This Row],[PRN Med Discontinued]])))</f>
        <v>0</v>
      </c>
      <c r="CC147" s="121" t="b">
        <f ca="1">AND(Tbl_ResidentData[[#This Row],[PRN Med Started]]&lt;&gt;"",Tbl_ResidentData[[#This Row],[PRN Med Started]]&lt;=NOW(),Tbl_ResidentData[[#This Row],[PRN Med Started]]&lt;=BE$4,OR(Tbl_ResidentData[[#This Row],[PRN Med Discontinued]]&gt;BE$4,ISBLANK(Tbl_ResidentData[[#This Row],[PRN Med Discontinued]])))</f>
        <v>0</v>
      </c>
      <c r="CD147" s="121" t="b">
        <f ca="1">AND(Tbl_ResidentData[[#This Row],[PRN Med Started]]&lt;&gt;"",Tbl_ResidentData[[#This Row],[PRN Med Started]]&lt;=NOW(),Tbl_ResidentData[[#This Row],[PRN Med Started]]&lt;=BF$4,OR(Tbl_ResidentData[[#This Row],[PRN Med Discontinued]]&gt;BF$4,ISBLANK(Tbl_ResidentData[[#This Row],[PRN Med Discontinued]])))</f>
        <v>0</v>
      </c>
      <c r="CE147" s="121" t="b">
        <f ca="1">AND(Tbl_ResidentData[[#This Row],[PRN Med Started]]&lt;&gt;"",Tbl_ResidentData[[#This Row],[PRN Med Started]]&lt;=NOW(),Tbl_ResidentData[[#This Row],[PRN Med Started]]&lt;=BG$4,OR(Tbl_ResidentData[[#This Row],[PRN Med Discontinued]]&gt;BG$4,ISBLANK(Tbl_ResidentData[[#This Row],[PRN Med Discontinued]])))</f>
        <v>0</v>
      </c>
      <c r="CF147" s="121" t="b">
        <f ca="1">AND(Tbl_ResidentData[[#This Row],[PRN Med Started]]&lt;&gt;"",Tbl_ResidentData[[#This Row],[PRN Med Started]]&lt;=NOW(),Tbl_ResidentData[[#This Row],[PRN Med Started]]&lt;=BH$4,OR(Tbl_ResidentData[[#This Row],[PRN Med Discontinued]]&gt;BH$4,ISBLANK(Tbl_ResidentData[[#This Row],[PRN Med Discontinued]])))</f>
        <v>0</v>
      </c>
      <c r="CG147" s="121" t="b">
        <f ca="1">AND(Tbl_ResidentData[[#This Row],[PRN Med Started]]&lt;&gt;"",Tbl_ResidentData[[#This Row],[PRN Med Started]]&lt;=NOW(),Tbl_ResidentData[[#This Row],[PRN Med Started]]&lt;=BI$4,OR(Tbl_ResidentData[[#This Row],[PRN Med Discontinued]]&gt;BI$4,ISBLANK(Tbl_ResidentData[[#This Row],[PRN Med Discontinued]])))</f>
        <v>0</v>
      </c>
      <c r="CH147" s="121" t="b">
        <f ca="1">AND(Tbl_ResidentData[[#This Row],[PRN Med Started]]&lt;&gt;"",Tbl_ResidentData[[#This Row],[PRN Med Started]]&lt;=NOW(),Tbl_ResidentData[[#This Row],[PRN Med Started]]&lt;=BJ$4,OR(Tbl_ResidentData[[#This Row],[PRN Med Discontinued]]&gt;BJ$4,ISBLANK(Tbl_ResidentData[[#This Row],[PRN Med Discontinued]])))</f>
        <v>0</v>
      </c>
      <c r="CI147" s="121" t="b">
        <f ca="1">AND(Tbl_ResidentData[[#This Row],[PRN Med Started]]&lt;&gt;"",Tbl_ResidentData[[#This Row],[PRN Med Started]]&lt;=NOW(),Tbl_ResidentData[[#This Row],[PRN Med Started]]&lt;=BK$4,OR(Tbl_ResidentData[[#This Row],[PRN Med Discontinued]]&gt;BK$4,ISBLANK(Tbl_ResidentData[[#This Row],[PRN Med Discontinued]])))</f>
        <v>0</v>
      </c>
      <c r="CJ147" s="121" t="b">
        <f ca="1">AND(Tbl_ResidentData[[#This Row],[PRN Med Started]]&lt;&gt;"",Tbl_ResidentData[[#This Row],[PRN Med Started]]&lt;=NOW(),Tbl_ResidentData[[#This Row],[PRN Med Started]]&lt;=BL$4,OR(Tbl_ResidentData[[#This Row],[PRN Med Discontinued]]&gt;BL$4,ISBLANK(Tbl_ResidentData[[#This Row],[PRN Med Discontinued]])))</f>
        <v>0</v>
      </c>
      <c r="CK147" s="121" t="b">
        <f ca="1">AND(Tbl_ResidentData[[#This Row],[PRN Med Started]]&lt;&gt;"",Tbl_ResidentData[[#This Row],[PRN Med Started]]&lt;=NOW(),Tbl_ResidentData[[#This Row],[PRN Med Started]]&lt;=BM$4,OR(Tbl_ResidentData[[#This Row],[PRN Med Discontinued]]&gt;BM$4,ISBLANK(Tbl_ResidentData[[#This Row],[PRN Med Discontinued]])))</f>
        <v>0</v>
      </c>
      <c r="CL147" s="121" t="b">
        <f ca="1">AND(Tbl_ResidentData[[#This Row],[PRN Med Started]]&lt;&gt;"",Tbl_ResidentData[[#This Row],[PRN Med Started]]&lt;=NOW(),Tbl_ResidentData[[#This Row],[PRN Med Started]]&lt;=BN$4,OR(Tbl_ResidentData[[#This Row],[PRN Med Discontinued]]&gt;BN$4,ISBLANK(Tbl_ResidentData[[#This Row],[PRN Med Discontinued]])))</f>
        <v>0</v>
      </c>
      <c r="CM147" s="121" t="b">
        <f ca="1">AND(Tbl_ResidentData[[#This Row],[PRN Med Started]]&lt;&gt;"",Tbl_ResidentData[[#This Row],[PRN Med Started]]&lt;=NOW(),Tbl_ResidentData[[#This Row],[PRN Med Started]]&lt;=BO$4,OR(Tbl_ResidentData[[#This Row],[PRN Med Discontinued]]&gt;BO$4,ISBLANK(Tbl_ResidentData[[#This Row],[PRN Med Discontinued]])))</f>
        <v>0</v>
      </c>
      <c r="CN147" s="122" t="b">
        <f ca="1">AND(Tbl_ResidentData[[#This Row],[PRN Med Started]]&lt;&gt;"",Tbl_ResidentData[[#This Row],[PRN Med Started]]&lt;=NOW(),Tbl_ResidentData[[#This Row],[PRN Med Started]]&lt;=BP$4,OR(Tbl_ResidentData[[#This Row],[PRN Med Discontinued]]&gt;BP$4,ISBLANK(Tbl_ResidentData[[#This Row],[PRN Med Discontinued]])))</f>
        <v>0</v>
      </c>
      <c r="CO147" s="120">
        <f ca="1">IF(OR(Tbl_ResidentData[[#This Row],[S1]]=TRUE,Tbl_ResidentData[[#This Row],[P1]]=TRUE),1,0)</f>
        <v>0</v>
      </c>
      <c r="CP147" s="121">
        <f ca="1">IF(OR(Tbl_ResidentData[[#This Row],[S2]]=TRUE,Tbl_ResidentData[[#This Row],[P2]]=TRUE),1,0)</f>
        <v>0</v>
      </c>
      <c r="CQ147" s="121">
        <f ca="1">IF(OR(Tbl_ResidentData[[#This Row],[S3]]=TRUE,Tbl_ResidentData[[#This Row],[P3]]=TRUE),1,0)</f>
        <v>0</v>
      </c>
      <c r="CR147" s="120">
        <f ca="1">IF(OR(Tbl_ResidentData[[#This Row],[S4]]=TRUE,Tbl_ResidentData[[#This Row],[P4]]=TRUE),1,0)</f>
        <v>0</v>
      </c>
      <c r="CS147" s="120">
        <f ca="1">IF(OR(Tbl_ResidentData[[#This Row],[S5]]=TRUE,Tbl_ResidentData[[#This Row],[P5]]=TRUE),1,0)</f>
        <v>0</v>
      </c>
      <c r="CT147" s="120">
        <f ca="1">IF(OR(Tbl_ResidentData[[#This Row],[S6]]=TRUE,Tbl_ResidentData[[#This Row],[P6]]=TRUE),1,0)</f>
        <v>0</v>
      </c>
      <c r="CU147" s="120">
        <f ca="1">IF(OR(Tbl_ResidentData[[#This Row],[S7]]=TRUE,Tbl_ResidentData[[#This Row],[P7]]=TRUE),1,0)</f>
        <v>0</v>
      </c>
      <c r="CV147" s="120">
        <f ca="1">IF(OR(Tbl_ResidentData[[#This Row],[S8]]=TRUE,Tbl_ResidentData[[#This Row],[P8]]=TRUE),1,0)</f>
        <v>0</v>
      </c>
      <c r="CW147" s="120">
        <f ca="1">IF(OR(Tbl_ResidentData[[#This Row],[S9]]=TRUE,Tbl_ResidentData[[#This Row],[P9]]=TRUE),1,0)</f>
        <v>0</v>
      </c>
      <c r="CX147" s="120">
        <f ca="1">IF(OR(Tbl_ResidentData[[#This Row],[S10]]=TRUE,Tbl_ResidentData[[#This Row],[P10]]=TRUE),1,0)</f>
        <v>0</v>
      </c>
      <c r="CY147" s="120">
        <f ca="1">IF(OR(Tbl_ResidentData[[#This Row],[S11]]=TRUE,Tbl_ResidentData[[#This Row],[P11]]=TRUE),1,0)</f>
        <v>0</v>
      </c>
      <c r="CZ147" s="120">
        <f ca="1">IF(OR(Tbl_ResidentData[[#This Row],[S12]]=TRUE,Tbl_ResidentData[[#This Row],[P12]]=TRUE),1,0)</f>
        <v>0</v>
      </c>
      <c r="DA147" s="120">
        <f ca="1">IF(OR(Tbl_ResidentData[[#This Row],[S13]]=TRUE,Tbl_ResidentData[[#This Row],[P13]]=TRUE),1,0)</f>
        <v>0</v>
      </c>
      <c r="DB147" s="120">
        <f ca="1">IF(OR(Tbl_ResidentData[[#This Row],[S14]]=TRUE,Tbl_ResidentData[[#This Row],[P14]]=TRUE),1,0)</f>
        <v>0</v>
      </c>
      <c r="DC147" s="120">
        <f ca="1">IF(OR(Tbl_ResidentData[[#This Row],[S15]]=TRUE,Tbl_ResidentData[[#This Row],[P15]]=TRUE),1,0)</f>
        <v>0</v>
      </c>
      <c r="DD147" s="120">
        <f ca="1">IF(OR(Tbl_ResidentData[[#This Row],[S16]]=TRUE,Tbl_ResidentData[[#This Row],[P16]]=TRUE),1,0)</f>
        <v>0</v>
      </c>
      <c r="DE147" s="120">
        <f ca="1">IF(OR(Tbl_ResidentData[[#This Row],[S17]]=TRUE,Tbl_ResidentData[[#This Row],[P17]]=TRUE),1,0)</f>
        <v>0</v>
      </c>
      <c r="DF147" s="120">
        <f ca="1">IF(OR(Tbl_ResidentData[[#This Row],[S18]]=TRUE,Tbl_ResidentData[[#This Row],[P18]]=TRUE),1,0)</f>
        <v>0</v>
      </c>
      <c r="DG147" s="120">
        <f ca="1">IF(OR(Tbl_ResidentData[[#This Row],[S19]]=TRUE,Tbl_ResidentData[[#This Row],[P19]]=TRUE),1,0)</f>
        <v>0</v>
      </c>
      <c r="DH147" s="120">
        <f ca="1">IF(OR(Tbl_ResidentData[[#This Row],[S20]]=TRUE,Tbl_ResidentData[[#This Row],[P20]]=TRUE),1,0)</f>
        <v>0</v>
      </c>
      <c r="DI147" s="120">
        <f ca="1">IF(OR(Tbl_ResidentData[[#This Row],[S21]]=TRUE,Tbl_ResidentData[[#This Row],[P21]]=TRUE),1,0)</f>
        <v>0</v>
      </c>
      <c r="DJ147" s="120">
        <f ca="1">IF(OR(Tbl_ResidentData[[#This Row],[S22]]=TRUE,Tbl_ResidentData[[#This Row],[P22]]=TRUE),1,0)</f>
        <v>0</v>
      </c>
      <c r="DK147" s="120">
        <f ca="1">IF(OR(Tbl_ResidentData[[#This Row],[S23]]=TRUE,Tbl_ResidentData[[#This Row],[P23]]=TRUE),1,0)</f>
        <v>0</v>
      </c>
      <c r="DL147" s="120">
        <f ca="1">IF(OR(Tbl_ResidentData[[#This Row],[S24]]=TRUE,Tbl_ResidentData[[#This Row],[P24]]=TRUE),1,0)</f>
        <v>0</v>
      </c>
      <c r="DM147" s="123" t="str">
        <f ca="1">IFERROR(INDEX($CO$4:$DL$4,MATCH(TRUE,INDEX((Tbl_ResidentData[[#This Row],[Over1]:[Over24]]&lt;&gt;0),0),0)),"")</f>
        <v/>
      </c>
      <c r="DN147" s="133" t="str">
        <f>IFERROR(INDEX(Tbl_PDSAData[Last DRT],MATCH(Tbl_ResidentData[Resident Name '[last, first']],Tbl_PDSAData[Resident Name (last, first)],0)),"")</f>
        <v/>
      </c>
      <c r="DO147" s="222" t="str">
        <f>IFERROR(INDEX(Tbl_PDSAData[Last MR],MATCH(Tbl_ResidentData[Resident Name '[last, first']],Tbl_PDSAData[Resident Name (last, first)],0)),"")</f>
        <v/>
      </c>
    </row>
    <row r="148" spans="1:119" x14ac:dyDescent="0.25">
      <c r="A148" s="179"/>
      <c r="B148" s="180"/>
      <c r="C148" s="180"/>
      <c r="D148" s="218"/>
      <c r="E148" s="179"/>
      <c r="F148" s="179"/>
      <c r="G148" s="181"/>
      <c r="H148" s="375"/>
      <c r="I148" s="185"/>
      <c r="J148" s="387"/>
      <c r="K148" s="178"/>
      <c r="L148" s="388"/>
      <c r="M148" s="185"/>
      <c r="N148" s="386"/>
      <c r="O148" s="178"/>
      <c r="P148" s="388"/>
      <c r="Q148" s="394"/>
      <c r="R148" s="388"/>
      <c r="S148" s="131" t="str">
        <f>IF(ISBLANK(Tbl_ResidentData[[#This Row],[Discharge '[mmm-yyyy']]]),IF(ISBLANK(Tbl_ResidentData[[#This Row],[Enrollment '[mmm-yyyy']]]),"","In Care Home"),"Discharged")</f>
        <v/>
      </c>
      <c r="T148" s="119" t="str">
        <f>IF(ISBLANK(Tbl_ResidentData[[#This Row],[Diagnosis (RAI)]]),IF(ISBLANK(Tbl_ResidentData[[#This Row],[Resident Name '[last, first']]]),"",0),IF(Tbl_ResidentData[[#This Row],[Diagnosis (RAI)]]="Other (see clinical notes)",0,1))</f>
        <v/>
      </c>
      <c r="U148" s="120" t="str">
        <f ca="1">IF(U$4&gt;NOW(),"-",IF(ISBLANK(Tbl_ResidentData[[#This Row],[Enrollment '[mmm-yyyy']]]),"-",AND((Tbl_ResidentData[[#This Row],[Enrollment '[mmm-yyyy']]]&lt;=U$4),IF(ISBLANK(Tbl_ResidentData[[#This Row],[Discharge '[mmm-yyyy']]]),TRUE,(Tbl_ResidentData[[#This Row],[Discharge '[mmm-yyyy']]]&gt;=U$4)))))</f>
        <v>-</v>
      </c>
      <c r="V148" s="121" t="str">
        <f ca="1">IF(V$4&gt;NOW(),"-",IF(ISBLANK(Tbl_ResidentData[[#This Row],[Enrollment '[mmm-yyyy']]]),"-",AND((Tbl_ResidentData[[#This Row],[Enrollment '[mmm-yyyy']]]&lt;=V$4),IF(ISBLANK(Tbl_ResidentData[[#This Row],[Discharge '[mmm-yyyy']]]),TRUE,(Tbl_ResidentData[[#This Row],[Discharge '[mmm-yyyy']]]&gt;=V$4)))))</f>
        <v>-</v>
      </c>
      <c r="W148" s="121" t="str">
        <f ca="1">IF(W$4&gt;NOW(),"-",IF(ISBLANK(Tbl_ResidentData[[#This Row],[Enrollment '[mmm-yyyy']]]),"-",AND((Tbl_ResidentData[[#This Row],[Enrollment '[mmm-yyyy']]]&lt;=W$4),IF(ISBLANK(Tbl_ResidentData[[#This Row],[Discharge '[mmm-yyyy']]]),TRUE,(Tbl_ResidentData[[#This Row],[Discharge '[mmm-yyyy']]]&gt;=W$4)))))</f>
        <v>-</v>
      </c>
      <c r="X148" s="121" t="str">
        <f ca="1">IF(X$4&gt;NOW(),"-",IF(ISBLANK(Tbl_ResidentData[[#This Row],[Enrollment '[mmm-yyyy']]]),"-",AND((Tbl_ResidentData[[#This Row],[Enrollment '[mmm-yyyy']]]&lt;=X$4),IF(ISBLANK(Tbl_ResidentData[[#This Row],[Discharge '[mmm-yyyy']]]),TRUE,(Tbl_ResidentData[[#This Row],[Discharge '[mmm-yyyy']]]&gt;=X$4)))))</f>
        <v>-</v>
      </c>
      <c r="Y148" s="121" t="str">
        <f ca="1">IF(Y$4&gt;NOW(),"-",IF(ISBLANK(Tbl_ResidentData[[#This Row],[Enrollment '[mmm-yyyy']]]),"-",AND((Tbl_ResidentData[[#This Row],[Enrollment '[mmm-yyyy']]]&lt;=Y$4),IF(ISBLANK(Tbl_ResidentData[[#This Row],[Discharge '[mmm-yyyy']]]),TRUE,(Tbl_ResidentData[[#This Row],[Discharge '[mmm-yyyy']]]&gt;=Y$4)))))</f>
        <v>-</v>
      </c>
      <c r="Z148" s="121" t="str">
        <f ca="1">IF(Z$4&gt;NOW(),"-",IF(ISBLANK(Tbl_ResidentData[[#This Row],[Enrollment '[mmm-yyyy']]]),"-",AND((Tbl_ResidentData[[#This Row],[Enrollment '[mmm-yyyy']]]&lt;=Z$4),IF(ISBLANK(Tbl_ResidentData[[#This Row],[Discharge '[mmm-yyyy']]]),TRUE,(Tbl_ResidentData[[#This Row],[Discharge '[mmm-yyyy']]]&gt;=Z$4)))))</f>
        <v>-</v>
      </c>
      <c r="AA148" s="121" t="str">
        <f ca="1">IF(AA$4&gt;NOW(),"-",IF(ISBLANK(Tbl_ResidentData[[#This Row],[Enrollment '[mmm-yyyy']]]),"-",AND((Tbl_ResidentData[[#This Row],[Enrollment '[mmm-yyyy']]]&lt;=AA$4),IF(ISBLANK(Tbl_ResidentData[[#This Row],[Discharge '[mmm-yyyy']]]),TRUE,(Tbl_ResidentData[[#This Row],[Discharge '[mmm-yyyy']]]&gt;=AA$4)))))</f>
        <v>-</v>
      </c>
      <c r="AB148" s="121" t="str">
        <f ca="1">IF(AB$4&gt;NOW(),"-",IF(ISBLANK(Tbl_ResidentData[[#This Row],[Enrollment '[mmm-yyyy']]]),"-",AND((Tbl_ResidentData[[#This Row],[Enrollment '[mmm-yyyy']]]&lt;=AB$4),IF(ISBLANK(Tbl_ResidentData[[#This Row],[Discharge '[mmm-yyyy']]]),TRUE,(Tbl_ResidentData[[#This Row],[Discharge '[mmm-yyyy']]]&gt;=AB$4)))))</f>
        <v>-</v>
      </c>
      <c r="AC148" s="121" t="str">
        <f ca="1">IF(AC$4&gt;NOW(),"-",IF(ISBLANK(Tbl_ResidentData[[#This Row],[Enrollment '[mmm-yyyy']]]),"-",AND((Tbl_ResidentData[[#This Row],[Enrollment '[mmm-yyyy']]]&lt;=AC$4),IF(ISBLANK(Tbl_ResidentData[[#This Row],[Discharge '[mmm-yyyy']]]),TRUE,(Tbl_ResidentData[[#This Row],[Discharge '[mmm-yyyy']]]&gt;=AC$4)))))</f>
        <v>-</v>
      </c>
      <c r="AD148" s="121" t="str">
        <f ca="1">IF(AD$4&gt;NOW(),"-",IF(ISBLANK(Tbl_ResidentData[[#This Row],[Enrollment '[mmm-yyyy']]]),"-",AND((Tbl_ResidentData[[#This Row],[Enrollment '[mmm-yyyy']]]&lt;=AD$4),IF(ISBLANK(Tbl_ResidentData[[#This Row],[Discharge '[mmm-yyyy']]]),TRUE,(Tbl_ResidentData[[#This Row],[Discharge '[mmm-yyyy']]]&gt;=AD$4)))))</f>
        <v>-</v>
      </c>
      <c r="AE148" s="121" t="str">
        <f ca="1">IF(AE$4&gt;NOW(),"-",IF(ISBLANK(Tbl_ResidentData[[#This Row],[Enrollment '[mmm-yyyy']]]),"-",AND((Tbl_ResidentData[[#This Row],[Enrollment '[mmm-yyyy']]]&lt;=AE$4),IF(ISBLANK(Tbl_ResidentData[[#This Row],[Discharge '[mmm-yyyy']]]),TRUE,(Tbl_ResidentData[[#This Row],[Discharge '[mmm-yyyy']]]&gt;=AE$4)))))</f>
        <v>-</v>
      </c>
      <c r="AF148" s="121" t="str">
        <f ca="1">IF(AF$4&gt;NOW(),"-",IF(ISBLANK(Tbl_ResidentData[[#This Row],[Enrollment '[mmm-yyyy']]]),"-",AND((Tbl_ResidentData[[#This Row],[Enrollment '[mmm-yyyy']]]&lt;=AF$4),IF(ISBLANK(Tbl_ResidentData[[#This Row],[Discharge '[mmm-yyyy']]]),TRUE,(Tbl_ResidentData[[#This Row],[Discharge '[mmm-yyyy']]]&gt;=AF$4)))))</f>
        <v>-</v>
      </c>
      <c r="AG148" s="121" t="str">
        <f ca="1">IF(AG$4&gt;NOW(),"-",IF(ISBLANK(Tbl_ResidentData[[#This Row],[Enrollment '[mmm-yyyy']]]),"-",AND((Tbl_ResidentData[[#This Row],[Enrollment '[mmm-yyyy']]]&lt;=AG$4),IF(ISBLANK(Tbl_ResidentData[[#This Row],[Discharge '[mmm-yyyy']]]),TRUE,(Tbl_ResidentData[[#This Row],[Discharge '[mmm-yyyy']]]&gt;=AG$4)))))</f>
        <v>-</v>
      </c>
      <c r="AH148" s="121" t="str">
        <f ca="1">IF(AH$4&gt;NOW(),"-",IF(ISBLANK(Tbl_ResidentData[[#This Row],[Enrollment '[mmm-yyyy']]]),"-",AND((Tbl_ResidentData[[#This Row],[Enrollment '[mmm-yyyy']]]&lt;=AH$4),IF(ISBLANK(Tbl_ResidentData[[#This Row],[Discharge '[mmm-yyyy']]]),TRUE,(Tbl_ResidentData[[#This Row],[Discharge '[mmm-yyyy']]]&gt;=AH$4)))))</f>
        <v>-</v>
      </c>
      <c r="AI148" s="121" t="str">
        <f ca="1">IF(AI$4&gt;NOW(),"-",IF(ISBLANK(Tbl_ResidentData[[#This Row],[Enrollment '[mmm-yyyy']]]),"-",AND((Tbl_ResidentData[[#This Row],[Enrollment '[mmm-yyyy']]]&lt;=AI$4),IF(ISBLANK(Tbl_ResidentData[[#This Row],[Discharge '[mmm-yyyy']]]),TRUE,(Tbl_ResidentData[[#This Row],[Discharge '[mmm-yyyy']]]&gt;=AI$4)))))</f>
        <v>-</v>
      </c>
      <c r="AJ148" s="121" t="str">
        <f ca="1">IF(AJ$4&gt;NOW(),"-",IF(ISBLANK(Tbl_ResidentData[[#This Row],[Enrollment '[mmm-yyyy']]]),"-",AND((Tbl_ResidentData[[#This Row],[Enrollment '[mmm-yyyy']]]&lt;=AJ$4),IF(ISBLANK(Tbl_ResidentData[[#This Row],[Discharge '[mmm-yyyy']]]),TRUE,(Tbl_ResidentData[[#This Row],[Discharge '[mmm-yyyy']]]&gt;=AJ$4)))))</f>
        <v>-</v>
      </c>
      <c r="AK148" s="121" t="str">
        <f ca="1">IF(AK$4&gt;NOW(),"-",IF(ISBLANK(Tbl_ResidentData[[#This Row],[Enrollment '[mmm-yyyy']]]),"-",AND((Tbl_ResidentData[[#This Row],[Enrollment '[mmm-yyyy']]]&lt;=AK$4),IF(ISBLANK(Tbl_ResidentData[[#This Row],[Discharge '[mmm-yyyy']]]),TRUE,(Tbl_ResidentData[[#This Row],[Discharge '[mmm-yyyy']]]&gt;=AK$4)))))</f>
        <v>-</v>
      </c>
      <c r="AL148" s="121" t="str">
        <f ca="1">IF(AL$4&gt;NOW(),"-",IF(ISBLANK(Tbl_ResidentData[[#This Row],[Enrollment '[mmm-yyyy']]]),"-",AND((Tbl_ResidentData[[#This Row],[Enrollment '[mmm-yyyy']]]&lt;=AL$4),IF(ISBLANK(Tbl_ResidentData[[#This Row],[Discharge '[mmm-yyyy']]]),TRUE,(Tbl_ResidentData[[#This Row],[Discharge '[mmm-yyyy']]]&gt;=AL$4)))))</f>
        <v>-</v>
      </c>
      <c r="AM148" s="121" t="str">
        <f ca="1">IF(AM$4&gt;NOW(),"-",IF(ISBLANK(Tbl_ResidentData[[#This Row],[Enrollment '[mmm-yyyy']]]),"-",AND((Tbl_ResidentData[[#This Row],[Enrollment '[mmm-yyyy']]]&lt;=AM$4),IF(ISBLANK(Tbl_ResidentData[[#This Row],[Discharge '[mmm-yyyy']]]),TRUE,(Tbl_ResidentData[[#This Row],[Discharge '[mmm-yyyy']]]&gt;=AM$4)))))</f>
        <v>-</v>
      </c>
      <c r="AN148" s="121" t="str">
        <f ca="1">IF(AN$4&gt;NOW(),"-",IF(ISBLANK(Tbl_ResidentData[[#This Row],[Enrollment '[mmm-yyyy']]]),"-",AND((Tbl_ResidentData[[#This Row],[Enrollment '[mmm-yyyy']]]&lt;=AN$4),IF(ISBLANK(Tbl_ResidentData[[#This Row],[Discharge '[mmm-yyyy']]]),TRUE,(Tbl_ResidentData[[#This Row],[Discharge '[mmm-yyyy']]]&gt;=AN$4)))))</f>
        <v>-</v>
      </c>
      <c r="AO148" s="121" t="str">
        <f ca="1">IF(AO$4&gt;NOW(),"-",IF(ISBLANK(Tbl_ResidentData[[#This Row],[Enrollment '[mmm-yyyy']]]),"-",AND((Tbl_ResidentData[[#This Row],[Enrollment '[mmm-yyyy']]]&lt;=AO$4),IF(ISBLANK(Tbl_ResidentData[[#This Row],[Discharge '[mmm-yyyy']]]),TRUE,(Tbl_ResidentData[[#This Row],[Discharge '[mmm-yyyy']]]&gt;=AO$4)))))</f>
        <v>-</v>
      </c>
      <c r="AP148" s="121" t="str">
        <f ca="1">IF(AP$4&gt;NOW(),"-",IF(ISBLANK(Tbl_ResidentData[[#This Row],[Enrollment '[mmm-yyyy']]]),"-",AND((Tbl_ResidentData[[#This Row],[Enrollment '[mmm-yyyy']]]&lt;=AP$4),IF(ISBLANK(Tbl_ResidentData[[#This Row],[Discharge '[mmm-yyyy']]]),TRUE,(Tbl_ResidentData[[#This Row],[Discharge '[mmm-yyyy']]]&gt;=AP$4)))))</f>
        <v>-</v>
      </c>
      <c r="AQ148" s="121" t="str">
        <f ca="1">IF(AQ$4&gt;NOW(),"-",IF(ISBLANK(Tbl_ResidentData[[#This Row],[Enrollment '[mmm-yyyy']]]),"-",AND((Tbl_ResidentData[[#This Row],[Enrollment '[mmm-yyyy']]]&lt;=AQ$4),IF(ISBLANK(Tbl_ResidentData[[#This Row],[Discharge '[mmm-yyyy']]]),TRUE,(Tbl_ResidentData[[#This Row],[Discharge '[mmm-yyyy']]]&gt;=AQ$4)))))</f>
        <v>-</v>
      </c>
      <c r="AR148" s="122" t="str">
        <f ca="1">IF(AR$4&gt;NOW(),"-",IF(ISBLANK(Tbl_ResidentData[[#This Row],[Enrollment '[mmm-yyyy']]]),"-",AND((Tbl_ResidentData[[#This Row],[Enrollment '[mmm-yyyy']]]&lt;=AR$4),IF(ISBLANK(Tbl_ResidentData[[#This Row],[Discharge '[mmm-yyyy']]]),TRUE,(Tbl_ResidentData[[#This Row],[Discharge '[mmm-yyyy']]]&gt;=AR$4)))))</f>
        <v>-</v>
      </c>
      <c r="AS14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8" s="120" t="b">
        <f ca="1">AND(Tbl_ResidentData[[#This Row],[PRN Med Started]]&lt;&gt;"",Tbl_ResidentData[[#This Row],[PRN Med Started]]&lt;=NOW(),Tbl_ResidentData[[#This Row],[PRN Med Started]]&lt;=AS$4,OR(Tbl_ResidentData[[#This Row],[PRN Med Discontinued]]&gt;AS$4,ISBLANK(Tbl_ResidentData[[#This Row],[PRN Med Discontinued]])))</f>
        <v>0</v>
      </c>
      <c r="BR148" s="121" t="b">
        <f ca="1">AND(Tbl_ResidentData[[#This Row],[PRN Med Started]]&lt;&gt;"",Tbl_ResidentData[[#This Row],[PRN Med Started]]&lt;=NOW(),Tbl_ResidentData[[#This Row],[PRN Med Started]]&lt;=AT$4,OR(Tbl_ResidentData[[#This Row],[PRN Med Discontinued]]&gt;AT$4,ISBLANK(Tbl_ResidentData[[#This Row],[PRN Med Discontinued]])))</f>
        <v>0</v>
      </c>
      <c r="BS148" s="121" t="b">
        <f ca="1">AND(Tbl_ResidentData[[#This Row],[PRN Med Started]]&lt;&gt;"",Tbl_ResidentData[[#This Row],[PRN Med Started]]&lt;=NOW(),Tbl_ResidentData[[#This Row],[PRN Med Started]]&lt;=AU$4,OR(Tbl_ResidentData[[#This Row],[PRN Med Discontinued]]&gt;AU$4,ISBLANK(Tbl_ResidentData[[#This Row],[PRN Med Discontinued]])))</f>
        <v>0</v>
      </c>
      <c r="BT148" s="121" t="b">
        <f ca="1">AND(Tbl_ResidentData[[#This Row],[PRN Med Started]]&lt;&gt;"",Tbl_ResidentData[[#This Row],[PRN Med Started]]&lt;=NOW(),Tbl_ResidentData[[#This Row],[PRN Med Started]]&lt;=AV$4,OR(Tbl_ResidentData[[#This Row],[PRN Med Discontinued]]&gt;AV$4,ISBLANK(Tbl_ResidentData[[#This Row],[PRN Med Discontinued]])))</f>
        <v>0</v>
      </c>
      <c r="BU148" s="121" t="b">
        <f ca="1">AND(Tbl_ResidentData[[#This Row],[PRN Med Started]]&lt;&gt;"",Tbl_ResidentData[[#This Row],[PRN Med Started]]&lt;=NOW(),Tbl_ResidentData[[#This Row],[PRN Med Started]]&lt;=AW$4,OR(Tbl_ResidentData[[#This Row],[PRN Med Discontinued]]&gt;AW$4,ISBLANK(Tbl_ResidentData[[#This Row],[PRN Med Discontinued]])))</f>
        <v>0</v>
      </c>
      <c r="BV148" s="121" t="b">
        <f ca="1">AND(Tbl_ResidentData[[#This Row],[PRN Med Started]]&lt;&gt;"",Tbl_ResidentData[[#This Row],[PRN Med Started]]&lt;=NOW(),Tbl_ResidentData[[#This Row],[PRN Med Started]]&lt;=AX$4,OR(Tbl_ResidentData[[#This Row],[PRN Med Discontinued]]&gt;AX$4,ISBLANK(Tbl_ResidentData[[#This Row],[PRN Med Discontinued]])))</f>
        <v>0</v>
      </c>
      <c r="BW148" s="121" t="b">
        <f ca="1">AND(Tbl_ResidentData[[#This Row],[PRN Med Started]]&lt;&gt;"",Tbl_ResidentData[[#This Row],[PRN Med Started]]&lt;=NOW(),Tbl_ResidentData[[#This Row],[PRN Med Started]]&lt;=AY$4,OR(Tbl_ResidentData[[#This Row],[PRN Med Discontinued]]&gt;AY$4,ISBLANK(Tbl_ResidentData[[#This Row],[PRN Med Discontinued]])))</f>
        <v>0</v>
      </c>
      <c r="BX148" s="121" t="b">
        <f ca="1">AND(Tbl_ResidentData[[#This Row],[PRN Med Started]]&lt;&gt;"",Tbl_ResidentData[[#This Row],[PRN Med Started]]&lt;=NOW(),Tbl_ResidentData[[#This Row],[PRN Med Started]]&lt;=AZ$4,OR(Tbl_ResidentData[[#This Row],[PRN Med Discontinued]]&gt;AZ$4,ISBLANK(Tbl_ResidentData[[#This Row],[PRN Med Discontinued]])))</f>
        <v>0</v>
      </c>
      <c r="BY148" s="121" t="b">
        <f ca="1">AND(Tbl_ResidentData[[#This Row],[PRN Med Started]]&lt;&gt;"",Tbl_ResidentData[[#This Row],[PRN Med Started]]&lt;=NOW(),Tbl_ResidentData[[#This Row],[PRN Med Started]]&lt;=BA$4,OR(Tbl_ResidentData[[#This Row],[PRN Med Discontinued]]&gt;BA$4,ISBLANK(Tbl_ResidentData[[#This Row],[PRN Med Discontinued]])))</f>
        <v>0</v>
      </c>
      <c r="BZ148" s="121" t="b">
        <f ca="1">AND(Tbl_ResidentData[[#This Row],[PRN Med Started]]&lt;&gt;"",Tbl_ResidentData[[#This Row],[PRN Med Started]]&lt;=NOW(),Tbl_ResidentData[[#This Row],[PRN Med Started]]&lt;=BB$4,OR(Tbl_ResidentData[[#This Row],[PRN Med Discontinued]]&gt;BB$4,ISBLANK(Tbl_ResidentData[[#This Row],[PRN Med Discontinued]])))</f>
        <v>0</v>
      </c>
      <c r="CA148" s="121" t="b">
        <f ca="1">AND(Tbl_ResidentData[[#This Row],[PRN Med Started]]&lt;&gt;"",Tbl_ResidentData[[#This Row],[PRN Med Started]]&lt;=NOW(),Tbl_ResidentData[[#This Row],[PRN Med Started]]&lt;=BC$4,OR(Tbl_ResidentData[[#This Row],[PRN Med Discontinued]]&gt;BC$4,ISBLANK(Tbl_ResidentData[[#This Row],[PRN Med Discontinued]])))</f>
        <v>0</v>
      </c>
      <c r="CB148" s="121" t="b">
        <f ca="1">AND(Tbl_ResidentData[[#This Row],[PRN Med Started]]&lt;&gt;"",Tbl_ResidentData[[#This Row],[PRN Med Started]]&lt;=NOW(),Tbl_ResidentData[[#This Row],[PRN Med Started]]&lt;=BD$4,OR(Tbl_ResidentData[[#This Row],[PRN Med Discontinued]]&gt;BD$4,ISBLANK(Tbl_ResidentData[[#This Row],[PRN Med Discontinued]])))</f>
        <v>0</v>
      </c>
      <c r="CC148" s="121" t="b">
        <f ca="1">AND(Tbl_ResidentData[[#This Row],[PRN Med Started]]&lt;&gt;"",Tbl_ResidentData[[#This Row],[PRN Med Started]]&lt;=NOW(),Tbl_ResidentData[[#This Row],[PRN Med Started]]&lt;=BE$4,OR(Tbl_ResidentData[[#This Row],[PRN Med Discontinued]]&gt;BE$4,ISBLANK(Tbl_ResidentData[[#This Row],[PRN Med Discontinued]])))</f>
        <v>0</v>
      </c>
      <c r="CD148" s="121" t="b">
        <f ca="1">AND(Tbl_ResidentData[[#This Row],[PRN Med Started]]&lt;&gt;"",Tbl_ResidentData[[#This Row],[PRN Med Started]]&lt;=NOW(),Tbl_ResidentData[[#This Row],[PRN Med Started]]&lt;=BF$4,OR(Tbl_ResidentData[[#This Row],[PRN Med Discontinued]]&gt;BF$4,ISBLANK(Tbl_ResidentData[[#This Row],[PRN Med Discontinued]])))</f>
        <v>0</v>
      </c>
      <c r="CE148" s="121" t="b">
        <f ca="1">AND(Tbl_ResidentData[[#This Row],[PRN Med Started]]&lt;&gt;"",Tbl_ResidentData[[#This Row],[PRN Med Started]]&lt;=NOW(),Tbl_ResidentData[[#This Row],[PRN Med Started]]&lt;=BG$4,OR(Tbl_ResidentData[[#This Row],[PRN Med Discontinued]]&gt;BG$4,ISBLANK(Tbl_ResidentData[[#This Row],[PRN Med Discontinued]])))</f>
        <v>0</v>
      </c>
      <c r="CF148" s="121" t="b">
        <f ca="1">AND(Tbl_ResidentData[[#This Row],[PRN Med Started]]&lt;&gt;"",Tbl_ResidentData[[#This Row],[PRN Med Started]]&lt;=NOW(),Tbl_ResidentData[[#This Row],[PRN Med Started]]&lt;=BH$4,OR(Tbl_ResidentData[[#This Row],[PRN Med Discontinued]]&gt;BH$4,ISBLANK(Tbl_ResidentData[[#This Row],[PRN Med Discontinued]])))</f>
        <v>0</v>
      </c>
      <c r="CG148" s="121" t="b">
        <f ca="1">AND(Tbl_ResidentData[[#This Row],[PRN Med Started]]&lt;&gt;"",Tbl_ResidentData[[#This Row],[PRN Med Started]]&lt;=NOW(),Tbl_ResidentData[[#This Row],[PRN Med Started]]&lt;=BI$4,OR(Tbl_ResidentData[[#This Row],[PRN Med Discontinued]]&gt;BI$4,ISBLANK(Tbl_ResidentData[[#This Row],[PRN Med Discontinued]])))</f>
        <v>0</v>
      </c>
      <c r="CH148" s="121" t="b">
        <f ca="1">AND(Tbl_ResidentData[[#This Row],[PRN Med Started]]&lt;&gt;"",Tbl_ResidentData[[#This Row],[PRN Med Started]]&lt;=NOW(),Tbl_ResidentData[[#This Row],[PRN Med Started]]&lt;=BJ$4,OR(Tbl_ResidentData[[#This Row],[PRN Med Discontinued]]&gt;BJ$4,ISBLANK(Tbl_ResidentData[[#This Row],[PRN Med Discontinued]])))</f>
        <v>0</v>
      </c>
      <c r="CI148" s="121" t="b">
        <f ca="1">AND(Tbl_ResidentData[[#This Row],[PRN Med Started]]&lt;&gt;"",Tbl_ResidentData[[#This Row],[PRN Med Started]]&lt;=NOW(),Tbl_ResidentData[[#This Row],[PRN Med Started]]&lt;=BK$4,OR(Tbl_ResidentData[[#This Row],[PRN Med Discontinued]]&gt;BK$4,ISBLANK(Tbl_ResidentData[[#This Row],[PRN Med Discontinued]])))</f>
        <v>0</v>
      </c>
      <c r="CJ148" s="121" t="b">
        <f ca="1">AND(Tbl_ResidentData[[#This Row],[PRN Med Started]]&lt;&gt;"",Tbl_ResidentData[[#This Row],[PRN Med Started]]&lt;=NOW(),Tbl_ResidentData[[#This Row],[PRN Med Started]]&lt;=BL$4,OR(Tbl_ResidentData[[#This Row],[PRN Med Discontinued]]&gt;BL$4,ISBLANK(Tbl_ResidentData[[#This Row],[PRN Med Discontinued]])))</f>
        <v>0</v>
      </c>
      <c r="CK148" s="121" t="b">
        <f ca="1">AND(Tbl_ResidentData[[#This Row],[PRN Med Started]]&lt;&gt;"",Tbl_ResidentData[[#This Row],[PRN Med Started]]&lt;=NOW(),Tbl_ResidentData[[#This Row],[PRN Med Started]]&lt;=BM$4,OR(Tbl_ResidentData[[#This Row],[PRN Med Discontinued]]&gt;BM$4,ISBLANK(Tbl_ResidentData[[#This Row],[PRN Med Discontinued]])))</f>
        <v>0</v>
      </c>
      <c r="CL148" s="121" t="b">
        <f ca="1">AND(Tbl_ResidentData[[#This Row],[PRN Med Started]]&lt;&gt;"",Tbl_ResidentData[[#This Row],[PRN Med Started]]&lt;=NOW(),Tbl_ResidentData[[#This Row],[PRN Med Started]]&lt;=BN$4,OR(Tbl_ResidentData[[#This Row],[PRN Med Discontinued]]&gt;BN$4,ISBLANK(Tbl_ResidentData[[#This Row],[PRN Med Discontinued]])))</f>
        <v>0</v>
      </c>
      <c r="CM148" s="121" t="b">
        <f ca="1">AND(Tbl_ResidentData[[#This Row],[PRN Med Started]]&lt;&gt;"",Tbl_ResidentData[[#This Row],[PRN Med Started]]&lt;=NOW(),Tbl_ResidentData[[#This Row],[PRN Med Started]]&lt;=BO$4,OR(Tbl_ResidentData[[#This Row],[PRN Med Discontinued]]&gt;BO$4,ISBLANK(Tbl_ResidentData[[#This Row],[PRN Med Discontinued]])))</f>
        <v>0</v>
      </c>
      <c r="CN148" s="122" t="b">
        <f ca="1">AND(Tbl_ResidentData[[#This Row],[PRN Med Started]]&lt;&gt;"",Tbl_ResidentData[[#This Row],[PRN Med Started]]&lt;=NOW(),Tbl_ResidentData[[#This Row],[PRN Med Started]]&lt;=BP$4,OR(Tbl_ResidentData[[#This Row],[PRN Med Discontinued]]&gt;BP$4,ISBLANK(Tbl_ResidentData[[#This Row],[PRN Med Discontinued]])))</f>
        <v>0</v>
      </c>
      <c r="CO148" s="120">
        <f ca="1">IF(OR(Tbl_ResidentData[[#This Row],[S1]]=TRUE,Tbl_ResidentData[[#This Row],[P1]]=TRUE),1,0)</f>
        <v>0</v>
      </c>
      <c r="CP148" s="121">
        <f ca="1">IF(OR(Tbl_ResidentData[[#This Row],[S2]]=TRUE,Tbl_ResidentData[[#This Row],[P2]]=TRUE),1,0)</f>
        <v>0</v>
      </c>
      <c r="CQ148" s="121">
        <f ca="1">IF(OR(Tbl_ResidentData[[#This Row],[S3]]=TRUE,Tbl_ResidentData[[#This Row],[P3]]=TRUE),1,0)</f>
        <v>0</v>
      </c>
      <c r="CR148" s="120">
        <f ca="1">IF(OR(Tbl_ResidentData[[#This Row],[S4]]=TRUE,Tbl_ResidentData[[#This Row],[P4]]=TRUE),1,0)</f>
        <v>0</v>
      </c>
      <c r="CS148" s="120">
        <f ca="1">IF(OR(Tbl_ResidentData[[#This Row],[S5]]=TRUE,Tbl_ResidentData[[#This Row],[P5]]=TRUE),1,0)</f>
        <v>0</v>
      </c>
      <c r="CT148" s="120">
        <f ca="1">IF(OR(Tbl_ResidentData[[#This Row],[S6]]=TRUE,Tbl_ResidentData[[#This Row],[P6]]=TRUE),1,0)</f>
        <v>0</v>
      </c>
      <c r="CU148" s="120">
        <f ca="1">IF(OR(Tbl_ResidentData[[#This Row],[S7]]=TRUE,Tbl_ResidentData[[#This Row],[P7]]=TRUE),1,0)</f>
        <v>0</v>
      </c>
      <c r="CV148" s="120">
        <f ca="1">IF(OR(Tbl_ResidentData[[#This Row],[S8]]=TRUE,Tbl_ResidentData[[#This Row],[P8]]=TRUE),1,0)</f>
        <v>0</v>
      </c>
      <c r="CW148" s="120">
        <f ca="1">IF(OR(Tbl_ResidentData[[#This Row],[S9]]=TRUE,Tbl_ResidentData[[#This Row],[P9]]=TRUE),1,0)</f>
        <v>0</v>
      </c>
      <c r="CX148" s="120">
        <f ca="1">IF(OR(Tbl_ResidentData[[#This Row],[S10]]=TRUE,Tbl_ResidentData[[#This Row],[P10]]=TRUE),1,0)</f>
        <v>0</v>
      </c>
      <c r="CY148" s="120">
        <f ca="1">IF(OR(Tbl_ResidentData[[#This Row],[S11]]=TRUE,Tbl_ResidentData[[#This Row],[P11]]=TRUE),1,0)</f>
        <v>0</v>
      </c>
      <c r="CZ148" s="120">
        <f ca="1">IF(OR(Tbl_ResidentData[[#This Row],[S12]]=TRUE,Tbl_ResidentData[[#This Row],[P12]]=TRUE),1,0)</f>
        <v>0</v>
      </c>
      <c r="DA148" s="120">
        <f ca="1">IF(OR(Tbl_ResidentData[[#This Row],[S13]]=TRUE,Tbl_ResidentData[[#This Row],[P13]]=TRUE),1,0)</f>
        <v>0</v>
      </c>
      <c r="DB148" s="120">
        <f ca="1">IF(OR(Tbl_ResidentData[[#This Row],[S14]]=TRUE,Tbl_ResidentData[[#This Row],[P14]]=TRUE),1,0)</f>
        <v>0</v>
      </c>
      <c r="DC148" s="120">
        <f ca="1">IF(OR(Tbl_ResidentData[[#This Row],[S15]]=TRUE,Tbl_ResidentData[[#This Row],[P15]]=TRUE),1,0)</f>
        <v>0</v>
      </c>
      <c r="DD148" s="120">
        <f ca="1">IF(OR(Tbl_ResidentData[[#This Row],[S16]]=TRUE,Tbl_ResidentData[[#This Row],[P16]]=TRUE),1,0)</f>
        <v>0</v>
      </c>
      <c r="DE148" s="120">
        <f ca="1">IF(OR(Tbl_ResidentData[[#This Row],[S17]]=TRUE,Tbl_ResidentData[[#This Row],[P17]]=TRUE),1,0)</f>
        <v>0</v>
      </c>
      <c r="DF148" s="120">
        <f ca="1">IF(OR(Tbl_ResidentData[[#This Row],[S18]]=TRUE,Tbl_ResidentData[[#This Row],[P18]]=TRUE),1,0)</f>
        <v>0</v>
      </c>
      <c r="DG148" s="120">
        <f ca="1">IF(OR(Tbl_ResidentData[[#This Row],[S19]]=TRUE,Tbl_ResidentData[[#This Row],[P19]]=TRUE),1,0)</f>
        <v>0</v>
      </c>
      <c r="DH148" s="120">
        <f ca="1">IF(OR(Tbl_ResidentData[[#This Row],[S20]]=TRUE,Tbl_ResidentData[[#This Row],[P20]]=TRUE),1,0)</f>
        <v>0</v>
      </c>
      <c r="DI148" s="120">
        <f ca="1">IF(OR(Tbl_ResidentData[[#This Row],[S21]]=TRUE,Tbl_ResidentData[[#This Row],[P21]]=TRUE),1,0)</f>
        <v>0</v>
      </c>
      <c r="DJ148" s="120">
        <f ca="1">IF(OR(Tbl_ResidentData[[#This Row],[S22]]=TRUE,Tbl_ResidentData[[#This Row],[P22]]=TRUE),1,0)</f>
        <v>0</v>
      </c>
      <c r="DK148" s="120">
        <f ca="1">IF(OR(Tbl_ResidentData[[#This Row],[S23]]=TRUE,Tbl_ResidentData[[#This Row],[P23]]=TRUE),1,0)</f>
        <v>0</v>
      </c>
      <c r="DL148" s="120">
        <f ca="1">IF(OR(Tbl_ResidentData[[#This Row],[S24]]=TRUE,Tbl_ResidentData[[#This Row],[P24]]=TRUE),1,0)</f>
        <v>0</v>
      </c>
      <c r="DM148" s="123" t="str">
        <f ca="1">IFERROR(INDEX($CO$4:$DL$4,MATCH(TRUE,INDEX((Tbl_ResidentData[[#This Row],[Over1]:[Over24]]&lt;&gt;0),0),0)),"")</f>
        <v/>
      </c>
      <c r="DN148" s="133" t="str">
        <f>IFERROR(INDEX(Tbl_PDSAData[Last DRT],MATCH(Tbl_ResidentData[Resident Name '[last, first']],Tbl_PDSAData[Resident Name (last, first)],0)),"")</f>
        <v/>
      </c>
      <c r="DO148" s="222" t="str">
        <f>IFERROR(INDEX(Tbl_PDSAData[Last MR],MATCH(Tbl_ResidentData[Resident Name '[last, first']],Tbl_PDSAData[Resident Name (last, first)],0)),"")</f>
        <v/>
      </c>
    </row>
    <row r="149" spans="1:119" x14ac:dyDescent="0.25">
      <c r="A149" s="179"/>
      <c r="B149" s="180"/>
      <c r="C149" s="180"/>
      <c r="D149" s="217"/>
      <c r="E149" s="179"/>
      <c r="F149" s="179"/>
      <c r="G149" s="181"/>
      <c r="H149" s="375"/>
      <c r="I149" s="185"/>
      <c r="J149" s="387"/>
      <c r="K149" s="178"/>
      <c r="L149" s="388"/>
      <c r="M149" s="185"/>
      <c r="N149" s="386"/>
      <c r="O149" s="178"/>
      <c r="P149" s="388"/>
      <c r="Q149" s="395"/>
      <c r="R149" s="396"/>
      <c r="S149" s="131" t="str">
        <f>IF(ISBLANK(Tbl_ResidentData[[#This Row],[Discharge '[mmm-yyyy']]]),IF(ISBLANK(Tbl_ResidentData[[#This Row],[Enrollment '[mmm-yyyy']]]),"","In Care Home"),"Discharged")</f>
        <v/>
      </c>
      <c r="T149" s="119" t="str">
        <f>IF(ISBLANK(Tbl_ResidentData[[#This Row],[Diagnosis (RAI)]]),IF(ISBLANK(Tbl_ResidentData[[#This Row],[Resident Name '[last, first']]]),"",0),IF(Tbl_ResidentData[[#This Row],[Diagnosis (RAI)]]="Other (see clinical notes)",0,1))</f>
        <v/>
      </c>
      <c r="U149" s="120" t="str">
        <f ca="1">IF(U$4&gt;NOW(),"-",IF(ISBLANK(Tbl_ResidentData[[#This Row],[Enrollment '[mmm-yyyy']]]),"-",AND((Tbl_ResidentData[[#This Row],[Enrollment '[mmm-yyyy']]]&lt;=U$4),IF(ISBLANK(Tbl_ResidentData[[#This Row],[Discharge '[mmm-yyyy']]]),TRUE,(Tbl_ResidentData[[#This Row],[Discharge '[mmm-yyyy']]]&gt;=U$4)))))</f>
        <v>-</v>
      </c>
      <c r="V149" s="121" t="str">
        <f ca="1">IF(V$4&gt;NOW(),"-",IF(ISBLANK(Tbl_ResidentData[[#This Row],[Enrollment '[mmm-yyyy']]]),"-",AND((Tbl_ResidentData[[#This Row],[Enrollment '[mmm-yyyy']]]&lt;=V$4),IF(ISBLANK(Tbl_ResidentData[[#This Row],[Discharge '[mmm-yyyy']]]),TRUE,(Tbl_ResidentData[[#This Row],[Discharge '[mmm-yyyy']]]&gt;=V$4)))))</f>
        <v>-</v>
      </c>
      <c r="W149" s="121" t="str">
        <f ca="1">IF(W$4&gt;NOW(),"-",IF(ISBLANK(Tbl_ResidentData[[#This Row],[Enrollment '[mmm-yyyy']]]),"-",AND((Tbl_ResidentData[[#This Row],[Enrollment '[mmm-yyyy']]]&lt;=W$4),IF(ISBLANK(Tbl_ResidentData[[#This Row],[Discharge '[mmm-yyyy']]]),TRUE,(Tbl_ResidentData[[#This Row],[Discharge '[mmm-yyyy']]]&gt;=W$4)))))</f>
        <v>-</v>
      </c>
      <c r="X149" s="121" t="str">
        <f ca="1">IF(X$4&gt;NOW(),"-",IF(ISBLANK(Tbl_ResidentData[[#This Row],[Enrollment '[mmm-yyyy']]]),"-",AND((Tbl_ResidentData[[#This Row],[Enrollment '[mmm-yyyy']]]&lt;=X$4),IF(ISBLANK(Tbl_ResidentData[[#This Row],[Discharge '[mmm-yyyy']]]),TRUE,(Tbl_ResidentData[[#This Row],[Discharge '[mmm-yyyy']]]&gt;=X$4)))))</f>
        <v>-</v>
      </c>
      <c r="Y149" s="121" t="str">
        <f ca="1">IF(Y$4&gt;NOW(),"-",IF(ISBLANK(Tbl_ResidentData[[#This Row],[Enrollment '[mmm-yyyy']]]),"-",AND((Tbl_ResidentData[[#This Row],[Enrollment '[mmm-yyyy']]]&lt;=Y$4),IF(ISBLANK(Tbl_ResidentData[[#This Row],[Discharge '[mmm-yyyy']]]),TRUE,(Tbl_ResidentData[[#This Row],[Discharge '[mmm-yyyy']]]&gt;=Y$4)))))</f>
        <v>-</v>
      </c>
      <c r="Z149" s="121" t="str">
        <f ca="1">IF(Z$4&gt;NOW(),"-",IF(ISBLANK(Tbl_ResidentData[[#This Row],[Enrollment '[mmm-yyyy']]]),"-",AND((Tbl_ResidentData[[#This Row],[Enrollment '[mmm-yyyy']]]&lt;=Z$4),IF(ISBLANK(Tbl_ResidentData[[#This Row],[Discharge '[mmm-yyyy']]]),TRUE,(Tbl_ResidentData[[#This Row],[Discharge '[mmm-yyyy']]]&gt;=Z$4)))))</f>
        <v>-</v>
      </c>
      <c r="AA149" s="121" t="str">
        <f ca="1">IF(AA$4&gt;NOW(),"-",IF(ISBLANK(Tbl_ResidentData[[#This Row],[Enrollment '[mmm-yyyy']]]),"-",AND((Tbl_ResidentData[[#This Row],[Enrollment '[mmm-yyyy']]]&lt;=AA$4),IF(ISBLANK(Tbl_ResidentData[[#This Row],[Discharge '[mmm-yyyy']]]),TRUE,(Tbl_ResidentData[[#This Row],[Discharge '[mmm-yyyy']]]&gt;=AA$4)))))</f>
        <v>-</v>
      </c>
      <c r="AB149" s="121" t="str">
        <f ca="1">IF(AB$4&gt;NOW(),"-",IF(ISBLANK(Tbl_ResidentData[[#This Row],[Enrollment '[mmm-yyyy']]]),"-",AND((Tbl_ResidentData[[#This Row],[Enrollment '[mmm-yyyy']]]&lt;=AB$4),IF(ISBLANK(Tbl_ResidentData[[#This Row],[Discharge '[mmm-yyyy']]]),TRUE,(Tbl_ResidentData[[#This Row],[Discharge '[mmm-yyyy']]]&gt;=AB$4)))))</f>
        <v>-</v>
      </c>
      <c r="AC149" s="121" t="str">
        <f ca="1">IF(AC$4&gt;NOW(),"-",IF(ISBLANK(Tbl_ResidentData[[#This Row],[Enrollment '[mmm-yyyy']]]),"-",AND((Tbl_ResidentData[[#This Row],[Enrollment '[mmm-yyyy']]]&lt;=AC$4),IF(ISBLANK(Tbl_ResidentData[[#This Row],[Discharge '[mmm-yyyy']]]),TRUE,(Tbl_ResidentData[[#This Row],[Discharge '[mmm-yyyy']]]&gt;=AC$4)))))</f>
        <v>-</v>
      </c>
      <c r="AD149" s="121" t="str">
        <f ca="1">IF(AD$4&gt;NOW(),"-",IF(ISBLANK(Tbl_ResidentData[[#This Row],[Enrollment '[mmm-yyyy']]]),"-",AND((Tbl_ResidentData[[#This Row],[Enrollment '[mmm-yyyy']]]&lt;=AD$4),IF(ISBLANK(Tbl_ResidentData[[#This Row],[Discharge '[mmm-yyyy']]]),TRUE,(Tbl_ResidentData[[#This Row],[Discharge '[mmm-yyyy']]]&gt;=AD$4)))))</f>
        <v>-</v>
      </c>
      <c r="AE149" s="121" t="str">
        <f ca="1">IF(AE$4&gt;NOW(),"-",IF(ISBLANK(Tbl_ResidentData[[#This Row],[Enrollment '[mmm-yyyy']]]),"-",AND((Tbl_ResidentData[[#This Row],[Enrollment '[mmm-yyyy']]]&lt;=AE$4),IF(ISBLANK(Tbl_ResidentData[[#This Row],[Discharge '[mmm-yyyy']]]),TRUE,(Tbl_ResidentData[[#This Row],[Discharge '[mmm-yyyy']]]&gt;=AE$4)))))</f>
        <v>-</v>
      </c>
      <c r="AF149" s="121" t="str">
        <f ca="1">IF(AF$4&gt;NOW(),"-",IF(ISBLANK(Tbl_ResidentData[[#This Row],[Enrollment '[mmm-yyyy']]]),"-",AND((Tbl_ResidentData[[#This Row],[Enrollment '[mmm-yyyy']]]&lt;=AF$4),IF(ISBLANK(Tbl_ResidentData[[#This Row],[Discharge '[mmm-yyyy']]]),TRUE,(Tbl_ResidentData[[#This Row],[Discharge '[mmm-yyyy']]]&gt;=AF$4)))))</f>
        <v>-</v>
      </c>
      <c r="AG149" s="121" t="str">
        <f ca="1">IF(AG$4&gt;NOW(),"-",IF(ISBLANK(Tbl_ResidentData[[#This Row],[Enrollment '[mmm-yyyy']]]),"-",AND((Tbl_ResidentData[[#This Row],[Enrollment '[mmm-yyyy']]]&lt;=AG$4),IF(ISBLANK(Tbl_ResidentData[[#This Row],[Discharge '[mmm-yyyy']]]),TRUE,(Tbl_ResidentData[[#This Row],[Discharge '[mmm-yyyy']]]&gt;=AG$4)))))</f>
        <v>-</v>
      </c>
      <c r="AH149" s="121" t="str">
        <f ca="1">IF(AH$4&gt;NOW(),"-",IF(ISBLANK(Tbl_ResidentData[[#This Row],[Enrollment '[mmm-yyyy']]]),"-",AND((Tbl_ResidentData[[#This Row],[Enrollment '[mmm-yyyy']]]&lt;=AH$4),IF(ISBLANK(Tbl_ResidentData[[#This Row],[Discharge '[mmm-yyyy']]]),TRUE,(Tbl_ResidentData[[#This Row],[Discharge '[mmm-yyyy']]]&gt;=AH$4)))))</f>
        <v>-</v>
      </c>
      <c r="AI149" s="121" t="str">
        <f ca="1">IF(AI$4&gt;NOW(),"-",IF(ISBLANK(Tbl_ResidentData[[#This Row],[Enrollment '[mmm-yyyy']]]),"-",AND((Tbl_ResidentData[[#This Row],[Enrollment '[mmm-yyyy']]]&lt;=AI$4),IF(ISBLANK(Tbl_ResidentData[[#This Row],[Discharge '[mmm-yyyy']]]),TRUE,(Tbl_ResidentData[[#This Row],[Discharge '[mmm-yyyy']]]&gt;=AI$4)))))</f>
        <v>-</v>
      </c>
      <c r="AJ149" s="121" t="str">
        <f ca="1">IF(AJ$4&gt;NOW(),"-",IF(ISBLANK(Tbl_ResidentData[[#This Row],[Enrollment '[mmm-yyyy']]]),"-",AND((Tbl_ResidentData[[#This Row],[Enrollment '[mmm-yyyy']]]&lt;=AJ$4),IF(ISBLANK(Tbl_ResidentData[[#This Row],[Discharge '[mmm-yyyy']]]),TRUE,(Tbl_ResidentData[[#This Row],[Discharge '[mmm-yyyy']]]&gt;=AJ$4)))))</f>
        <v>-</v>
      </c>
      <c r="AK149" s="121" t="str">
        <f ca="1">IF(AK$4&gt;NOW(),"-",IF(ISBLANK(Tbl_ResidentData[[#This Row],[Enrollment '[mmm-yyyy']]]),"-",AND((Tbl_ResidentData[[#This Row],[Enrollment '[mmm-yyyy']]]&lt;=AK$4),IF(ISBLANK(Tbl_ResidentData[[#This Row],[Discharge '[mmm-yyyy']]]),TRUE,(Tbl_ResidentData[[#This Row],[Discharge '[mmm-yyyy']]]&gt;=AK$4)))))</f>
        <v>-</v>
      </c>
      <c r="AL149" s="121" t="str">
        <f ca="1">IF(AL$4&gt;NOW(),"-",IF(ISBLANK(Tbl_ResidentData[[#This Row],[Enrollment '[mmm-yyyy']]]),"-",AND((Tbl_ResidentData[[#This Row],[Enrollment '[mmm-yyyy']]]&lt;=AL$4),IF(ISBLANK(Tbl_ResidentData[[#This Row],[Discharge '[mmm-yyyy']]]),TRUE,(Tbl_ResidentData[[#This Row],[Discharge '[mmm-yyyy']]]&gt;=AL$4)))))</f>
        <v>-</v>
      </c>
      <c r="AM149" s="121" t="str">
        <f ca="1">IF(AM$4&gt;NOW(),"-",IF(ISBLANK(Tbl_ResidentData[[#This Row],[Enrollment '[mmm-yyyy']]]),"-",AND((Tbl_ResidentData[[#This Row],[Enrollment '[mmm-yyyy']]]&lt;=AM$4),IF(ISBLANK(Tbl_ResidentData[[#This Row],[Discharge '[mmm-yyyy']]]),TRUE,(Tbl_ResidentData[[#This Row],[Discharge '[mmm-yyyy']]]&gt;=AM$4)))))</f>
        <v>-</v>
      </c>
      <c r="AN149" s="121" t="str">
        <f ca="1">IF(AN$4&gt;NOW(),"-",IF(ISBLANK(Tbl_ResidentData[[#This Row],[Enrollment '[mmm-yyyy']]]),"-",AND((Tbl_ResidentData[[#This Row],[Enrollment '[mmm-yyyy']]]&lt;=AN$4),IF(ISBLANK(Tbl_ResidentData[[#This Row],[Discharge '[mmm-yyyy']]]),TRUE,(Tbl_ResidentData[[#This Row],[Discharge '[mmm-yyyy']]]&gt;=AN$4)))))</f>
        <v>-</v>
      </c>
      <c r="AO149" s="121" t="str">
        <f ca="1">IF(AO$4&gt;NOW(),"-",IF(ISBLANK(Tbl_ResidentData[[#This Row],[Enrollment '[mmm-yyyy']]]),"-",AND((Tbl_ResidentData[[#This Row],[Enrollment '[mmm-yyyy']]]&lt;=AO$4),IF(ISBLANK(Tbl_ResidentData[[#This Row],[Discharge '[mmm-yyyy']]]),TRUE,(Tbl_ResidentData[[#This Row],[Discharge '[mmm-yyyy']]]&gt;=AO$4)))))</f>
        <v>-</v>
      </c>
      <c r="AP149" s="121" t="str">
        <f ca="1">IF(AP$4&gt;NOW(),"-",IF(ISBLANK(Tbl_ResidentData[[#This Row],[Enrollment '[mmm-yyyy']]]),"-",AND((Tbl_ResidentData[[#This Row],[Enrollment '[mmm-yyyy']]]&lt;=AP$4),IF(ISBLANK(Tbl_ResidentData[[#This Row],[Discharge '[mmm-yyyy']]]),TRUE,(Tbl_ResidentData[[#This Row],[Discharge '[mmm-yyyy']]]&gt;=AP$4)))))</f>
        <v>-</v>
      </c>
      <c r="AQ149" s="121" t="str">
        <f ca="1">IF(AQ$4&gt;NOW(),"-",IF(ISBLANK(Tbl_ResidentData[[#This Row],[Enrollment '[mmm-yyyy']]]),"-",AND((Tbl_ResidentData[[#This Row],[Enrollment '[mmm-yyyy']]]&lt;=AQ$4),IF(ISBLANK(Tbl_ResidentData[[#This Row],[Discharge '[mmm-yyyy']]]),TRUE,(Tbl_ResidentData[[#This Row],[Discharge '[mmm-yyyy']]]&gt;=AQ$4)))))</f>
        <v>-</v>
      </c>
      <c r="AR149" s="122" t="str">
        <f ca="1">IF(AR$4&gt;NOW(),"-",IF(ISBLANK(Tbl_ResidentData[[#This Row],[Enrollment '[mmm-yyyy']]]),"-",AND((Tbl_ResidentData[[#This Row],[Enrollment '[mmm-yyyy']]]&lt;=AR$4),IF(ISBLANK(Tbl_ResidentData[[#This Row],[Discharge '[mmm-yyyy']]]),TRUE,(Tbl_ResidentData[[#This Row],[Discharge '[mmm-yyyy']]]&gt;=AR$4)))))</f>
        <v>-</v>
      </c>
      <c r="AS14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9" s="120" t="b">
        <f ca="1">AND(Tbl_ResidentData[[#This Row],[PRN Med Started]]&lt;&gt;"",Tbl_ResidentData[[#This Row],[PRN Med Started]]&lt;=NOW(),Tbl_ResidentData[[#This Row],[PRN Med Started]]&lt;=AS$4,OR(Tbl_ResidentData[[#This Row],[PRN Med Discontinued]]&gt;AS$4,ISBLANK(Tbl_ResidentData[[#This Row],[PRN Med Discontinued]])))</f>
        <v>0</v>
      </c>
      <c r="BR149" s="121" t="b">
        <f ca="1">AND(Tbl_ResidentData[[#This Row],[PRN Med Started]]&lt;&gt;"",Tbl_ResidentData[[#This Row],[PRN Med Started]]&lt;=NOW(),Tbl_ResidentData[[#This Row],[PRN Med Started]]&lt;=AT$4,OR(Tbl_ResidentData[[#This Row],[PRN Med Discontinued]]&gt;AT$4,ISBLANK(Tbl_ResidentData[[#This Row],[PRN Med Discontinued]])))</f>
        <v>0</v>
      </c>
      <c r="BS149" s="121" t="b">
        <f ca="1">AND(Tbl_ResidentData[[#This Row],[PRN Med Started]]&lt;&gt;"",Tbl_ResidentData[[#This Row],[PRN Med Started]]&lt;=NOW(),Tbl_ResidentData[[#This Row],[PRN Med Started]]&lt;=AU$4,OR(Tbl_ResidentData[[#This Row],[PRN Med Discontinued]]&gt;AU$4,ISBLANK(Tbl_ResidentData[[#This Row],[PRN Med Discontinued]])))</f>
        <v>0</v>
      </c>
      <c r="BT149" s="121" t="b">
        <f ca="1">AND(Tbl_ResidentData[[#This Row],[PRN Med Started]]&lt;&gt;"",Tbl_ResidentData[[#This Row],[PRN Med Started]]&lt;=NOW(),Tbl_ResidentData[[#This Row],[PRN Med Started]]&lt;=AV$4,OR(Tbl_ResidentData[[#This Row],[PRN Med Discontinued]]&gt;AV$4,ISBLANK(Tbl_ResidentData[[#This Row],[PRN Med Discontinued]])))</f>
        <v>0</v>
      </c>
      <c r="BU149" s="121" t="b">
        <f ca="1">AND(Tbl_ResidentData[[#This Row],[PRN Med Started]]&lt;&gt;"",Tbl_ResidentData[[#This Row],[PRN Med Started]]&lt;=NOW(),Tbl_ResidentData[[#This Row],[PRN Med Started]]&lt;=AW$4,OR(Tbl_ResidentData[[#This Row],[PRN Med Discontinued]]&gt;AW$4,ISBLANK(Tbl_ResidentData[[#This Row],[PRN Med Discontinued]])))</f>
        <v>0</v>
      </c>
      <c r="BV149" s="121" t="b">
        <f ca="1">AND(Tbl_ResidentData[[#This Row],[PRN Med Started]]&lt;&gt;"",Tbl_ResidentData[[#This Row],[PRN Med Started]]&lt;=NOW(),Tbl_ResidentData[[#This Row],[PRN Med Started]]&lt;=AX$4,OR(Tbl_ResidentData[[#This Row],[PRN Med Discontinued]]&gt;AX$4,ISBLANK(Tbl_ResidentData[[#This Row],[PRN Med Discontinued]])))</f>
        <v>0</v>
      </c>
      <c r="BW149" s="121" t="b">
        <f ca="1">AND(Tbl_ResidentData[[#This Row],[PRN Med Started]]&lt;&gt;"",Tbl_ResidentData[[#This Row],[PRN Med Started]]&lt;=NOW(),Tbl_ResidentData[[#This Row],[PRN Med Started]]&lt;=AY$4,OR(Tbl_ResidentData[[#This Row],[PRN Med Discontinued]]&gt;AY$4,ISBLANK(Tbl_ResidentData[[#This Row],[PRN Med Discontinued]])))</f>
        <v>0</v>
      </c>
      <c r="BX149" s="121" t="b">
        <f ca="1">AND(Tbl_ResidentData[[#This Row],[PRN Med Started]]&lt;&gt;"",Tbl_ResidentData[[#This Row],[PRN Med Started]]&lt;=NOW(),Tbl_ResidentData[[#This Row],[PRN Med Started]]&lt;=AZ$4,OR(Tbl_ResidentData[[#This Row],[PRN Med Discontinued]]&gt;AZ$4,ISBLANK(Tbl_ResidentData[[#This Row],[PRN Med Discontinued]])))</f>
        <v>0</v>
      </c>
      <c r="BY149" s="121" t="b">
        <f ca="1">AND(Tbl_ResidentData[[#This Row],[PRN Med Started]]&lt;&gt;"",Tbl_ResidentData[[#This Row],[PRN Med Started]]&lt;=NOW(),Tbl_ResidentData[[#This Row],[PRN Med Started]]&lt;=BA$4,OR(Tbl_ResidentData[[#This Row],[PRN Med Discontinued]]&gt;BA$4,ISBLANK(Tbl_ResidentData[[#This Row],[PRN Med Discontinued]])))</f>
        <v>0</v>
      </c>
      <c r="BZ149" s="121" t="b">
        <f ca="1">AND(Tbl_ResidentData[[#This Row],[PRN Med Started]]&lt;&gt;"",Tbl_ResidentData[[#This Row],[PRN Med Started]]&lt;=NOW(),Tbl_ResidentData[[#This Row],[PRN Med Started]]&lt;=BB$4,OR(Tbl_ResidentData[[#This Row],[PRN Med Discontinued]]&gt;BB$4,ISBLANK(Tbl_ResidentData[[#This Row],[PRN Med Discontinued]])))</f>
        <v>0</v>
      </c>
      <c r="CA149" s="121" t="b">
        <f ca="1">AND(Tbl_ResidentData[[#This Row],[PRN Med Started]]&lt;&gt;"",Tbl_ResidentData[[#This Row],[PRN Med Started]]&lt;=NOW(),Tbl_ResidentData[[#This Row],[PRN Med Started]]&lt;=BC$4,OR(Tbl_ResidentData[[#This Row],[PRN Med Discontinued]]&gt;BC$4,ISBLANK(Tbl_ResidentData[[#This Row],[PRN Med Discontinued]])))</f>
        <v>0</v>
      </c>
      <c r="CB149" s="121" t="b">
        <f ca="1">AND(Tbl_ResidentData[[#This Row],[PRN Med Started]]&lt;&gt;"",Tbl_ResidentData[[#This Row],[PRN Med Started]]&lt;=NOW(),Tbl_ResidentData[[#This Row],[PRN Med Started]]&lt;=BD$4,OR(Tbl_ResidentData[[#This Row],[PRN Med Discontinued]]&gt;BD$4,ISBLANK(Tbl_ResidentData[[#This Row],[PRN Med Discontinued]])))</f>
        <v>0</v>
      </c>
      <c r="CC149" s="121" t="b">
        <f ca="1">AND(Tbl_ResidentData[[#This Row],[PRN Med Started]]&lt;&gt;"",Tbl_ResidentData[[#This Row],[PRN Med Started]]&lt;=NOW(),Tbl_ResidentData[[#This Row],[PRN Med Started]]&lt;=BE$4,OR(Tbl_ResidentData[[#This Row],[PRN Med Discontinued]]&gt;BE$4,ISBLANK(Tbl_ResidentData[[#This Row],[PRN Med Discontinued]])))</f>
        <v>0</v>
      </c>
      <c r="CD149" s="121" t="b">
        <f ca="1">AND(Tbl_ResidentData[[#This Row],[PRN Med Started]]&lt;&gt;"",Tbl_ResidentData[[#This Row],[PRN Med Started]]&lt;=NOW(),Tbl_ResidentData[[#This Row],[PRN Med Started]]&lt;=BF$4,OR(Tbl_ResidentData[[#This Row],[PRN Med Discontinued]]&gt;BF$4,ISBLANK(Tbl_ResidentData[[#This Row],[PRN Med Discontinued]])))</f>
        <v>0</v>
      </c>
      <c r="CE149" s="121" t="b">
        <f ca="1">AND(Tbl_ResidentData[[#This Row],[PRN Med Started]]&lt;&gt;"",Tbl_ResidentData[[#This Row],[PRN Med Started]]&lt;=NOW(),Tbl_ResidentData[[#This Row],[PRN Med Started]]&lt;=BG$4,OR(Tbl_ResidentData[[#This Row],[PRN Med Discontinued]]&gt;BG$4,ISBLANK(Tbl_ResidentData[[#This Row],[PRN Med Discontinued]])))</f>
        <v>0</v>
      </c>
      <c r="CF149" s="121" t="b">
        <f ca="1">AND(Tbl_ResidentData[[#This Row],[PRN Med Started]]&lt;&gt;"",Tbl_ResidentData[[#This Row],[PRN Med Started]]&lt;=NOW(),Tbl_ResidentData[[#This Row],[PRN Med Started]]&lt;=BH$4,OR(Tbl_ResidentData[[#This Row],[PRN Med Discontinued]]&gt;BH$4,ISBLANK(Tbl_ResidentData[[#This Row],[PRN Med Discontinued]])))</f>
        <v>0</v>
      </c>
      <c r="CG149" s="121" t="b">
        <f ca="1">AND(Tbl_ResidentData[[#This Row],[PRN Med Started]]&lt;&gt;"",Tbl_ResidentData[[#This Row],[PRN Med Started]]&lt;=NOW(),Tbl_ResidentData[[#This Row],[PRN Med Started]]&lt;=BI$4,OR(Tbl_ResidentData[[#This Row],[PRN Med Discontinued]]&gt;BI$4,ISBLANK(Tbl_ResidentData[[#This Row],[PRN Med Discontinued]])))</f>
        <v>0</v>
      </c>
      <c r="CH149" s="121" t="b">
        <f ca="1">AND(Tbl_ResidentData[[#This Row],[PRN Med Started]]&lt;&gt;"",Tbl_ResidentData[[#This Row],[PRN Med Started]]&lt;=NOW(),Tbl_ResidentData[[#This Row],[PRN Med Started]]&lt;=BJ$4,OR(Tbl_ResidentData[[#This Row],[PRN Med Discontinued]]&gt;BJ$4,ISBLANK(Tbl_ResidentData[[#This Row],[PRN Med Discontinued]])))</f>
        <v>0</v>
      </c>
      <c r="CI149" s="121" t="b">
        <f ca="1">AND(Tbl_ResidentData[[#This Row],[PRN Med Started]]&lt;&gt;"",Tbl_ResidentData[[#This Row],[PRN Med Started]]&lt;=NOW(),Tbl_ResidentData[[#This Row],[PRN Med Started]]&lt;=BK$4,OR(Tbl_ResidentData[[#This Row],[PRN Med Discontinued]]&gt;BK$4,ISBLANK(Tbl_ResidentData[[#This Row],[PRN Med Discontinued]])))</f>
        <v>0</v>
      </c>
      <c r="CJ149" s="121" t="b">
        <f ca="1">AND(Tbl_ResidentData[[#This Row],[PRN Med Started]]&lt;&gt;"",Tbl_ResidentData[[#This Row],[PRN Med Started]]&lt;=NOW(),Tbl_ResidentData[[#This Row],[PRN Med Started]]&lt;=BL$4,OR(Tbl_ResidentData[[#This Row],[PRN Med Discontinued]]&gt;BL$4,ISBLANK(Tbl_ResidentData[[#This Row],[PRN Med Discontinued]])))</f>
        <v>0</v>
      </c>
      <c r="CK149" s="121" t="b">
        <f ca="1">AND(Tbl_ResidentData[[#This Row],[PRN Med Started]]&lt;&gt;"",Tbl_ResidentData[[#This Row],[PRN Med Started]]&lt;=NOW(),Tbl_ResidentData[[#This Row],[PRN Med Started]]&lt;=BM$4,OR(Tbl_ResidentData[[#This Row],[PRN Med Discontinued]]&gt;BM$4,ISBLANK(Tbl_ResidentData[[#This Row],[PRN Med Discontinued]])))</f>
        <v>0</v>
      </c>
      <c r="CL149" s="121" t="b">
        <f ca="1">AND(Tbl_ResidentData[[#This Row],[PRN Med Started]]&lt;&gt;"",Tbl_ResidentData[[#This Row],[PRN Med Started]]&lt;=NOW(),Tbl_ResidentData[[#This Row],[PRN Med Started]]&lt;=BN$4,OR(Tbl_ResidentData[[#This Row],[PRN Med Discontinued]]&gt;BN$4,ISBLANK(Tbl_ResidentData[[#This Row],[PRN Med Discontinued]])))</f>
        <v>0</v>
      </c>
      <c r="CM149" s="121" t="b">
        <f ca="1">AND(Tbl_ResidentData[[#This Row],[PRN Med Started]]&lt;&gt;"",Tbl_ResidentData[[#This Row],[PRN Med Started]]&lt;=NOW(),Tbl_ResidentData[[#This Row],[PRN Med Started]]&lt;=BO$4,OR(Tbl_ResidentData[[#This Row],[PRN Med Discontinued]]&gt;BO$4,ISBLANK(Tbl_ResidentData[[#This Row],[PRN Med Discontinued]])))</f>
        <v>0</v>
      </c>
      <c r="CN149" s="122" t="b">
        <f ca="1">AND(Tbl_ResidentData[[#This Row],[PRN Med Started]]&lt;&gt;"",Tbl_ResidentData[[#This Row],[PRN Med Started]]&lt;=NOW(),Tbl_ResidentData[[#This Row],[PRN Med Started]]&lt;=BP$4,OR(Tbl_ResidentData[[#This Row],[PRN Med Discontinued]]&gt;BP$4,ISBLANK(Tbl_ResidentData[[#This Row],[PRN Med Discontinued]])))</f>
        <v>0</v>
      </c>
      <c r="CO149" s="120">
        <f ca="1">IF(OR(Tbl_ResidentData[[#This Row],[S1]]=TRUE,Tbl_ResidentData[[#This Row],[P1]]=TRUE),1,0)</f>
        <v>0</v>
      </c>
      <c r="CP149" s="121">
        <f ca="1">IF(OR(Tbl_ResidentData[[#This Row],[S2]]=TRUE,Tbl_ResidentData[[#This Row],[P2]]=TRUE),1,0)</f>
        <v>0</v>
      </c>
      <c r="CQ149" s="121">
        <f ca="1">IF(OR(Tbl_ResidentData[[#This Row],[S3]]=TRUE,Tbl_ResidentData[[#This Row],[P3]]=TRUE),1,0)</f>
        <v>0</v>
      </c>
      <c r="CR149" s="120">
        <f ca="1">IF(OR(Tbl_ResidentData[[#This Row],[S4]]=TRUE,Tbl_ResidentData[[#This Row],[P4]]=TRUE),1,0)</f>
        <v>0</v>
      </c>
      <c r="CS149" s="120">
        <f ca="1">IF(OR(Tbl_ResidentData[[#This Row],[S5]]=TRUE,Tbl_ResidentData[[#This Row],[P5]]=TRUE),1,0)</f>
        <v>0</v>
      </c>
      <c r="CT149" s="120">
        <f ca="1">IF(OR(Tbl_ResidentData[[#This Row],[S6]]=TRUE,Tbl_ResidentData[[#This Row],[P6]]=TRUE),1,0)</f>
        <v>0</v>
      </c>
      <c r="CU149" s="120">
        <f ca="1">IF(OR(Tbl_ResidentData[[#This Row],[S7]]=TRUE,Tbl_ResidentData[[#This Row],[P7]]=TRUE),1,0)</f>
        <v>0</v>
      </c>
      <c r="CV149" s="120">
        <f ca="1">IF(OR(Tbl_ResidentData[[#This Row],[S8]]=TRUE,Tbl_ResidentData[[#This Row],[P8]]=TRUE),1,0)</f>
        <v>0</v>
      </c>
      <c r="CW149" s="120">
        <f ca="1">IF(OR(Tbl_ResidentData[[#This Row],[S9]]=TRUE,Tbl_ResidentData[[#This Row],[P9]]=TRUE),1,0)</f>
        <v>0</v>
      </c>
      <c r="CX149" s="120">
        <f ca="1">IF(OR(Tbl_ResidentData[[#This Row],[S10]]=TRUE,Tbl_ResidentData[[#This Row],[P10]]=TRUE),1,0)</f>
        <v>0</v>
      </c>
      <c r="CY149" s="120">
        <f ca="1">IF(OR(Tbl_ResidentData[[#This Row],[S11]]=TRUE,Tbl_ResidentData[[#This Row],[P11]]=TRUE),1,0)</f>
        <v>0</v>
      </c>
      <c r="CZ149" s="120">
        <f ca="1">IF(OR(Tbl_ResidentData[[#This Row],[S12]]=TRUE,Tbl_ResidentData[[#This Row],[P12]]=TRUE),1,0)</f>
        <v>0</v>
      </c>
      <c r="DA149" s="120">
        <f ca="1">IF(OR(Tbl_ResidentData[[#This Row],[S13]]=TRUE,Tbl_ResidentData[[#This Row],[P13]]=TRUE),1,0)</f>
        <v>0</v>
      </c>
      <c r="DB149" s="120">
        <f ca="1">IF(OR(Tbl_ResidentData[[#This Row],[S14]]=TRUE,Tbl_ResidentData[[#This Row],[P14]]=TRUE),1,0)</f>
        <v>0</v>
      </c>
      <c r="DC149" s="120">
        <f ca="1">IF(OR(Tbl_ResidentData[[#This Row],[S15]]=TRUE,Tbl_ResidentData[[#This Row],[P15]]=TRUE),1,0)</f>
        <v>0</v>
      </c>
      <c r="DD149" s="120">
        <f ca="1">IF(OR(Tbl_ResidentData[[#This Row],[S16]]=TRUE,Tbl_ResidentData[[#This Row],[P16]]=TRUE),1,0)</f>
        <v>0</v>
      </c>
      <c r="DE149" s="120">
        <f ca="1">IF(OR(Tbl_ResidentData[[#This Row],[S17]]=TRUE,Tbl_ResidentData[[#This Row],[P17]]=TRUE),1,0)</f>
        <v>0</v>
      </c>
      <c r="DF149" s="120">
        <f ca="1">IF(OR(Tbl_ResidentData[[#This Row],[S18]]=TRUE,Tbl_ResidentData[[#This Row],[P18]]=TRUE),1,0)</f>
        <v>0</v>
      </c>
      <c r="DG149" s="120">
        <f ca="1">IF(OR(Tbl_ResidentData[[#This Row],[S19]]=TRUE,Tbl_ResidentData[[#This Row],[P19]]=TRUE),1,0)</f>
        <v>0</v>
      </c>
      <c r="DH149" s="120">
        <f ca="1">IF(OR(Tbl_ResidentData[[#This Row],[S20]]=TRUE,Tbl_ResidentData[[#This Row],[P20]]=TRUE),1,0)</f>
        <v>0</v>
      </c>
      <c r="DI149" s="120">
        <f ca="1">IF(OR(Tbl_ResidentData[[#This Row],[S21]]=TRUE,Tbl_ResidentData[[#This Row],[P21]]=TRUE),1,0)</f>
        <v>0</v>
      </c>
      <c r="DJ149" s="120">
        <f ca="1">IF(OR(Tbl_ResidentData[[#This Row],[S22]]=TRUE,Tbl_ResidentData[[#This Row],[P22]]=TRUE),1,0)</f>
        <v>0</v>
      </c>
      <c r="DK149" s="120">
        <f ca="1">IF(OR(Tbl_ResidentData[[#This Row],[S23]]=TRUE,Tbl_ResidentData[[#This Row],[P23]]=TRUE),1,0)</f>
        <v>0</v>
      </c>
      <c r="DL149" s="120">
        <f ca="1">IF(OR(Tbl_ResidentData[[#This Row],[S24]]=TRUE,Tbl_ResidentData[[#This Row],[P24]]=TRUE),1,0)</f>
        <v>0</v>
      </c>
      <c r="DM149" s="123" t="str">
        <f ca="1">IFERROR(INDEX($CO$4:$DL$4,MATCH(TRUE,INDEX((Tbl_ResidentData[[#This Row],[Over1]:[Over24]]&lt;&gt;0),0),0)),"")</f>
        <v/>
      </c>
      <c r="DN149" s="133" t="str">
        <f>IFERROR(INDEX(Tbl_PDSAData[Last DRT],MATCH(Tbl_ResidentData[Resident Name '[last, first']],Tbl_PDSAData[Resident Name (last, first)],0)),"")</f>
        <v/>
      </c>
      <c r="DO149" s="222" t="str">
        <f>IFERROR(INDEX(Tbl_PDSAData[Last MR],MATCH(Tbl_ResidentData[Resident Name '[last, first']],Tbl_PDSAData[Resident Name (last, first)],0)),"")</f>
        <v/>
      </c>
    </row>
    <row r="150" spans="1:119" x14ac:dyDescent="0.25">
      <c r="A150" s="179"/>
      <c r="B150" s="180"/>
      <c r="C150" s="180"/>
      <c r="D150" s="218"/>
      <c r="E150" s="179"/>
      <c r="F150" s="179"/>
      <c r="G150" s="181"/>
      <c r="H150" s="182"/>
      <c r="I150" s="185"/>
      <c r="J150" s="387"/>
      <c r="K150" s="178"/>
      <c r="L150" s="388"/>
      <c r="M150" s="185"/>
      <c r="N150" s="386"/>
      <c r="O150" s="178"/>
      <c r="P150" s="388"/>
      <c r="Q150" s="394"/>
      <c r="R150" s="388"/>
      <c r="S150" s="131" t="str">
        <f>IF(ISBLANK(Tbl_ResidentData[[#This Row],[Discharge '[mmm-yyyy']]]),IF(ISBLANK(Tbl_ResidentData[[#This Row],[Enrollment '[mmm-yyyy']]]),"","In Care Home"),"Discharged")</f>
        <v/>
      </c>
      <c r="T150" s="119" t="str">
        <f>IF(ISBLANK(Tbl_ResidentData[[#This Row],[Diagnosis (RAI)]]),IF(ISBLANK(Tbl_ResidentData[[#This Row],[Resident Name '[last, first']]]),"",0),IF(Tbl_ResidentData[[#This Row],[Diagnosis (RAI)]]="Other (see clinical notes)",0,1))</f>
        <v/>
      </c>
      <c r="U150" s="120" t="str">
        <f ca="1">IF(U$4&gt;NOW(),"-",IF(ISBLANK(Tbl_ResidentData[[#This Row],[Enrollment '[mmm-yyyy']]]),"-",AND((Tbl_ResidentData[[#This Row],[Enrollment '[mmm-yyyy']]]&lt;=U$4),IF(ISBLANK(Tbl_ResidentData[[#This Row],[Discharge '[mmm-yyyy']]]),TRUE,(Tbl_ResidentData[[#This Row],[Discharge '[mmm-yyyy']]]&gt;=U$4)))))</f>
        <v>-</v>
      </c>
      <c r="V150" s="121" t="str">
        <f ca="1">IF(V$4&gt;NOW(),"-",IF(ISBLANK(Tbl_ResidentData[[#This Row],[Enrollment '[mmm-yyyy']]]),"-",AND((Tbl_ResidentData[[#This Row],[Enrollment '[mmm-yyyy']]]&lt;=V$4),IF(ISBLANK(Tbl_ResidentData[[#This Row],[Discharge '[mmm-yyyy']]]),TRUE,(Tbl_ResidentData[[#This Row],[Discharge '[mmm-yyyy']]]&gt;=V$4)))))</f>
        <v>-</v>
      </c>
      <c r="W150" s="121" t="str">
        <f ca="1">IF(W$4&gt;NOW(),"-",IF(ISBLANK(Tbl_ResidentData[[#This Row],[Enrollment '[mmm-yyyy']]]),"-",AND((Tbl_ResidentData[[#This Row],[Enrollment '[mmm-yyyy']]]&lt;=W$4),IF(ISBLANK(Tbl_ResidentData[[#This Row],[Discharge '[mmm-yyyy']]]),TRUE,(Tbl_ResidentData[[#This Row],[Discharge '[mmm-yyyy']]]&gt;=W$4)))))</f>
        <v>-</v>
      </c>
      <c r="X150" s="121" t="str">
        <f ca="1">IF(X$4&gt;NOW(),"-",IF(ISBLANK(Tbl_ResidentData[[#This Row],[Enrollment '[mmm-yyyy']]]),"-",AND((Tbl_ResidentData[[#This Row],[Enrollment '[mmm-yyyy']]]&lt;=X$4),IF(ISBLANK(Tbl_ResidentData[[#This Row],[Discharge '[mmm-yyyy']]]),TRUE,(Tbl_ResidentData[[#This Row],[Discharge '[mmm-yyyy']]]&gt;=X$4)))))</f>
        <v>-</v>
      </c>
      <c r="Y150" s="121" t="str">
        <f ca="1">IF(Y$4&gt;NOW(),"-",IF(ISBLANK(Tbl_ResidentData[[#This Row],[Enrollment '[mmm-yyyy']]]),"-",AND((Tbl_ResidentData[[#This Row],[Enrollment '[mmm-yyyy']]]&lt;=Y$4),IF(ISBLANK(Tbl_ResidentData[[#This Row],[Discharge '[mmm-yyyy']]]),TRUE,(Tbl_ResidentData[[#This Row],[Discharge '[mmm-yyyy']]]&gt;=Y$4)))))</f>
        <v>-</v>
      </c>
      <c r="Z150" s="121" t="str">
        <f ca="1">IF(Z$4&gt;NOW(),"-",IF(ISBLANK(Tbl_ResidentData[[#This Row],[Enrollment '[mmm-yyyy']]]),"-",AND((Tbl_ResidentData[[#This Row],[Enrollment '[mmm-yyyy']]]&lt;=Z$4),IF(ISBLANK(Tbl_ResidentData[[#This Row],[Discharge '[mmm-yyyy']]]),TRUE,(Tbl_ResidentData[[#This Row],[Discharge '[mmm-yyyy']]]&gt;=Z$4)))))</f>
        <v>-</v>
      </c>
      <c r="AA150" s="121" t="str">
        <f ca="1">IF(AA$4&gt;NOW(),"-",IF(ISBLANK(Tbl_ResidentData[[#This Row],[Enrollment '[mmm-yyyy']]]),"-",AND((Tbl_ResidentData[[#This Row],[Enrollment '[mmm-yyyy']]]&lt;=AA$4),IF(ISBLANK(Tbl_ResidentData[[#This Row],[Discharge '[mmm-yyyy']]]),TRUE,(Tbl_ResidentData[[#This Row],[Discharge '[mmm-yyyy']]]&gt;=AA$4)))))</f>
        <v>-</v>
      </c>
      <c r="AB150" s="121" t="str">
        <f ca="1">IF(AB$4&gt;NOW(),"-",IF(ISBLANK(Tbl_ResidentData[[#This Row],[Enrollment '[mmm-yyyy']]]),"-",AND((Tbl_ResidentData[[#This Row],[Enrollment '[mmm-yyyy']]]&lt;=AB$4),IF(ISBLANK(Tbl_ResidentData[[#This Row],[Discharge '[mmm-yyyy']]]),TRUE,(Tbl_ResidentData[[#This Row],[Discharge '[mmm-yyyy']]]&gt;=AB$4)))))</f>
        <v>-</v>
      </c>
      <c r="AC150" s="121" t="str">
        <f ca="1">IF(AC$4&gt;NOW(),"-",IF(ISBLANK(Tbl_ResidentData[[#This Row],[Enrollment '[mmm-yyyy']]]),"-",AND((Tbl_ResidentData[[#This Row],[Enrollment '[mmm-yyyy']]]&lt;=AC$4),IF(ISBLANK(Tbl_ResidentData[[#This Row],[Discharge '[mmm-yyyy']]]),TRUE,(Tbl_ResidentData[[#This Row],[Discharge '[mmm-yyyy']]]&gt;=AC$4)))))</f>
        <v>-</v>
      </c>
      <c r="AD150" s="121" t="str">
        <f ca="1">IF(AD$4&gt;NOW(),"-",IF(ISBLANK(Tbl_ResidentData[[#This Row],[Enrollment '[mmm-yyyy']]]),"-",AND((Tbl_ResidentData[[#This Row],[Enrollment '[mmm-yyyy']]]&lt;=AD$4),IF(ISBLANK(Tbl_ResidentData[[#This Row],[Discharge '[mmm-yyyy']]]),TRUE,(Tbl_ResidentData[[#This Row],[Discharge '[mmm-yyyy']]]&gt;=AD$4)))))</f>
        <v>-</v>
      </c>
      <c r="AE150" s="121" t="str">
        <f ca="1">IF(AE$4&gt;NOW(),"-",IF(ISBLANK(Tbl_ResidentData[[#This Row],[Enrollment '[mmm-yyyy']]]),"-",AND((Tbl_ResidentData[[#This Row],[Enrollment '[mmm-yyyy']]]&lt;=AE$4),IF(ISBLANK(Tbl_ResidentData[[#This Row],[Discharge '[mmm-yyyy']]]),TRUE,(Tbl_ResidentData[[#This Row],[Discharge '[mmm-yyyy']]]&gt;=AE$4)))))</f>
        <v>-</v>
      </c>
      <c r="AF150" s="121" t="str">
        <f ca="1">IF(AF$4&gt;NOW(),"-",IF(ISBLANK(Tbl_ResidentData[[#This Row],[Enrollment '[mmm-yyyy']]]),"-",AND((Tbl_ResidentData[[#This Row],[Enrollment '[mmm-yyyy']]]&lt;=AF$4),IF(ISBLANK(Tbl_ResidentData[[#This Row],[Discharge '[mmm-yyyy']]]),TRUE,(Tbl_ResidentData[[#This Row],[Discharge '[mmm-yyyy']]]&gt;=AF$4)))))</f>
        <v>-</v>
      </c>
      <c r="AG150" s="121" t="str">
        <f ca="1">IF(AG$4&gt;NOW(),"-",IF(ISBLANK(Tbl_ResidentData[[#This Row],[Enrollment '[mmm-yyyy']]]),"-",AND((Tbl_ResidentData[[#This Row],[Enrollment '[mmm-yyyy']]]&lt;=AG$4),IF(ISBLANK(Tbl_ResidentData[[#This Row],[Discharge '[mmm-yyyy']]]),TRUE,(Tbl_ResidentData[[#This Row],[Discharge '[mmm-yyyy']]]&gt;=AG$4)))))</f>
        <v>-</v>
      </c>
      <c r="AH150" s="121" t="str">
        <f ca="1">IF(AH$4&gt;NOW(),"-",IF(ISBLANK(Tbl_ResidentData[[#This Row],[Enrollment '[mmm-yyyy']]]),"-",AND((Tbl_ResidentData[[#This Row],[Enrollment '[mmm-yyyy']]]&lt;=AH$4),IF(ISBLANK(Tbl_ResidentData[[#This Row],[Discharge '[mmm-yyyy']]]),TRUE,(Tbl_ResidentData[[#This Row],[Discharge '[mmm-yyyy']]]&gt;=AH$4)))))</f>
        <v>-</v>
      </c>
      <c r="AI150" s="121" t="str">
        <f ca="1">IF(AI$4&gt;NOW(),"-",IF(ISBLANK(Tbl_ResidentData[[#This Row],[Enrollment '[mmm-yyyy']]]),"-",AND((Tbl_ResidentData[[#This Row],[Enrollment '[mmm-yyyy']]]&lt;=AI$4),IF(ISBLANK(Tbl_ResidentData[[#This Row],[Discharge '[mmm-yyyy']]]),TRUE,(Tbl_ResidentData[[#This Row],[Discharge '[mmm-yyyy']]]&gt;=AI$4)))))</f>
        <v>-</v>
      </c>
      <c r="AJ150" s="121" t="str">
        <f ca="1">IF(AJ$4&gt;NOW(),"-",IF(ISBLANK(Tbl_ResidentData[[#This Row],[Enrollment '[mmm-yyyy']]]),"-",AND((Tbl_ResidentData[[#This Row],[Enrollment '[mmm-yyyy']]]&lt;=AJ$4),IF(ISBLANK(Tbl_ResidentData[[#This Row],[Discharge '[mmm-yyyy']]]),TRUE,(Tbl_ResidentData[[#This Row],[Discharge '[mmm-yyyy']]]&gt;=AJ$4)))))</f>
        <v>-</v>
      </c>
      <c r="AK150" s="121" t="str">
        <f ca="1">IF(AK$4&gt;NOW(),"-",IF(ISBLANK(Tbl_ResidentData[[#This Row],[Enrollment '[mmm-yyyy']]]),"-",AND((Tbl_ResidentData[[#This Row],[Enrollment '[mmm-yyyy']]]&lt;=AK$4),IF(ISBLANK(Tbl_ResidentData[[#This Row],[Discharge '[mmm-yyyy']]]),TRUE,(Tbl_ResidentData[[#This Row],[Discharge '[mmm-yyyy']]]&gt;=AK$4)))))</f>
        <v>-</v>
      </c>
      <c r="AL150" s="121" t="str">
        <f ca="1">IF(AL$4&gt;NOW(),"-",IF(ISBLANK(Tbl_ResidentData[[#This Row],[Enrollment '[mmm-yyyy']]]),"-",AND((Tbl_ResidentData[[#This Row],[Enrollment '[mmm-yyyy']]]&lt;=AL$4),IF(ISBLANK(Tbl_ResidentData[[#This Row],[Discharge '[mmm-yyyy']]]),TRUE,(Tbl_ResidentData[[#This Row],[Discharge '[mmm-yyyy']]]&gt;=AL$4)))))</f>
        <v>-</v>
      </c>
      <c r="AM150" s="121" t="str">
        <f ca="1">IF(AM$4&gt;NOW(),"-",IF(ISBLANK(Tbl_ResidentData[[#This Row],[Enrollment '[mmm-yyyy']]]),"-",AND((Tbl_ResidentData[[#This Row],[Enrollment '[mmm-yyyy']]]&lt;=AM$4),IF(ISBLANK(Tbl_ResidentData[[#This Row],[Discharge '[mmm-yyyy']]]),TRUE,(Tbl_ResidentData[[#This Row],[Discharge '[mmm-yyyy']]]&gt;=AM$4)))))</f>
        <v>-</v>
      </c>
      <c r="AN150" s="121" t="str">
        <f ca="1">IF(AN$4&gt;NOW(),"-",IF(ISBLANK(Tbl_ResidentData[[#This Row],[Enrollment '[mmm-yyyy']]]),"-",AND((Tbl_ResidentData[[#This Row],[Enrollment '[mmm-yyyy']]]&lt;=AN$4),IF(ISBLANK(Tbl_ResidentData[[#This Row],[Discharge '[mmm-yyyy']]]),TRUE,(Tbl_ResidentData[[#This Row],[Discharge '[mmm-yyyy']]]&gt;=AN$4)))))</f>
        <v>-</v>
      </c>
      <c r="AO150" s="121" t="str">
        <f ca="1">IF(AO$4&gt;NOW(),"-",IF(ISBLANK(Tbl_ResidentData[[#This Row],[Enrollment '[mmm-yyyy']]]),"-",AND((Tbl_ResidentData[[#This Row],[Enrollment '[mmm-yyyy']]]&lt;=AO$4),IF(ISBLANK(Tbl_ResidentData[[#This Row],[Discharge '[mmm-yyyy']]]),TRUE,(Tbl_ResidentData[[#This Row],[Discharge '[mmm-yyyy']]]&gt;=AO$4)))))</f>
        <v>-</v>
      </c>
      <c r="AP150" s="121" t="str">
        <f ca="1">IF(AP$4&gt;NOW(),"-",IF(ISBLANK(Tbl_ResidentData[[#This Row],[Enrollment '[mmm-yyyy']]]),"-",AND((Tbl_ResidentData[[#This Row],[Enrollment '[mmm-yyyy']]]&lt;=AP$4),IF(ISBLANK(Tbl_ResidentData[[#This Row],[Discharge '[mmm-yyyy']]]),TRUE,(Tbl_ResidentData[[#This Row],[Discharge '[mmm-yyyy']]]&gt;=AP$4)))))</f>
        <v>-</v>
      </c>
      <c r="AQ150" s="121" t="str">
        <f ca="1">IF(AQ$4&gt;NOW(),"-",IF(ISBLANK(Tbl_ResidentData[[#This Row],[Enrollment '[mmm-yyyy']]]),"-",AND((Tbl_ResidentData[[#This Row],[Enrollment '[mmm-yyyy']]]&lt;=AQ$4),IF(ISBLANK(Tbl_ResidentData[[#This Row],[Discharge '[mmm-yyyy']]]),TRUE,(Tbl_ResidentData[[#This Row],[Discharge '[mmm-yyyy']]]&gt;=AQ$4)))))</f>
        <v>-</v>
      </c>
      <c r="AR150" s="122" t="str">
        <f ca="1">IF(AR$4&gt;NOW(),"-",IF(ISBLANK(Tbl_ResidentData[[#This Row],[Enrollment '[mmm-yyyy']]]),"-",AND((Tbl_ResidentData[[#This Row],[Enrollment '[mmm-yyyy']]]&lt;=AR$4),IF(ISBLANK(Tbl_ResidentData[[#This Row],[Discharge '[mmm-yyyy']]]),TRUE,(Tbl_ResidentData[[#This Row],[Discharge '[mmm-yyyy']]]&gt;=AR$4)))))</f>
        <v>-</v>
      </c>
      <c r="AS15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0" s="120" t="b">
        <f ca="1">AND(Tbl_ResidentData[[#This Row],[PRN Med Started]]&lt;&gt;"",Tbl_ResidentData[[#This Row],[PRN Med Started]]&lt;=NOW(),Tbl_ResidentData[[#This Row],[PRN Med Started]]&lt;=AS$4,OR(Tbl_ResidentData[[#This Row],[PRN Med Discontinued]]&gt;AS$4,ISBLANK(Tbl_ResidentData[[#This Row],[PRN Med Discontinued]])))</f>
        <v>0</v>
      </c>
      <c r="BR150" s="121" t="b">
        <f ca="1">AND(Tbl_ResidentData[[#This Row],[PRN Med Started]]&lt;&gt;"",Tbl_ResidentData[[#This Row],[PRN Med Started]]&lt;=NOW(),Tbl_ResidentData[[#This Row],[PRN Med Started]]&lt;=AT$4,OR(Tbl_ResidentData[[#This Row],[PRN Med Discontinued]]&gt;AT$4,ISBLANK(Tbl_ResidentData[[#This Row],[PRN Med Discontinued]])))</f>
        <v>0</v>
      </c>
      <c r="BS150" s="121" t="b">
        <f ca="1">AND(Tbl_ResidentData[[#This Row],[PRN Med Started]]&lt;&gt;"",Tbl_ResidentData[[#This Row],[PRN Med Started]]&lt;=NOW(),Tbl_ResidentData[[#This Row],[PRN Med Started]]&lt;=AU$4,OR(Tbl_ResidentData[[#This Row],[PRN Med Discontinued]]&gt;AU$4,ISBLANK(Tbl_ResidentData[[#This Row],[PRN Med Discontinued]])))</f>
        <v>0</v>
      </c>
      <c r="BT150" s="121" t="b">
        <f ca="1">AND(Tbl_ResidentData[[#This Row],[PRN Med Started]]&lt;&gt;"",Tbl_ResidentData[[#This Row],[PRN Med Started]]&lt;=NOW(),Tbl_ResidentData[[#This Row],[PRN Med Started]]&lt;=AV$4,OR(Tbl_ResidentData[[#This Row],[PRN Med Discontinued]]&gt;AV$4,ISBLANK(Tbl_ResidentData[[#This Row],[PRN Med Discontinued]])))</f>
        <v>0</v>
      </c>
      <c r="BU150" s="121" t="b">
        <f ca="1">AND(Tbl_ResidentData[[#This Row],[PRN Med Started]]&lt;&gt;"",Tbl_ResidentData[[#This Row],[PRN Med Started]]&lt;=NOW(),Tbl_ResidentData[[#This Row],[PRN Med Started]]&lt;=AW$4,OR(Tbl_ResidentData[[#This Row],[PRN Med Discontinued]]&gt;AW$4,ISBLANK(Tbl_ResidentData[[#This Row],[PRN Med Discontinued]])))</f>
        <v>0</v>
      </c>
      <c r="BV150" s="121" t="b">
        <f ca="1">AND(Tbl_ResidentData[[#This Row],[PRN Med Started]]&lt;&gt;"",Tbl_ResidentData[[#This Row],[PRN Med Started]]&lt;=NOW(),Tbl_ResidentData[[#This Row],[PRN Med Started]]&lt;=AX$4,OR(Tbl_ResidentData[[#This Row],[PRN Med Discontinued]]&gt;AX$4,ISBLANK(Tbl_ResidentData[[#This Row],[PRN Med Discontinued]])))</f>
        <v>0</v>
      </c>
      <c r="BW150" s="121" t="b">
        <f ca="1">AND(Tbl_ResidentData[[#This Row],[PRN Med Started]]&lt;&gt;"",Tbl_ResidentData[[#This Row],[PRN Med Started]]&lt;=NOW(),Tbl_ResidentData[[#This Row],[PRN Med Started]]&lt;=AY$4,OR(Tbl_ResidentData[[#This Row],[PRN Med Discontinued]]&gt;AY$4,ISBLANK(Tbl_ResidentData[[#This Row],[PRN Med Discontinued]])))</f>
        <v>0</v>
      </c>
      <c r="BX150" s="121" t="b">
        <f ca="1">AND(Tbl_ResidentData[[#This Row],[PRN Med Started]]&lt;&gt;"",Tbl_ResidentData[[#This Row],[PRN Med Started]]&lt;=NOW(),Tbl_ResidentData[[#This Row],[PRN Med Started]]&lt;=AZ$4,OR(Tbl_ResidentData[[#This Row],[PRN Med Discontinued]]&gt;AZ$4,ISBLANK(Tbl_ResidentData[[#This Row],[PRN Med Discontinued]])))</f>
        <v>0</v>
      </c>
      <c r="BY150" s="121" t="b">
        <f ca="1">AND(Tbl_ResidentData[[#This Row],[PRN Med Started]]&lt;&gt;"",Tbl_ResidentData[[#This Row],[PRN Med Started]]&lt;=NOW(),Tbl_ResidentData[[#This Row],[PRN Med Started]]&lt;=BA$4,OR(Tbl_ResidentData[[#This Row],[PRN Med Discontinued]]&gt;BA$4,ISBLANK(Tbl_ResidentData[[#This Row],[PRN Med Discontinued]])))</f>
        <v>0</v>
      </c>
      <c r="BZ150" s="121" t="b">
        <f ca="1">AND(Tbl_ResidentData[[#This Row],[PRN Med Started]]&lt;&gt;"",Tbl_ResidentData[[#This Row],[PRN Med Started]]&lt;=NOW(),Tbl_ResidentData[[#This Row],[PRN Med Started]]&lt;=BB$4,OR(Tbl_ResidentData[[#This Row],[PRN Med Discontinued]]&gt;BB$4,ISBLANK(Tbl_ResidentData[[#This Row],[PRN Med Discontinued]])))</f>
        <v>0</v>
      </c>
      <c r="CA150" s="121" t="b">
        <f ca="1">AND(Tbl_ResidentData[[#This Row],[PRN Med Started]]&lt;&gt;"",Tbl_ResidentData[[#This Row],[PRN Med Started]]&lt;=NOW(),Tbl_ResidentData[[#This Row],[PRN Med Started]]&lt;=BC$4,OR(Tbl_ResidentData[[#This Row],[PRN Med Discontinued]]&gt;BC$4,ISBLANK(Tbl_ResidentData[[#This Row],[PRN Med Discontinued]])))</f>
        <v>0</v>
      </c>
      <c r="CB150" s="121" t="b">
        <f ca="1">AND(Tbl_ResidentData[[#This Row],[PRN Med Started]]&lt;&gt;"",Tbl_ResidentData[[#This Row],[PRN Med Started]]&lt;=NOW(),Tbl_ResidentData[[#This Row],[PRN Med Started]]&lt;=BD$4,OR(Tbl_ResidentData[[#This Row],[PRN Med Discontinued]]&gt;BD$4,ISBLANK(Tbl_ResidentData[[#This Row],[PRN Med Discontinued]])))</f>
        <v>0</v>
      </c>
      <c r="CC150" s="121" t="b">
        <f ca="1">AND(Tbl_ResidentData[[#This Row],[PRN Med Started]]&lt;&gt;"",Tbl_ResidentData[[#This Row],[PRN Med Started]]&lt;=NOW(),Tbl_ResidentData[[#This Row],[PRN Med Started]]&lt;=BE$4,OR(Tbl_ResidentData[[#This Row],[PRN Med Discontinued]]&gt;BE$4,ISBLANK(Tbl_ResidentData[[#This Row],[PRN Med Discontinued]])))</f>
        <v>0</v>
      </c>
      <c r="CD150" s="121" t="b">
        <f ca="1">AND(Tbl_ResidentData[[#This Row],[PRN Med Started]]&lt;&gt;"",Tbl_ResidentData[[#This Row],[PRN Med Started]]&lt;=NOW(),Tbl_ResidentData[[#This Row],[PRN Med Started]]&lt;=BF$4,OR(Tbl_ResidentData[[#This Row],[PRN Med Discontinued]]&gt;BF$4,ISBLANK(Tbl_ResidentData[[#This Row],[PRN Med Discontinued]])))</f>
        <v>0</v>
      </c>
      <c r="CE150" s="121" t="b">
        <f ca="1">AND(Tbl_ResidentData[[#This Row],[PRN Med Started]]&lt;&gt;"",Tbl_ResidentData[[#This Row],[PRN Med Started]]&lt;=NOW(),Tbl_ResidentData[[#This Row],[PRN Med Started]]&lt;=BG$4,OR(Tbl_ResidentData[[#This Row],[PRN Med Discontinued]]&gt;BG$4,ISBLANK(Tbl_ResidentData[[#This Row],[PRN Med Discontinued]])))</f>
        <v>0</v>
      </c>
      <c r="CF150" s="121" t="b">
        <f ca="1">AND(Tbl_ResidentData[[#This Row],[PRN Med Started]]&lt;&gt;"",Tbl_ResidentData[[#This Row],[PRN Med Started]]&lt;=NOW(),Tbl_ResidentData[[#This Row],[PRN Med Started]]&lt;=BH$4,OR(Tbl_ResidentData[[#This Row],[PRN Med Discontinued]]&gt;BH$4,ISBLANK(Tbl_ResidentData[[#This Row],[PRN Med Discontinued]])))</f>
        <v>0</v>
      </c>
      <c r="CG150" s="121" t="b">
        <f ca="1">AND(Tbl_ResidentData[[#This Row],[PRN Med Started]]&lt;&gt;"",Tbl_ResidentData[[#This Row],[PRN Med Started]]&lt;=NOW(),Tbl_ResidentData[[#This Row],[PRN Med Started]]&lt;=BI$4,OR(Tbl_ResidentData[[#This Row],[PRN Med Discontinued]]&gt;BI$4,ISBLANK(Tbl_ResidentData[[#This Row],[PRN Med Discontinued]])))</f>
        <v>0</v>
      </c>
      <c r="CH150" s="121" t="b">
        <f ca="1">AND(Tbl_ResidentData[[#This Row],[PRN Med Started]]&lt;&gt;"",Tbl_ResidentData[[#This Row],[PRN Med Started]]&lt;=NOW(),Tbl_ResidentData[[#This Row],[PRN Med Started]]&lt;=BJ$4,OR(Tbl_ResidentData[[#This Row],[PRN Med Discontinued]]&gt;BJ$4,ISBLANK(Tbl_ResidentData[[#This Row],[PRN Med Discontinued]])))</f>
        <v>0</v>
      </c>
      <c r="CI150" s="121" t="b">
        <f ca="1">AND(Tbl_ResidentData[[#This Row],[PRN Med Started]]&lt;&gt;"",Tbl_ResidentData[[#This Row],[PRN Med Started]]&lt;=NOW(),Tbl_ResidentData[[#This Row],[PRN Med Started]]&lt;=BK$4,OR(Tbl_ResidentData[[#This Row],[PRN Med Discontinued]]&gt;BK$4,ISBLANK(Tbl_ResidentData[[#This Row],[PRN Med Discontinued]])))</f>
        <v>0</v>
      </c>
      <c r="CJ150" s="121" t="b">
        <f ca="1">AND(Tbl_ResidentData[[#This Row],[PRN Med Started]]&lt;&gt;"",Tbl_ResidentData[[#This Row],[PRN Med Started]]&lt;=NOW(),Tbl_ResidentData[[#This Row],[PRN Med Started]]&lt;=BL$4,OR(Tbl_ResidentData[[#This Row],[PRN Med Discontinued]]&gt;BL$4,ISBLANK(Tbl_ResidentData[[#This Row],[PRN Med Discontinued]])))</f>
        <v>0</v>
      </c>
      <c r="CK150" s="121" t="b">
        <f ca="1">AND(Tbl_ResidentData[[#This Row],[PRN Med Started]]&lt;&gt;"",Tbl_ResidentData[[#This Row],[PRN Med Started]]&lt;=NOW(),Tbl_ResidentData[[#This Row],[PRN Med Started]]&lt;=BM$4,OR(Tbl_ResidentData[[#This Row],[PRN Med Discontinued]]&gt;BM$4,ISBLANK(Tbl_ResidentData[[#This Row],[PRN Med Discontinued]])))</f>
        <v>0</v>
      </c>
      <c r="CL150" s="121" t="b">
        <f ca="1">AND(Tbl_ResidentData[[#This Row],[PRN Med Started]]&lt;&gt;"",Tbl_ResidentData[[#This Row],[PRN Med Started]]&lt;=NOW(),Tbl_ResidentData[[#This Row],[PRN Med Started]]&lt;=BN$4,OR(Tbl_ResidentData[[#This Row],[PRN Med Discontinued]]&gt;BN$4,ISBLANK(Tbl_ResidentData[[#This Row],[PRN Med Discontinued]])))</f>
        <v>0</v>
      </c>
      <c r="CM150" s="121" t="b">
        <f ca="1">AND(Tbl_ResidentData[[#This Row],[PRN Med Started]]&lt;&gt;"",Tbl_ResidentData[[#This Row],[PRN Med Started]]&lt;=NOW(),Tbl_ResidentData[[#This Row],[PRN Med Started]]&lt;=BO$4,OR(Tbl_ResidentData[[#This Row],[PRN Med Discontinued]]&gt;BO$4,ISBLANK(Tbl_ResidentData[[#This Row],[PRN Med Discontinued]])))</f>
        <v>0</v>
      </c>
      <c r="CN150" s="122" t="b">
        <f ca="1">AND(Tbl_ResidentData[[#This Row],[PRN Med Started]]&lt;&gt;"",Tbl_ResidentData[[#This Row],[PRN Med Started]]&lt;=NOW(),Tbl_ResidentData[[#This Row],[PRN Med Started]]&lt;=BP$4,OR(Tbl_ResidentData[[#This Row],[PRN Med Discontinued]]&gt;BP$4,ISBLANK(Tbl_ResidentData[[#This Row],[PRN Med Discontinued]])))</f>
        <v>0</v>
      </c>
      <c r="CO150" s="120">
        <f ca="1">IF(OR(Tbl_ResidentData[[#This Row],[S1]]=TRUE,Tbl_ResidentData[[#This Row],[P1]]=TRUE),1,0)</f>
        <v>0</v>
      </c>
      <c r="CP150" s="121">
        <f ca="1">IF(OR(Tbl_ResidentData[[#This Row],[S2]]=TRUE,Tbl_ResidentData[[#This Row],[P2]]=TRUE),1,0)</f>
        <v>0</v>
      </c>
      <c r="CQ150" s="121">
        <f ca="1">IF(OR(Tbl_ResidentData[[#This Row],[S3]]=TRUE,Tbl_ResidentData[[#This Row],[P3]]=TRUE),1,0)</f>
        <v>0</v>
      </c>
      <c r="CR150" s="120">
        <f ca="1">IF(OR(Tbl_ResidentData[[#This Row],[S4]]=TRUE,Tbl_ResidentData[[#This Row],[P4]]=TRUE),1,0)</f>
        <v>0</v>
      </c>
      <c r="CS150" s="120">
        <f ca="1">IF(OR(Tbl_ResidentData[[#This Row],[S5]]=TRUE,Tbl_ResidentData[[#This Row],[P5]]=TRUE),1,0)</f>
        <v>0</v>
      </c>
      <c r="CT150" s="120">
        <f ca="1">IF(OR(Tbl_ResidentData[[#This Row],[S6]]=TRUE,Tbl_ResidentData[[#This Row],[P6]]=TRUE),1,0)</f>
        <v>0</v>
      </c>
      <c r="CU150" s="120">
        <f ca="1">IF(OR(Tbl_ResidentData[[#This Row],[S7]]=TRUE,Tbl_ResidentData[[#This Row],[P7]]=TRUE),1,0)</f>
        <v>0</v>
      </c>
      <c r="CV150" s="120">
        <f ca="1">IF(OR(Tbl_ResidentData[[#This Row],[S8]]=TRUE,Tbl_ResidentData[[#This Row],[P8]]=TRUE),1,0)</f>
        <v>0</v>
      </c>
      <c r="CW150" s="120">
        <f ca="1">IF(OR(Tbl_ResidentData[[#This Row],[S9]]=TRUE,Tbl_ResidentData[[#This Row],[P9]]=TRUE),1,0)</f>
        <v>0</v>
      </c>
      <c r="CX150" s="120">
        <f ca="1">IF(OR(Tbl_ResidentData[[#This Row],[S10]]=TRUE,Tbl_ResidentData[[#This Row],[P10]]=TRUE),1,0)</f>
        <v>0</v>
      </c>
      <c r="CY150" s="120">
        <f ca="1">IF(OR(Tbl_ResidentData[[#This Row],[S11]]=TRUE,Tbl_ResidentData[[#This Row],[P11]]=TRUE),1,0)</f>
        <v>0</v>
      </c>
      <c r="CZ150" s="120">
        <f ca="1">IF(OR(Tbl_ResidentData[[#This Row],[S12]]=TRUE,Tbl_ResidentData[[#This Row],[P12]]=TRUE),1,0)</f>
        <v>0</v>
      </c>
      <c r="DA150" s="120">
        <f ca="1">IF(OR(Tbl_ResidentData[[#This Row],[S13]]=TRUE,Tbl_ResidentData[[#This Row],[P13]]=TRUE),1,0)</f>
        <v>0</v>
      </c>
      <c r="DB150" s="120">
        <f ca="1">IF(OR(Tbl_ResidentData[[#This Row],[S14]]=TRUE,Tbl_ResidentData[[#This Row],[P14]]=TRUE),1,0)</f>
        <v>0</v>
      </c>
      <c r="DC150" s="120">
        <f ca="1">IF(OR(Tbl_ResidentData[[#This Row],[S15]]=TRUE,Tbl_ResidentData[[#This Row],[P15]]=TRUE),1,0)</f>
        <v>0</v>
      </c>
      <c r="DD150" s="120">
        <f ca="1">IF(OR(Tbl_ResidentData[[#This Row],[S16]]=TRUE,Tbl_ResidentData[[#This Row],[P16]]=TRUE),1,0)</f>
        <v>0</v>
      </c>
      <c r="DE150" s="120">
        <f ca="1">IF(OR(Tbl_ResidentData[[#This Row],[S17]]=TRUE,Tbl_ResidentData[[#This Row],[P17]]=TRUE),1,0)</f>
        <v>0</v>
      </c>
      <c r="DF150" s="120">
        <f ca="1">IF(OR(Tbl_ResidentData[[#This Row],[S18]]=TRUE,Tbl_ResidentData[[#This Row],[P18]]=TRUE),1,0)</f>
        <v>0</v>
      </c>
      <c r="DG150" s="120">
        <f ca="1">IF(OR(Tbl_ResidentData[[#This Row],[S19]]=TRUE,Tbl_ResidentData[[#This Row],[P19]]=TRUE),1,0)</f>
        <v>0</v>
      </c>
      <c r="DH150" s="120">
        <f ca="1">IF(OR(Tbl_ResidentData[[#This Row],[S20]]=TRUE,Tbl_ResidentData[[#This Row],[P20]]=TRUE),1,0)</f>
        <v>0</v>
      </c>
      <c r="DI150" s="120">
        <f ca="1">IF(OR(Tbl_ResidentData[[#This Row],[S21]]=TRUE,Tbl_ResidentData[[#This Row],[P21]]=TRUE),1,0)</f>
        <v>0</v>
      </c>
      <c r="DJ150" s="120">
        <f ca="1">IF(OR(Tbl_ResidentData[[#This Row],[S22]]=TRUE,Tbl_ResidentData[[#This Row],[P22]]=TRUE),1,0)</f>
        <v>0</v>
      </c>
      <c r="DK150" s="120">
        <f ca="1">IF(OR(Tbl_ResidentData[[#This Row],[S23]]=TRUE,Tbl_ResidentData[[#This Row],[P23]]=TRUE),1,0)</f>
        <v>0</v>
      </c>
      <c r="DL150" s="120">
        <f ca="1">IF(OR(Tbl_ResidentData[[#This Row],[S24]]=TRUE,Tbl_ResidentData[[#This Row],[P24]]=TRUE),1,0)</f>
        <v>0</v>
      </c>
      <c r="DM150" s="123" t="str">
        <f ca="1">IFERROR(INDEX($CO$4:$DL$4,MATCH(TRUE,INDEX((Tbl_ResidentData[[#This Row],[Over1]:[Over24]]&lt;&gt;0),0),0)),"")</f>
        <v/>
      </c>
      <c r="DN150" s="133" t="str">
        <f>IFERROR(INDEX(Tbl_PDSAData[Last DRT],MATCH(Tbl_ResidentData[Resident Name '[last, first']],Tbl_PDSAData[Resident Name (last, first)],0)),"")</f>
        <v/>
      </c>
      <c r="DO150" s="222" t="str">
        <f>IFERROR(INDEX(Tbl_PDSAData[Last MR],MATCH(Tbl_ResidentData[Resident Name '[last, first']],Tbl_PDSAData[Resident Name (last, first)],0)),"")</f>
        <v/>
      </c>
    </row>
    <row r="151" spans="1:119" x14ac:dyDescent="0.25">
      <c r="A151" s="179"/>
      <c r="B151" s="180"/>
      <c r="C151" s="180"/>
      <c r="D151" s="218"/>
      <c r="E151" s="179"/>
      <c r="F151" s="179"/>
      <c r="G151" s="181"/>
      <c r="H151" s="375"/>
      <c r="I151" s="185"/>
      <c r="J151" s="387"/>
      <c r="K151" s="178"/>
      <c r="L151" s="388"/>
      <c r="M151" s="185"/>
      <c r="N151" s="386"/>
      <c r="O151" s="178"/>
      <c r="P151" s="388"/>
      <c r="Q151" s="395"/>
      <c r="R151" s="396"/>
      <c r="S151" s="131" t="str">
        <f>IF(ISBLANK(Tbl_ResidentData[[#This Row],[Discharge '[mmm-yyyy']]]),IF(ISBLANK(Tbl_ResidentData[[#This Row],[Enrollment '[mmm-yyyy']]]),"","In Care Home"),"Discharged")</f>
        <v/>
      </c>
      <c r="T151" s="119" t="str">
        <f>IF(ISBLANK(Tbl_ResidentData[[#This Row],[Diagnosis (RAI)]]),IF(ISBLANK(Tbl_ResidentData[[#This Row],[Resident Name '[last, first']]]),"",0),IF(Tbl_ResidentData[[#This Row],[Diagnosis (RAI)]]="Other (see clinical notes)",0,1))</f>
        <v/>
      </c>
      <c r="U151" s="120" t="str">
        <f ca="1">IF(U$4&gt;NOW(),"-",IF(ISBLANK(Tbl_ResidentData[[#This Row],[Enrollment '[mmm-yyyy']]]),"-",AND((Tbl_ResidentData[[#This Row],[Enrollment '[mmm-yyyy']]]&lt;=U$4),IF(ISBLANK(Tbl_ResidentData[[#This Row],[Discharge '[mmm-yyyy']]]),TRUE,(Tbl_ResidentData[[#This Row],[Discharge '[mmm-yyyy']]]&gt;=U$4)))))</f>
        <v>-</v>
      </c>
      <c r="V151" s="121" t="str">
        <f ca="1">IF(V$4&gt;NOW(),"-",IF(ISBLANK(Tbl_ResidentData[[#This Row],[Enrollment '[mmm-yyyy']]]),"-",AND((Tbl_ResidentData[[#This Row],[Enrollment '[mmm-yyyy']]]&lt;=V$4),IF(ISBLANK(Tbl_ResidentData[[#This Row],[Discharge '[mmm-yyyy']]]),TRUE,(Tbl_ResidentData[[#This Row],[Discharge '[mmm-yyyy']]]&gt;=V$4)))))</f>
        <v>-</v>
      </c>
      <c r="W151" s="121" t="str">
        <f ca="1">IF(W$4&gt;NOW(),"-",IF(ISBLANK(Tbl_ResidentData[[#This Row],[Enrollment '[mmm-yyyy']]]),"-",AND((Tbl_ResidentData[[#This Row],[Enrollment '[mmm-yyyy']]]&lt;=W$4),IF(ISBLANK(Tbl_ResidentData[[#This Row],[Discharge '[mmm-yyyy']]]),TRUE,(Tbl_ResidentData[[#This Row],[Discharge '[mmm-yyyy']]]&gt;=W$4)))))</f>
        <v>-</v>
      </c>
      <c r="X151" s="121" t="str">
        <f ca="1">IF(X$4&gt;NOW(),"-",IF(ISBLANK(Tbl_ResidentData[[#This Row],[Enrollment '[mmm-yyyy']]]),"-",AND((Tbl_ResidentData[[#This Row],[Enrollment '[mmm-yyyy']]]&lt;=X$4),IF(ISBLANK(Tbl_ResidentData[[#This Row],[Discharge '[mmm-yyyy']]]),TRUE,(Tbl_ResidentData[[#This Row],[Discharge '[mmm-yyyy']]]&gt;=X$4)))))</f>
        <v>-</v>
      </c>
      <c r="Y151" s="121" t="str">
        <f ca="1">IF(Y$4&gt;NOW(),"-",IF(ISBLANK(Tbl_ResidentData[[#This Row],[Enrollment '[mmm-yyyy']]]),"-",AND((Tbl_ResidentData[[#This Row],[Enrollment '[mmm-yyyy']]]&lt;=Y$4),IF(ISBLANK(Tbl_ResidentData[[#This Row],[Discharge '[mmm-yyyy']]]),TRUE,(Tbl_ResidentData[[#This Row],[Discharge '[mmm-yyyy']]]&gt;=Y$4)))))</f>
        <v>-</v>
      </c>
      <c r="Z151" s="121" t="str">
        <f ca="1">IF(Z$4&gt;NOW(),"-",IF(ISBLANK(Tbl_ResidentData[[#This Row],[Enrollment '[mmm-yyyy']]]),"-",AND((Tbl_ResidentData[[#This Row],[Enrollment '[mmm-yyyy']]]&lt;=Z$4),IF(ISBLANK(Tbl_ResidentData[[#This Row],[Discharge '[mmm-yyyy']]]),TRUE,(Tbl_ResidentData[[#This Row],[Discharge '[mmm-yyyy']]]&gt;=Z$4)))))</f>
        <v>-</v>
      </c>
      <c r="AA151" s="121" t="str">
        <f ca="1">IF(AA$4&gt;NOW(),"-",IF(ISBLANK(Tbl_ResidentData[[#This Row],[Enrollment '[mmm-yyyy']]]),"-",AND((Tbl_ResidentData[[#This Row],[Enrollment '[mmm-yyyy']]]&lt;=AA$4),IF(ISBLANK(Tbl_ResidentData[[#This Row],[Discharge '[mmm-yyyy']]]),TRUE,(Tbl_ResidentData[[#This Row],[Discharge '[mmm-yyyy']]]&gt;=AA$4)))))</f>
        <v>-</v>
      </c>
      <c r="AB151" s="121" t="str">
        <f ca="1">IF(AB$4&gt;NOW(),"-",IF(ISBLANK(Tbl_ResidentData[[#This Row],[Enrollment '[mmm-yyyy']]]),"-",AND((Tbl_ResidentData[[#This Row],[Enrollment '[mmm-yyyy']]]&lt;=AB$4),IF(ISBLANK(Tbl_ResidentData[[#This Row],[Discharge '[mmm-yyyy']]]),TRUE,(Tbl_ResidentData[[#This Row],[Discharge '[mmm-yyyy']]]&gt;=AB$4)))))</f>
        <v>-</v>
      </c>
      <c r="AC151" s="121" t="str">
        <f ca="1">IF(AC$4&gt;NOW(),"-",IF(ISBLANK(Tbl_ResidentData[[#This Row],[Enrollment '[mmm-yyyy']]]),"-",AND((Tbl_ResidentData[[#This Row],[Enrollment '[mmm-yyyy']]]&lt;=AC$4),IF(ISBLANK(Tbl_ResidentData[[#This Row],[Discharge '[mmm-yyyy']]]),TRUE,(Tbl_ResidentData[[#This Row],[Discharge '[mmm-yyyy']]]&gt;=AC$4)))))</f>
        <v>-</v>
      </c>
      <c r="AD151" s="121" t="str">
        <f ca="1">IF(AD$4&gt;NOW(),"-",IF(ISBLANK(Tbl_ResidentData[[#This Row],[Enrollment '[mmm-yyyy']]]),"-",AND((Tbl_ResidentData[[#This Row],[Enrollment '[mmm-yyyy']]]&lt;=AD$4),IF(ISBLANK(Tbl_ResidentData[[#This Row],[Discharge '[mmm-yyyy']]]),TRUE,(Tbl_ResidentData[[#This Row],[Discharge '[mmm-yyyy']]]&gt;=AD$4)))))</f>
        <v>-</v>
      </c>
      <c r="AE151" s="121" t="str">
        <f ca="1">IF(AE$4&gt;NOW(),"-",IF(ISBLANK(Tbl_ResidentData[[#This Row],[Enrollment '[mmm-yyyy']]]),"-",AND((Tbl_ResidentData[[#This Row],[Enrollment '[mmm-yyyy']]]&lt;=AE$4),IF(ISBLANK(Tbl_ResidentData[[#This Row],[Discharge '[mmm-yyyy']]]),TRUE,(Tbl_ResidentData[[#This Row],[Discharge '[mmm-yyyy']]]&gt;=AE$4)))))</f>
        <v>-</v>
      </c>
      <c r="AF151" s="121" t="str">
        <f ca="1">IF(AF$4&gt;NOW(),"-",IF(ISBLANK(Tbl_ResidentData[[#This Row],[Enrollment '[mmm-yyyy']]]),"-",AND((Tbl_ResidentData[[#This Row],[Enrollment '[mmm-yyyy']]]&lt;=AF$4),IF(ISBLANK(Tbl_ResidentData[[#This Row],[Discharge '[mmm-yyyy']]]),TRUE,(Tbl_ResidentData[[#This Row],[Discharge '[mmm-yyyy']]]&gt;=AF$4)))))</f>
        <v>-</v>
      </c>
      <c r="AG151" s="121" t="str">
        <f ca="1">IF(AG$4&gt;NOW(),"-",IF(ISBLANK(Tbl_ResidentData[[#This Row],[Enrollment '[mmm-yyyy']]]),"-",AND((Tbl_ResidentData[[#This Row],[Enrollment '[mmm-yyyy']]]&lt;=AG$4),IF(ISBLANK(Tbl_ResidentData[[#This Row],[Discharge '[mmm-yyyy']]]),TRUE,(Tbl_ResidentData[[#This Row],[Discharge '[mmm-yyyy']]]&gt;=AG$4)))))</f>
        <v>-</v>
      </c>
      <c r="AH151" s="121" t="str">
        <f ca="1">IF(AH$4&gt;NOW(),"-",IF(ISBLANK(Tbl_ResidentData[[#This Row],[Enrollment '[mmm-yyyy']]]),"-",AND((Tbl_ResidentData[[#This Row],[Enrollment '[mmm-yyyy']]]&lt;=AH$4),IF(ISBLANK(Tbl_ResidentData[[#This Row],[Discharge '[mmm-yyyy']]]),TRUE,(Tbl_ResidentData[[#This Row],[Discharge '[mmm-yyyy']]]&gt;=AH$4)))))</f>
        <v>-</v>
      </c>
      <c r="AI151" s="121" t="str">
        <f ca="1">IF(AI$4&gt;NOW(),"-",IF(ISBLANK(Tbl_ResidentData[[#This Row],[Enrollment '[mmm-yyyy']]]),"-",AND((Tbl_ResidentData[[#This Row],[Enrollment '[mmm-yyyy']]]&lt;=AI$4),IF(ISBLANK(Tbl_ResidentData[[#This Row],[Discharge '[mmm-yyyy']]]),TRUE,(Tbl_ResidentData[[#This Row],[Discharge '[mmm-yyyy']]]&gt;=AI$4)))))</f>
        <v>-</v>
      </c>
      <c r="AJ151" s="121" t="str">
        <f ca="1">IF(AJ$4&gt;NOW(),"-",IF(ISBLANK(Tbl_ResidentData[[#This Row],[Enrollment '[mmm-yyyy']]]),"-",AND((Tbl_ResidentData[[#This Row],[Enrollment '[mmm-yyyy']]]&lt;=AJ$4),IF(ISBLANK(Tbl_ResidentData[[#This Row],[Discharge '[mmm-yyyy']]]),TRUE,(Tbl_ResidentData[[#This Row],[Discharge '[mmm-yyyy']]]&gt;=AJ$4)))))</f>
        <v>-</v>
      </c>
      <c r="AK151" s="121" t="str">
        <f ca="1">IF(AK$4&gt;NOW(),"-",IF(ISBLANK(Tbl_ResidentData[[#This Row],[Enrollment '[mmm-yyyy']]]),"-",AND((Tbl_ResidentData[[#This Row],[Enrollment '[mmm-yyyy']]]&lt;=AK$4),IF(ISBLANK(Tbl_ResidentData[[#This Row],[Discharge '[mmm-yyyy']]]),TRUE,(Tbl_ResidentData[[#This Row],[Discharge '[mmm-yyyy']]]&gt;=AK$4)))))</f>
        <v>-</v>
      </c>
      <c r="AL151" s="121" t="str">
        <f ca="1">IF(AL$4&gt;NOW(),"-",IF(ISBLANK(Tbl_ResidentData[[#This Row],[Enrollment '[mmm-yyyy']]]),"-",AND((Tbl_ResidentData[[#This Row],[Enrollment '[mmm-yyyy']]]&lt;=AL$4),IF(ISBLANK(Tbl_ResidentData[[#This Row],[Discharge '[mmm-yyyy']]]),TRUE,(Tbl_ResidentData[[#This Row],[Discharge '[mmm-yyyy']]]&gt;=AL$4)))))</f>
        <v>-</v>
      </c>
      <c r="AM151" s="121" t="str">
        <f ca="1">IF(AM$4&gt;NOW(),"-",IF(ISBLANK(Tbl_ResidentData[[#This Row],[Enrollment '[mmm-yyyy']]]),"-",AND((Tbl_ResidentData[[#This Row],[Enrollment '[mmm-yyyy']]]&lt;=AM$4),IF(ISBLANK(Tbl_ResidentData[[#This Row],[Discharge '[mmm-yyyy']]]),TRUE,(Tbl_ResidentData[[#This Row],[Discharge '[mmm-yyyy']]]&gt;=AM$4)))))</f>
        <v>-</v>
      </c>
      <c r="AN151" s="121" t="str">
        <f ca="1">IF(AN$4&gt;NOW(),"-",IF(ISBLANK(Tbl_ResidentData[[#This Row],[Enrollment '[mmm-yyyy']]]),"-",AND((Tbl_ResidentData[[#This Row],[Enrollment '[mmm-yyyy']]]&lt;=AN$4),IF(ISBLANK(Tbl_ResidentData[[#This Row],[Discharge '[mmm-yyyy']]]),TRUE,(Tbl_ResidentData[[#This Row],[Discharge '[mmm-yyyy']]]&gt;=AN$4)))))</f>
        <v>-</v>
      </c>
      <c r="AO151" s="121" t="str">
        <f ca="1">IF(AO$4&gt;NOW(),"-",IF(ISBLANK(Tbl_ResidentData[[#This Row],[Enrollment '[mmm-yyyy']]]),"-",AND((Tbl_ResidentData[[#This Row],[Enrollment '[mmm-yyyy']]]&lt;=AO$4),IF(ISBLANK(Tbl_ResidentData[[#This Row],[Discharge '[mmm-yyyy']]]),TRUE,(Tbl_ResidentData[[#This Row],[Discharge '[mmm-yyyy']]]&gt;=AO$4)))))</f>
        <v>-</v>
      </c>
      <c r="AP151" s="121" t="str">
        <f ca="1">IF(AP$4&gt;NOW(),"-",IF(ISBLANK(Tbl_ResidentData[[#This Row],[Enrollment '[mmm-yyyy']]]),"-",AND((Tbl_ResidentData[[#This Row],[Enrollment '[mmm-yyyy']]]&lt;=AP$4),IF(ISBLANK(Tbl_ResidentData[[#This Row],[Discharge '[mmm-yyyy']]]),TRUE,(Tbl_ResidentData[[#This Row],[Discharge '[mmm-yyyy']]]&gt;=AP$4)))))</f>
        <v>-</v>
      </c>
      <c r="AQ151" s="121" t="str">
        <f ca="1">IF(AQ$4&gt;NOW(),"-",IF(ISBLANK(Tbl_ResidentData[[#This Row],[Enrollment '[mmm-yyyy']]]),"-",AND((Tbl_ResidentData[[#This Row],[Enrollment '[mmm-yyyy']]]&lt;=AQ$4),IF(ISBLANK(Tbl_ResidentData[[#This Row],[Discharge '[mmm-yyyy']]]),TRUE,(Tbl_ResidentData[[#This Row],[Discharge '[mmm-yyyy']]]&gt;=AQ$4)))))</f>
        <v>-</v>
      </c>
      <c r="AR151" s="122" t="str">
        <f ca="1">IF(AR$4&gt;NOW(),"-",IF(ISBLANK(Tbl_ResidentData[[#This Row],[Enrollment '[mmm-yyyy']]]),"-",AND((Tbl_ResidentData[[#This Row],[Enrollment '[mmm-yyyy']]]&lt;=AR$4),IF(ISBLANK(Tbl_ResidentData[[#This Row],[Discharge '[mmm-yyyy']]]),TRUE,(Tbl_ResidentData[[#This Row],[Discharge '[mmm-yyyy']]]&gt;=AR$4)))))</f>
        <v>-</v>
      </c>
      <c r="AS15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1" s="120" t="b">
        <f ca="1">AND(Tbl_ResidentData[[#This Row],[PRN Med Started]]&lt;&gt;"",Tbl_ResidentData[[#This Row],[PRN Med Started]]&lt;=NOW(),Tbl_ResidentData[[#This Row],[PRN Med Started]]&lt;=AS$4,OR(Tbl_ResidentData[[#This Row],[PRN Med Discontinued]]&gt;AS$4,ISBLANK(Tbl_ResidentData[[#This Row],[PRN Med Discontinued]])))</f>
        <v>0</v>
      </c>
      <c r="BR151" s="121" t="b">
        <f ca="1">AND(Tbl_ResidentData[[#This Row],[PRN Med Started]]&lt;&gt;"",Tbl_ResidentData[[#This Row],[PRN Med Started]]&lt;=NOW(),Tbl_ResidentData[[#This Row],[PRN Med Started]]&lt;=AT$4,OR(Tbl_ResidentData[[#This Row],[PRN Med Discontinued]]&gt;AT$4,ISBLANK(Tbl_ResidentData[[#This Row],[PRN Med Discontinued]])))</f>
        <v>0</v>
      </c>
      <c r="BS151" s="121" t="b">
        <f ca="1">AND(Tbl_ResidentData[[#This Row],[PRN Med Started]]&lt;&gt;"",Tbl_ResidentData[[#This Row],[PRN Med Started]]&lt;=NOW(),Tbl_ResidentData[[#This Row],[PRN Med Started]]&lt;=AU$4,OR(Tbl_ResidentData[[#This Row],[PRN Med Discontinued]]&gt;AU$4,ISBLANK(Tbl_ResidentData[[#This Row],[PRN Med Discontinued]])))</f>
        <v>0</v>
      </c>
      <c r="BT151" s="121" t="b">
        <f ca="1">AND(Tbl_ResidentData[[#This Row],[PRN Med Started]]&lt;&gt;"",Tbl_ResidentData[[#This Row],[PRN Med Started]]&lt;=NOW(),Tbl_ResidentData[[#This Row],[PRN Med Started]]&lt;=AV$4,OR(Tbl_ResidentData[[#This Row],[PRN Med Discontinued]]&gt;AV$4,ISBLANK(Tbl_ResidentData[[#This Row],[PRN Med Discontinued]])))</f>
        <v>0</v>
      </c>
      <c r="BU151" s="121" t="b">
        <f ca="1">AND(Tbl_ResidentData[[#This Row],[PRN Med Started]]&lt;&gt;"",Tbl_ResidentData[[#This Row],[PRN Med Started]]&lt;=NOW(),Tbl_ResidentData[[#This Row],[PRN Med Started]]&lt;=AW$4,OR(Tbl_ResidentData[[#This Row],[PRN Med Discontinued]]&gt;AW$4,ISBLANK(Tbl_ResidentData[[#This Row],[PRN Med Discontinued]])))</f>
        <v>0</v>
      </c>
      <c r="BV151" s="121" t="b">
        <f ca="1">AND(Tbl_ResidentData[[#This Row],[PRN Med Started]]&lt;&gt;"",Tbl_ResidentData[[#This Row],[PRN Med Started]]&lt;=NOW(),Tbl_ResidentData[[#This Row],[PRN Med Started]]&lt;=AX$4,OR(Tbl_ResidentData[[#This Row],[PRN Med Discontinued]]&gt;AX$4,ISBLANK(Tbl_ResidentData[[#This Row],[PRN Med Discontinued]])))</f>
        <v>0</v>
      </c>
      <c r="BW151" s="121" t="b">
        <f ca="1">AND(Tbl_ResidentData[[#This Row],[PRN Med Started]]&lt;&gt;"",Tbl_ResidentData[[#This Row],[PRN Med Started]]&lt;=NOW(),Tbl_ResidentData[[#This Row],[PRN Med Started]]&lt;=AY$4,OR(Tbl_ResidentData[[#This Row],[PRN Med Discontinued]]&gt;AY$4,ISBLANK(Tbl_ResidentData[[#This Row],[PRN Med Discontinued]])))</f>
        <v>0</v>
      </c>
      <c r="BX151" s="121" t="b">
        <f ca="1">AND(Tbl_ResidentData[[#This Row],[PRN Med Started]]&lt;&gt;"",Tbl_ResidentData[[#This Row],[PRN Med Started]]&lt;=NOW(),Tbl_ResidentData[[#This Row],[PRN Med Started]]&lt;=AZ$4,OR(Tbl_ResidentData[[#This Row],[PRN Med Discontinued]]&gt;AZ$4,ISBLANK(Tbl_ResidentData[[#This Row],[PRN Med Discontinued]])))</f>
        <v>0</v>
      </c>
      <c r="BY151" s="121" t="b">
        <f ca="1">AND(Tbl_ResidentData[[#This Row],[PRN Med Started]]&lt;&gt;"",Tbl_ResidentData[[#This Row],[PRN Med Started]]&lt;=NOW(),Tbl_ResidentData[[#This Row],[PRN Med Started]]&lt;=BA$4,OR(Tbl_ResidentData[[#This Row],[PRN Med Discontinued]]&gt;BA$4,ISBLANK(Tbl_ResidentData[[#This Row],[PRN Med Discontinued]])))</f>
        <v>0</v>
      </c>
      <c r="BZ151" s="121" t="b">
        <f ca="1">AND(Tbl_ResidentData[[#This Row],[PRN Med Started]]&lt;&gt;"",Tbl_ResidentData[[#This Row],[PRN Med Started]]&lt;=NOW(),Tbl_ResidentData[[#This Row],[PRN Med Started]]&lt;=BB$4,OR(Tbl_ResidentData[[#This Row],[PRN Med Discontinued]]&gt;BB$4,ISBLANK(Tbl_ResidentData[[#This Row],[PRN Med Discontinued]])))</f>
        <v>0</v>
      </c>
      <c r="CA151" s="121" t="b">
        <f ca="1">AND(Tbl_ResidentData[[#This Row],[PRN Med Started]]&lt;&gt;"",Tbl_ResidentData[[#This Row],[PRN Med Started]]&lt;=NOW(),Tbl_ResidentData[[#This Row],[PRN Med Started]]&lt;=BC$4,OR(Tbl_ResidentData[[#This Row],[PRN Med Discontinued]]&gt;BC$4,ISBLANK(Tbl_ResidentData[[#This Row],[PRN Med Discontinued]])))</f>
        <v>0</v>
      </c>
      <c r="CB151" s="121" t="b">
        <f ca="1">AND(Tbl_ResidentData[[#This Row],[PRN Med Started]]&lt;&gt;"",Tbl_ResidentData[[#This Row],[PRN Med Started]]&lt;=NOW(),Tbl_ResidentData[[#This Row],[PRN Med Started]]&lt;=BD$4,OR(Tbl_ResidentData[[#This Row],[PRN Med Discontinued]]&gt;BD$4,ISBLANK(Tbl_ResidentData[[#This Row],[PRN Med Discontinued]])))</f>
        <v>0</v>
      </c>
      <c r="CC151" s="121" t="b">
        <f ca="1">AND(Tbl_ResidentData[[#This Row],[PRN Med Started]]&lt;&gt;"",Tbl_ResidentData[[#This Row],[PRN Med Started]]&lt;=NOW(),Tbl_ResidentData[[#This Row],[PRN Med Started]]&lt;=BE$4,OR(Tbl_ResidentData[[#This Row],[PRN Med Discontinued]]&gt;BE$4,ISBLANK(Tbl_ResidentData[[#This Row],[PRN Med Discontinued]])))</f>
        <v>0</v>
      </c>
      <c r="CD151" s="121" t="b">
        <f ca="1">AND(Tbl_ResidentData[[#This Row],[PRN Med Started]]&lt;&gt;"",Tbl_ResidentData[[#This Row],[PRN Med Started]]&lt;=NOW(),Tbl_ResidentData[[#This Row],[PRN Med Started]]&lt;=BF$4,OR(Tbl_ResidentData[[#This Row],[PRN Med Discontinued]]&gt;BF$4,ISBLANK(Tbl_ResidentData[[#This Row],[PRN Med Discontinued]])))</f>
        <v>0</v>
      </c>
      <c r="CE151" s="121" t="b">
        <f ca="1">AND(Tbl_ResidentData[[#This Row],[PRN Med Started]]&lt;&gt;"",Tbl_ResidentData[[#This Row],[PRN Med Started]]&lt;=NOW(),Tbl_ResidentData[[#This Row],[PRN Med Started]]&lt;=BG$4,OR(Tbl_ResidentData[[#This Row],[PRN Med Discontinued]]&gt;BG$4,ISBLANK(Tbl_ResidentData[[#This Row],[PRN Med Discontinued]])))</f>
        <v>0</v>
      </c>
      <c r="CF151" s="121" t="b">
        <f ca="1">AND(Tbl_ResidentData[[#This Row],[PRN Med Started]]&lt;&gt;"",Tbl_ResidentData[[#This Row],[PRN Med Started]]&lt;=NOW(),Tbl_ResidentData[[#This Row],[PRN Med Started]]&lt;=BH$4,OR(Tbl_ResidentData[[#This Row],[PRN Med Discontinued]]&gt;BH$4,ISBLANK(Tbl_ResidentData[[#This Row],[PRN Med Discontinued]])))</f>
        <v>0</v>
      </c>
      <c r="CG151" s="121" t="b">
        <f ca="1">AND(Tbl_ResidentData[[#This Row],[PRN Med Started]]&lt;&gt;"",Tbl_ResidentData[[#This Row],[PRN Med Started]]&lt;=NOW(),Tbl_ResidentData[[#This Row],[PRN Med Started]]&lt;=BI$4,OR(Tbl_ResidentData[[#This Row],[PRN Med Discontinued]]&gt;BI$4,ISBLANK(Tbl_ResidentData[[#This Row],[PRN Med Discontinued]])))</f>
        <v>0</v>
      </c>
      <c r="CH151" s="121" t="b">
        <f ca="1">AND(Tbl_ResidentData[[#This Row],[PRN Med Started]]&lt;&gt;"",Tbl_ResidentData[[#This Row],[PRN Med Started]]&lt;=NOW(),Tbl_ResidentData[[#This Row],[PRN Med Started]]&lt;=BJ$4,OR(Tbl_ResidentData[[#This Row],[PRN Med Discontinued]]&gt;BJ$4,ISBLANK(Tbl_ResidentData[[#This Row],[PRN Med Discontinued]])))</f>
        <v>0</v>
      </c>
      <c r="CI151" s="121" t="b">
        <f ca="1">AND(Tbl_ResidentData[[#This Row],[PRN Med Started]]&lt;&gt;"",Tbl_ResidentData[[#This Row],[PRN Med Started]]&lt;=NOW(),Tbl_ResidentData[[#This Row],[PRN Med Started]]&lt;=BK$4,OR(Tbl_ResidentData[[#This Row],[PRN Med Discontinued]]&gt;BK$4,ISBLANK(Tbl_ResidentData[[#This Row],[PRN Med Discontinued]])))</f>
        <v>0</v>
      </c>
      <c r="CJ151" s="121" t="b">
        <f ca="1">AND(Tbl_ResidentData[[#This Row],[PRN Med Started]]&lt;&gt;"",Tbl_ResidentData[[#This Row],[PRN Med Started]]&lt;=NOW(),Tbl_ResidentData[[#This Row],[PRN Med Started]]&lt;=BL$4,OR(Tbl_ResidentData[[#This Row],[PRN Med Discontinued]]&gt;BL$4,ISBLANK(Tbl_ResidentData[[#This Row],[PRN Med Discontinued]])))</f>
        <v>0</v>
      </c>
      <c r="CK151" s="121" t="b">
        <f ca="1">AND(Tbl_ResidentData[[#This Row],[PRN Med Started]]&lt;&gt;"",Tbl_ResidentData[[#This Row],[PRN Med Started]]&lt;=NOW(),Tbl_ResidentData[[#This Row],[PRN Med Started]]&lt;=BM$4,OR(Tbl_ResidentData[[#This Row],[PRN Med Discontinued]]&gt;BM$4,ISBLANK(Tbl_ResidentData[[#This Row],[PRN Med Discontinued]])))</f>
        <v>0</v>
      </c>
      <c r="CL151" s="121" t="b">
        <f ca="1">AND(Tbl_ResidentData[[#This Row],[PRN Med Started]]&lt;&gt;"",Tbl_ResidentData[[#This Row],[PRN Med Started]]&lt;=NOW(),Tbl_ResidentData[[#This Row],[PRN Med Started]]&lt;=BN$4,OR(Tbl_ResidentData[[#This Row],[PRN Med Discontinued]]&gt;BN$4,ISBLANK(Tbl_ResidentData[[#This Row],[PRN Med Discontinued]])))</f>
        <v>0</v>
      </c>
      <c r="CM151" s="121" t="b">
        <f ca="1">AND(Tbl_ResidentData[[#This Row],[PRN Med Started]]&lt;&gt;"",Tbl_ResidentData[[#This Row],[PRN Med Started]]&lt;=NOW(),Tbl_ResidentData[[#This Row],[PRN Med Started]]&lt;=BO$4,OR(Tbl_ResidentData[[#This Row],[PRN Med Discontinued]]&gt;BO$4,ISBLANK(Tbl_ResidentData[[#This Row],[PRN Med Discontinued]])))</f>
        <v>0</v>
      </c>
      <c r="CN151" s="122" t="b">
        <f ca="1">AND(Tbl_ResidentData[[#This Row],[PRN Med Started]]&lt;&gt;"",Tbl_ResidentData[[#This Row],[PRN Med Started]]&lt;=NOW(),Tbl_ResidentData[[#This Row],[PRN Med Started]]&lt;=BP$4,OR(Tbl_ResidentData[[#This Row],[PRN Med Discontinued]]&gt;BP$4,ISBLANK(Tbl_ResidentData[[#This Row],[PRN Med Discontinued]])))</f>
        <v>0</v>
      </c>
      <c r="CO151" s="120">
        <f ca="1">IF(OR(Tbl_ResidentData[[#This Row],[S1]]=TRUE,Tbl_ResidentData[[#This Row],[P1]]=TRUE),1,0)</f>
        <v>0</v>
      </c>
      <c r="CP151" s="121">
        <f ca="1">IF(OR(Tbl_ResidentData[[#This Row],[S2]]=TRUE,Tbl_ResidentData[[#This Row],[P2]]=TRUE),1,0)</f>
        <v>0</v>
      </c>
      <c r="CQ151" s="121">
        <f ca="1">IF(OR(Tbl_ResidentData[[#This Row],[S3]]=TRUE,Tbl_ResidentData[[#This Row],[P3]]=TRUE),1,0)</f>
        <v>0</v>
      </c>
      <c r="CR151" s="120">
        <f ca="1">IF(OR(Tbl_ResidentData[[#This Row],[S4]]=TRUE,Tbl_ResidentData[[#This Row],[P4]]=TRUE),1,0)</f>
        <v>0</v>
      </c>
      <c r="CS151" s="120">
        <f ca="1">IF(OR(Tbl_ResidentData[[#This Row],[S5]]=TRUE,Tbl_ResidentData[[#This Row],[P5]]=TRUE),1,0)</f>
        <v>0</v>
      </c>
      <c r="CT151" s="120">
        <f ca="1">IF(OR(Tbl_ResidentData[[#This Row],[S6]]=TRUE,Tbl_ResidentData[[#This Row],[P6]]=TRUE),1,0)</f>
        <v>0</v>
      </c>
      <c r="CU151" s="120">
        <f ca="1">IF(OR(Tbl_ResidentData[[#This Row],[S7]]=TRUE,Tbl_ResidentData[[#This Row],[P7]]=TRUE),1,0)</f>
        <v>0</v>
      </c>
      <c r="CV151" s="120">
        <f ca="1">IF(OR(Tbl_ResidentData[[#This Row],[S8]]=TRUE,Tbl_ResidentData[[#This Row],[P8]]=TRUE),1,0)</f>
        <v>0</v>
      </c>
      <c r="CW151" s="120">
        <f ca="1">IF(OR(Tbl_ResidentData[[#This Row],[S9]]=TRUE,Tbl_ResidentData[[#This Row],[P9]]=TRUE),1,0)</f>
        <v>0</v>
      </c>
      <c r="CX151" s="120">
        <f ca="1">IF(OR(Tbl_ResidentData[[#This Row],[S10]]=TRUE,Tbl_ResidentData[[#This Row],[P10]]=TRUE),1,0)</f>
        <v>0</v>
      </c>
      <c r="CY151" s="120">
        <f ca="1">IF(OR(Tbl_ResidentData[[#This Row],[S11]]=TRUE,Tbl_ResidentData[[#This Row],[P11]]=TRUE),1,0)</f>
        <v>0</v>
      </c>
      <c r="CZ151" s="120">
        <f ca="1">IF(OR(Tbl_ResidentData[[#This Row],[S12]]=TRUE,Tbl_ResidentData[[#This Row],[P12]]=TRUE),1,0)</f>
        <v>0</v>
      </c>
      <c r="DA151" s="120">
        <f ca="1">IF(OR(Tbl_ResidentData[[#This Row],[S13]]=TRUE,Tbl_ResidentData[[#This Row],[P13]]=TRUE),1,0)</f>
        <v>0</v>
      </c>
      <c r="DB151" s="120">
        <f ca="1">IF(OR(Tbl_ResidentData[[#This Row],[S14]]=TRUE,Tbl_ResidentData[[#This Row],[P14]]=TRUE),1,0)</f>
        <v>0</v>
      </c>
      <c r="DC151" s="120">
        <f ca="1">IF(OR(Tbl_ResidentData[[#This Row],[S15]]=TRUE,Tbl_ResidentData[[#This Row],[P15]]=TRUE),1,0)</f>
        <v>0</v>
      </c>
      <c r="DD151" s="120">
        <f ca="1">IF(OR(Tbl_ResidentData[[#This Row],[S16]]=TRUE,Tbl_ResidentData[[#This Row],[P16]]=TRUE),1,0)</f>
        <v>0</v>
      </c>
      <c r="DE151" s="120">
        <f ca="1">IF(OR(Tbl_ResidentData[[#This Row],[S17]]=TRUE,Tbl_ResidentData[[#This Row],[P17]]=TRUE),1,0)</f>
        <v>0</v>
      </c>
      <c r="DF151" s="120">
        <f ca="1">IF(OR(Tbl_ResidentData[[#This Row],[S18]]=TRUE,Tbl_ResidentData[[#This Row],[P18]]=TRUE),1,0)</f>
        <v>0</v>
      </c>
      <c r="DG151" s="120">
        <f ca="1">IF(OR(Tbl_ResidentData[[#This Row],[S19]]=TRUE,Tbl_ResidentData[[#This Row],[P19]]=TRUE),1,0)</f>
        <v>0</v>
      </c>
      <c r="DH151" s="120">
        <f ca="1">IF(OR(Tbl_ResidentData[[#This Row],[S20]]=TRUE,Tbl_ResidentData[[#This Row],[P20]]=TRUE),1,0)</f>
        <v>0</v>
      </c>
      <c r="DI151" s="120">
        <f ca="1">IF(OR(Tbl_ResidentData[[#This Row],[S21]]=TRUE,Tbl_ResidentData[[#This Row],[P21]]=TRUE),1,0)</f>
        <v>0</v>
      </c>
      <c r="DJ151" s="120">
        <f ca="1">IF(OR(Tbl_ResidentData[[#This Row],[S22]]=TRUE,Tbl_ResidentData[[#This Row],[P22]]=TRUE),1,0)</f>
        <v>0</v>
      </c>
      <c r="DK151" s="120">
        <f ca="1">IF(OR(Tbl_ResidentData[[#This Row],[S23]]=TRUE,Tbl_ResidentData[[#This Row],[P23]]=TRUE),1,0)</f>
        <v>0</v>
      </c>
      <c r="DL151" s="120">
        <f ca="1">IF(OR(Tbl_ResidentData[[#This Row],[S24]]=TRUE,Tbl_ResidentData[[#This Row],[P24]]=TRUE),1,0)</f>
        <v>0</v>
      </c>
      <c r="DM151" s="123" t="str">
        <f ca="1">IFERROR(INDEX($CO$4:$DL$4,MATCH(TRUE,INDEX((Tbl_ResidentData[[#This Row],[Over1]:[Over24]]&lt;&gt;0),0),0)),"")</f>
        <v/>
      </c>
      <c r="DN151" s="133" t="str">
        <f>IFERROR(INDEX(Tbl_PDSAData[Last DRT],MATCH(Tbl_ResidentData[Resident Name '[last, first']],Tbl_PDSAData[Resident Name (last, first)],0)),"")</f>
        <v/>
      </c>
      <c r="DO151" s="222" t="str">
        <f>IFERROR(INDEX(Tbl_PDSAData[Last MR],MATCH(Tbl_ResidentData[Resident Name '[last, first']],Tbl_PDSAData[Resident Name (last, first)],0)),"")</f>
        <v/>
      </c>
    </row>
    <row r="152" spans="1:119" x14ac:dyDescent="0.25">
      <c r="A152" s="179"/>
      <c r="B152" s="180"/>
      <c r="C152" s="180"/>
      <c r="D152" s="218"/>
      <c r="E152" s="179"/>
      <c r="F152" s="179"/>
      <c r="G152" s="181"/>
      <c r="H152" s="375"/>
      <c r="I152" s="185"/>
      <c r="J152" s="387"/>
      <c r="K152" s="178"/>
      <c r="L152" s="388"/>
      <c r="M152" s="185"/>
      <c r="N152" s="386"/>
      <c r="O152" s="178"/>
      <c r="P152" s="388"/>
      <c r="Q152" s="394"/>
      <c r="R152" s="388"/>
      <c r="S152" s="131" t="str">
        <f>IF(ISBLANK(Tbl_ResidentData[[#This Row],[Discharge '[mmm-yyyy']]]),IF(ISBLANK(Tbl_ResidentData[[#This Row],[Enrollment '[mmm-yyyy']]]),"","In Care Home"),"Discharged")</f>
        <v/>
      </c>
      <c r="T152" s="119" t="str">
        <f>IF(ISBLANK(Tbl_ResidentData[[#This Row],[Diagnosis (RAI)]]),IF(ISBLANK(Tbl_ResidentData[[#This Row],[Resident Name '[last, first']]]),"",0),IF(Tbl_ResidentData[[#This Row],[Diagnosis (RAI)]]="Other (see clinical notes)",0,1))</f>
        <v/>
      </c>
      <c r="U152" s="120" t="str">
        <f ca="1">IF(U$4&gt;NOW(),"-",IF(ISBLANK(Tbl_ResidentData[[#This Row],[Enrollment '[mmm-yyyy']]]),"-",AND((Tbl_ResidentData[[#This Row],[Enrollment '[mmm-yyyy']]]&lt;=U$4),IF(ISBLANK(Tbl_ResidentData[[#This Row],[Discharge '[mmm-yyyy']]]),TRUE,(Tbl_ResidentData[[#This Row],[Discharge '[mmm-yyyy']]]&gt;=U$4)))))</f>
        <v>-</v>
      </c>
      <c r="V152" s="121" t="str">
        <f ca="1">IF(V$4&gt;NOW(),"-",IF(ISBLANK(Tbl_ResidentData[[#This Row],[Enrollment '[mmm-yyyy']]]),"-",AND((Tbl_ResidentData[[#This Row],[Enrollment '[mmm-yyyy']]]&lt;=V$4),IF(ISBLANK(Tbl_ResidentData[[#This Row],[Discharge '[mmm-yyyy']]]),TRUE,(Tbl_ResidentData[[#This Row],[Discharge '[mmm-yyyy']]]&gt;=V$4)))))</f>
        <v>-</v>
      </c>
      <c r="W152" s="121" t="str">
        <f ca="1">IF(W$4&gt;NOW(),"-",IF(ISBLANK(Tbl_ResidentData[[#This Row],[Enrollment '[mmm-yyyy']]]),"-",AND((Tbl_ResidentData[[#This Row],[Enrollment '[mmm-yyyy']]]&lt;=W$4),IF(ISBLANK(Tbl_ResidentData[[#This Row],[Discharge '[mmm-yyyy']]]),TRUE,(Tbl_ResidentData[[#This Row],[Discharge '[mmm-yyyy']]]&gt;=W$4)))))</f>
        <v>-</v>
      </c>
      <c r="X152" s="121" t="str">
        <f ca="1">IF(X$4&gt;NOW(),"-",IF(ISBLANK(Tbl_ResidentData[[#This Row],[Enrollment '[mmm-yyyy']]]),"-",AND((Tbl_ResidentData[[#This Row],[Enrollment '[mmm-yyyy']]]&lt;=X$4),IF(ISBLANK(Tbl_ResidentData[[#This Row],[Discharge '[mmm-yyyy']]]),TRUE,(Tbl_ResidentData[[#This Row],[Discharge '[mmm-yyyy']]]&gt;=X$4)))))</f>
        <v>-</v>
      </c>
      <c r="Y152" s="121" t="str">
        <f ca="1">IF(Y$4&gt;NOW(),"-",IF(ISBLANK(Tbl_ResidentData[[#This Row],[Enrollment '[mmm-yyyy']]]),"-",AND((Tbl_ResidentData[[#This Row],[Enrollment '[mmm-yyyy']]]&lt;=Y$4),IF(ISBLANK(Tbl_ResidentData[[#This Row],[Discharge '[mmm-yyyy']]]),TRUE,(Tbl_ResidentData[[#This Row],[Discharge '[mmm-yyyy']]]&gt;=Y$4)))))</f>
        <v>-</v>
      </c>
      <c r="Z152" s="121" t="str">
        <f ca="1">IF(Z$4&gt;NOW(),"-",IF(ISBLANK(Tbl_ResidentData[[#This Row],[Enrollment '[mmm-yyyy']]]),"-",AND((Tbl_ResidentData[[#This Row],[Enrollment '[mmm-yyyy']]]&lt;=Z$4),IF(ISBLANK(Tbl_ResidentData[[#This Row],[Discharge '[mmm-yyyy']]]),TRUE,(Tbl_ResidentData[[#This Row],[Discharge '[mmm-yyyy']]]&gt;=Z$4)))))</f>
        <v>-</v>
      </c>
      <c r="AA152" s="121" t="str">
        <f ca="1">IF(AA$4&gt;NOW(),"-",IF(ISBLANK(Tbl_ResidentData[[#This Row],[Enrollment '[mmm-yyyy']]]),"-",AND((Tbl_ResidentData[[#This Row],[Enrollment '[mmm-yyyy']]]&lt;=AA$4),IF(ISBLANK(Tbl_ResidentData[[#This Row],[Discharge '[mmm-yyyy']]]),TRUE,(Tbl_ResidentData[[#This Row],[Discharge '[mmm-yyyy']]]&gt;=AA$4)))))</f>
        <v>-</v>
      </c>
      <c r="AB152" s="121" t="str">
        <f ca="1">IF(AB$4&gt;NOW(),"-",IF(ISBLANK(Tbl_ResidentData[[#This Row],[Enrollment '[mmm-yyyy']]]),"-",AND((Tbl_ResidentData[[#This Row],[Enrollment '[mmm-yyyy']]]&lt;=AB$4),IF(ISBLANK(Tbl_ResidentData[[#This Row],[Discharge '[mmm-yyyy']]]),TRUE,(Tbl_ResidentData[[#This Row],[Discharge '[mmm-yyyy']]]&gt;=AB$4)))))</f>
        <v>-</v>
      </c>
      <c r="AC152" s="121" t="str">
        <f ca="1">IF(AC$4&gt;NOW(),"-",IF(ISBLANK(Tbl_ResidentData[[#This Row],[Enrollment '[mmm-yyyy']]]),"-",AND((Tbl_ResidentData[[#This Row],[Enrollment '[mmm-yyyy']]]&lt;=AC$4),IF(ISBLANK(Tbl_ResidentData[[#This Row],[Discharge '[mmm-yyyy']]]),TRUE,(Tbl_ResidentData[[#This Row],[Discharge '[mmm-yyyy']]]&gt;=AC$4)))))</f>
        <v>-</v>
      </c>
      <c r="AD152" s="121" t="str">
        <f ca="1">IF(AD$4&gt;NOW(),"-",IF(ISBLANK(Tbl_ResidentData[[#This Row],[Enrollment '[mmm-yyyy']]]),"-",AND((Tbl_ResidentData[[#This Row],[Enrollment '[mmm-yyyy']]]&lt;=AD$4),IF(ISBLANK(Tbl_ResidentData[[#This Row],[Discharge '[mmm-yyyy']]]),TRUE,(Tbl_ResidentData[[#This Row],[Discharge '[mmm-yyyy']]]&gt;=AD$4)))))</f>
        <v>-</v>
      </c>
      <c r="AE152" s="121" t="str">
        <f ca="1">IF(AE$4&gt;NOW(),"-",IF(ISBLANK(Tbl_ResidentData[[#This Row],[Enrollment '[mmm-yyyy']]]),"-",AND((Tbl_ResidentData[[#This Row],[Enrollment '[mmm-yyyy']]]&lt;=AE$4),IF(ISBLANK(Tbl_ResidentData[[#This Row],[Discharge '[mmm-yyyy']]]),TRUE,(Tbl_ResidentData[[#This Row],[Discharge '[mmm-yyyy']]]&gt;=AE$4)))))</f>
        <v>-</v>
      </c>
      <c r="AF152" s="121" t="str">
        <f ca="1">IF(AF$4&gt;NOW(),"-",IF(ISBLANK(Tbl_ResidentData[[#This Row],[Enrollment '[mmm-yyyy']]]),"-",AND((Tbl_ResidentData[[#This Row],[Enrollment '[mmm-yyyy']]]&lt;=AF$4),IF(ISBLANK(Tbl_ResidentData[[#This Row],[Discharge '[mmm-yyyy']]]),TRUE,(Tbl_ResidentData[[#This Row],[Discharge '[mmm-yyyy']]]&gt;=AF$4)))))</f>
        <v>-</v>
      </c>
      <c r="AG152" s="121" t="str">
        <f ca="1">IF(AG$4&gt;NOW(),"-",IF(ISBLANK(Tbl_ResidentData[[#This Row],[Enrollment '[mmm-yyyy']]]),"-",AND((Tbl_ResidentData[[#This Row],[Enrollment '[mmm-yyyy']]]&lt;=AG$4),IF(ISBLANK(Tbl_ResidentData[[#This Row],[Discharge '[mmm-yyyy']]]),TRUE,(Tbl_ResidentData[[#This Row],[Discharge '[mmm-yyyy']]]&gt;=AG$4)))))</f>
        <v>-</v>
      </c>
      <c r="AH152" s="121" t="str">
        <f ca="1">IF(AH$4&gt;NOW(),"-",IF(ISBLANK(Tbl_ResidentData[[#This Row],[Enrollment '[mmm-yyyy']]]),"-",AND((Tbl_ResidentData[[#This Row],[Enrollment '[mmm-yyyy']]]&lt;=AH$4),IF(ISBLANK(Tbl_ResidentData[[#This Row],[Discharge '[mmm-yyyy']]]),TRUE,(Tbl_ResidentData[[#This Row],[Discharge '[mmm-yyyy']]]&gt;=AH$4)))))</f>
        <v>-</v>
      </c>
      <c r="AI152" s="121" t="str">
        <f ca="1">IF(AI$4&gt;NOW(),"-",IF(ISBLANK(Tbl_ResidentData[[#This Row],[Enrollment '[mmm-yyyy']]]),"-",AND((Tbl_ResidentData[[#This Row],[Enrollment '[mmm-yyyy']]]&lt;=AI$4),IF(ISBLANK(Tbl_ResidentData[[#This Row],[Discharge '[mmm-yyyy']]]),TRUE,(Tbl_ResidentData[[#This Row],[Discharge '[mmm-yyyy']]]&gt;=AI$4)))))</f>
        <v>-</v>
      </c>
      <c r="AJ152" s="121" t="str">
        <f ca="1">IF(AJ$4&gt;NOW(),"-",IF(ISBLANK(Tbl_ResidentData[[#This Row],[Enrollment '[mmm-yyyy']]]),"-",AND((Tbl_ResidentData[[#This Row],[Enrollment '[mmm-yyyy']]]&lt;=AJ$4),IF(ISBLANK(Tbl_ResidentData[[#This Row],[Discharge '[mmm-yyyy']]]),TRUE,(Tbl_ResidentData[[#This Row],[Discharge '[mmm-yyyy']]]&gt;=AJ$4)))))</f>
        <v>-</v>
      </c>
      <c r="AK152" s="121" t="str">
        <f ca="1">IF(AK$4&gt;NOW(),"-",IF(ISBLANK(Tbl_ResidentData[[#This Row],[Enrollment '[mmm-yyyy']]]),"-",AND((Tbl_ResidentData[[#This Row],[Enrollment '[mmm-yyyy']]]&lt;=AK$4),IF(ISBLANK(Tbl_ResidentData[[#This Row],[Discharge '[mmm-yyyy']]]),TRUE,(Tbl_ResidentData[[#This Row],[Discharge '[mmm-yyyy']]]&gt;=AK$4)))))</f>
        <v>-</v>
      </c>
      <c r="AL152" s="121" t="str">
        <f ca="1">IF(AL$4&gt;NOW(),"-",IF(ISBLANK(Tbl_ResidentData[[#This Row],[Enrollment '[mmm-yyyy']]]),"-",AND((Tbl_ResidentData[[#This Row],[Enrollment '[mmm-yyyy']]]&lt;=AL$4),IF(ISBLANK(Tbl_ResidentData[[#This Row],[Discharge '[mmm-yyyy']]]),TRUE,(Tbl_ResidentData[[#This Row],[Discharge '[mmm-yyyy']]]&gt;=AL$4)))))</f>
        <v>-</v>
      </c>
      <c r="AM152" s="121" t="str">
        <f ca="1">IF(AM$4&gt;NOW(),"-",IF(ISBLANK(Tbl_ResidentData[[#This Row],[Enrollment '[mmm-yyyy']]]),"-",AND((Tbl_ResidentData[[#This Row],[Enrollment '[mmm-yyyy']]]&lt;=AM$4),IF(ISBLANK(Tbl_ResidentData[[#This Row],[Discharge '[mmm-yyyy']]]),TRUE,(Tbl_ResidentData[[#This Row],[Discharge '[mmm-yyyy']]]&gt;=AM$4)))))</f>
        <v>-</v>
      </c>
      <c r="AN152" s="121" t="str">
        <f ca="1">IF(AN$4&gt;NOW(),"-",IF(ISBLANK(Tbl_ResidentData[[#This Row],[Enrollment '[mmm-yyyy']]]),"-",AND((Tbl_ResidentData[[#This Row],[Enrollment '[mmm-yyyy']]]&lt;=AN$4),IF(ISBLANK(Tbl_ResidentData[[#This Row],[Discharge '[mmm-yyyy']]]),TRUE,(Tbl_ResidentData[[#This Row],[Discharge '[mmm-yyyy']]]&gt;=AN$4)))))</f>
        <v>-</v>
      </c>
      <c r="AO152" s="121" t="str">
        <f ca="1">IF(AO$4&gt;NOW(),"-",IF(ISBLANK(Tbl_ResidentData[[#This Row],[Enrollment '[mmm-yyyy']]]),"-",AND((Tbl_ResidentData[[#This Row],[Enrollment '[mmm-yyyy']]]&lt;=AO$4),IF(ISBLANK(Tbl_ResidentData[[#This Row],[Discharge '[mmm-yyyy']]]),TRUE,(Tbl_ResidentData[[#This Row],[Discharge '[mmm-yyyy']]]&gt;=AO$4)))))</f>
        <v>-</v>
      </c>
      <c r="AP152" s="121" t="str">
        <f ca="1">IF(AP$4&gt;NOW(),"-",IF(ISBLANK(Tbl_ResidentData[[#This Row],[Enrollment '[mmm-yyyy']]]),"-",AND((Tbl_ResidentData[[#This Row],[Enrollment '[mmm-yyyy']]]&lt;=AP$4),IF(ISBLANK(Tbl_ResidentData[[#This Row],[Discharge '[mmm-yyyy']]]),TRUE,(Tbl_ResidentData[[#This Row],[Discharge '[mmm-yyyy']]]&gt;=AP$4)))))</f>
        <v>-</v>
      </c>
      <c r="AQ152" s="121" t="str">
        <f ca="1">IF(AQ$4&gt;NOW(),"-",IF(ISBLANK(Tbl_ResidentData[[#This Row],[Enrollment '[mmm-yyyy']]]),"-",AND((Tbl_ResidentData[[#This Row],[Enrollment '[mmm-yyyy']]]&lt;=AQ$4),IF(ISBLANK(Tbl_ResidentData[[#This Row],[Discharge '[mmm-yyyy']]]),TRUE,(Tbl_ResidentData[[#This Row],[Discharge '[mmm-yyyy']]]&gt;=AQ$4)))))</f>
        <v>-</v>
      </c>
      <c r="AR152" s="122" t="str">
        <f ca="1">IF(AR$4&gt;NOW(),"-",IF(ISBLANK(Tbl_ResidentData[[#This Row],[Enrollment '[mmm-yyyy']]]),"-",AND((Tbl_ResidentData[[#This Row],[Enrollment '[mmm-yyyy']]]&lt;=AR$4),IF(ISBLANK(Tbl_ResidentData[[#This Row],[Discharge '[mmm-yyyy']]]),TRUE,(Tbl_ResidentData[[#This Row],[Discharge '[mmm-yyyy']]]&gt;=AR$4)))))</f>
        <v>-</v>
      </c>
      <c r="AS15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2" s="120" t="b">
        <f ca="1">AND(Tbl_ResidentData[[#This Row],[PRN Med Started]]&lt;&gt;"",Tbl_ResidentData[[#This Row],[PRN Med Started]]&lt;=NOW(),Tbl_ResidentData[[#This Row],[PRN Med Started]]&lt;=AS$4,OR(Tbl_ResidentData[[#This Row],[PRN Med Discontinued]]&gt;AS$4,ISBLANK(Tbl_ResidentData[[#This Row],[PRN Med Discontinued]])))</f>
        <v>0</v>
      </c>
      <c r="BR152" s="121" t="b">
        <f ca="1">AND(Tbl_ResidentData[[#This Row],[PRN Med Started]]&lt;&gt;"",Tbl_ResidentData[[#This Row],[PRN Med Started]]&lt;=NOW(),Tbl_ResidentData[[#This Row],[PRN Med Started]]&lt;=AT$4,OR(Tbl_ResidentData[[#This Row],[PRN Med Discontinued]]&gt;AT$4,ISBLANK(Tbl_ResidentData[[#This Row],[PRN Med Discontinued]])))</f>
        <v>0</v>
      </c>
      <c r="BS152" s="121" t="b">
        <f ca="1">AND(Tbl_ResidentData[[#This Row],[PRN Med Started]]&lt;&gt;"",Tbl_ResidentData[[#This Row],[PRN Med Started]]&lt;=NOW(),Tbl_ResidentData[[#This Row],[PRN Med Started]]&lt;=AU$4,OR(Tbl_ResidentData[[#This Row],[PRN Med Discontinued]]&gt;AU$4,ISBLANK(Tbl_ResidentData[[#This Row],[PRN Med Discontinued]])))</f>
        <v>0</v>
      </c>
      <c r="BT152" s="121" t="b">
        <f ca="1">AND(Tbl_ResidentData[[#This Row],[PRN Med Started]]&lt;&gt;"",Tbl_ResidentData[[#This Row],[PRN Med Started]]&lt;=NOW(),Tbl_ResidentData[[#This Row],[PRN Med Started]]&lt;=AV$4,OR(Tbl_ResidentData[[#This Row],[PRN Med Discontinued]]&gt;AV$4,ISBLANK(Tbl_ResidentData[[#This Row],[PRN Med Discontinued]])))</f>
        <v>0</v>
      </c>
      <c r="BU152" s="121" t="b">
        <f ca="1">AND(Tbl_ResidentData[[#This Row],[PRN Med Started]]&lt;&gt;"",Tbl_ResidentData[[#This Row],[PRN Med Started]]&lt;=NOW(),Tbl_ResidentData[[#This Row],[PRN Med Started]]&lt;=AW$4,OR(Tbl_ResidentData[[#This Row],[PRN Med Discontinued]]&gt;AW$4,ISBLANK(Tbl_ResidentData[[#This Row],[PRN Med Discontinued]])))</f>
        <v>0</v>
      </c>
      <c r="BV152" s="121" t="b">
        <f ca="1">AND(Tbl_ResidentData[[#This Row],[PRN Med Started]]&lt;&gt;"",Tbl_ResidentData[[#This Row],[PRN Med Started]]&lt;=NOW(),Tbl_ResidentData[[#This Row],[PRN Med Started]]&lt;=AX$4,OR(Tbl_ResidentData[[#This Row],[PRN Med Discontinued]]&gt;AX$4,ISBLANK(Tbl_ResidentData[[#This Row],[PRN Med Discontinued]])))</f>
        <v>0</v>
      </c>
      <c r="BW152" s="121" t="b">
        <f ca="1">AND(Tbl_ResidentData[[#This Row],[PRN Med Started]]&lt;&gt;"",Tbl_ResidentData[[#This Row],[PRN Med Started]]&lt;=NOW(),Tbl_ResidentData[[#This Row],[PRN Med Started]]&lt;=AY$4,OR(Tbl_ResidentData[[#This Row],[PRN Med Discontinued]]&gt;AY$4,ISBLANK(Tbl_ResidentData[[#This Row],[PRN Med Discontinued]])))</f>
        <v>0</v>
      </c>
      <c r="BX152" s="121" t="b">
        <f ca="1">AND(Tbl_ResidentData[[#This Row],[PRN Med Started]]&lt;&gt;"",Tbl_ResidentData[[#This Row],[PRN Med Started]]&lt;=NOW(),Tbl_ResidentData[[#This Row],[PRN Med Started]]&lt;=AZ$4,OR(Tbl_ResidentData[[#This Row],[PRN Med Discontinued]]&gt;AZ$4,ISBLANK(Tbl_ResidentData[[#This Row],[PRN Med Discontinued]])))</f>
        <v>0</v>
      </c>
      <c r="BY152" s="121" t="b">
        <f ca="1">AND(Tbl_ResidentData[[#This Row],[PRN Med Started]]&lt;&gt;"",Tbl_ResidentData[[#This Row],[PRN Med Started]]&lt;=NOW(),Tbl_ResidentData[[#This Row],[PRN Med Started]]&lt;=BA$4,OR(Tbl_ResidentData[[#This Row],[PRN Med Discontinued]]&gt;BA$4,ISBLANK(Tbl_ResidentData[[#This Row],[PRN Med Discontinued]])))</f>
        <v>0</v>
      </c>
      <c r="BZ152" s="121" t="b">
        <f ca="1">AND(Tbl_ResidentData[[#This Row],[PRN Med Started]]&lt;&gt;"",Tbl_ResidentData[[#This Row],[PRN Med Started]]&lt;=NOW(),Tbl_ResidentData[[#This Row],[PRN Med Started]]&lt;=BB$4,OR(Tbl_ResidentData[[#This Row],[PRN Med Discontinued]]&gt;BB$4,ISBLANK(Tbl_ResidentData[[#This Row],[PRN Med Discontinued]])))</f>
        <v>0</v>
      </c>
      <c r="CA152" s="121" t="b">
        <f ca="1">AND(Tbl_ResidentData[[#This Row],[PRN Med Started]]&lt;&gt;"",Tbl_ResidentData[[#This Row],[PRN Med Started]]&lt;=NOW(),Tbl_ResidentData[[#This Row],[PRN Med Started]]&lt;=BC$4,OR(Tbl_ResidentData[[#This Row],[PRN Med Discontinued]]&gt;BC$4,ISBLANK(Tbl_ResidentData[[#This Row],[PRN Med Discontinued]])))</f>
        <v>0</v>
      </c>
      <c r="CB152" s="121" t="b">
        <f ca="1">AND(Tbl_ResidentData[[#This Row],[PRN Med Started]]&lt;&gt;"",Tbl_ResidentData[[#This Row],[PRN Med Started]]&lt;=NOW(),Tbl_ResidentData[[#This Row],[PRN Med Started]]&lt;=BD$4,OR(Tbl_ResidentData[[#This Row],[PRN Med Discontinued]]&gt;BD$4,ISBLANK(Tbl_ResidentData[[#This Row],[PRN Med Discontinued]])))</f>
        <v>0</v>
      </c>
      <c r="CC152" s="121" t="b">
        <f ca="1">AND(Tbl_ResidentData[[#This Row],[PRN Med Started]]&lt;&gt;"",Tbl_ResidentData[[#This Row],[PRN Med Started]]&lt;=NOW(),Tbl_ResidentData[[#This Row],[PRN Med Started]]&lt;=BE$4,OR(Tbl_ResidentData[[#This Row],[PRN Med Discontinued]]&gt;BE$4,ISBLANK(Tbl_ResidentData[[#This Row],[PRN Med Discontinued]])))</f>
        <v>0</v>
      </c>
      <c r="CD152" s="121" t="b">
        <f ca="1">AND(Tbl_ResidentData[[#This Row],[PRN Med Started]]&lt;&gt;"",Tbl_ResidentData[[#This Row],[PRN Med Started]]&lt;=NOW(),Tbl_ResidentData[[#This Row],[PRN Med Started]]&lt;=BF$4,OR(Tbl_ResidentData[[#This Row],[PRN Med Discontinued]]&gt;BF$4,ISBLANK(Tbl_ResidentData[[#This Row],[PRN Med Discontinued]])))</f>
        <v>0</v>
      </c>
      <c r="CE152" s="121" t="b">
        <f ca="1">AND(Tbl_ResidentData[[#This Row],[PRN Med Started]]&lt;&gt;"",Tbl_ResidentData[[#This Row],[PRN Med Started]]&lt;=NOW(),Tbl_ResidentData[[#This Row],[PRN Med Started]]&lt;=BG$4,OR(Tbl_ResidentData[[#This Row],[PRN Med Discontinued]]&gt;BG$4,ISBLANK(Tbl_ResidentData[[#This Row],[PRN Med Discontinued]])))</f>
        <v>0</v>
      </c>
      <c r="CF152" s="121" t="b">
        <f ca="1">AND(Tbl_ResidentData[[#This Row],[PRN Med Started]]&lt;&gt;"",Tbl_ResidentData[[#This Row],[PRN Med Started]]&lt;=NOW(),Tbl_ResidentData[[#This Row],[PRN Med Started]]&lt;=BH$4,OR(Tbl_ResidentData[[#This Row],[PRN Med Discontinued]]&gt;BH$4,ISBLANK(Tbl_ResidentData[[#This Row],[PRN Med Discontinued]])))</f>
        <v>0</v>
      </c>
      <c r="CG152" s="121" t="b">
        <f ca="1">AND(Tbl_ResidentData[[#This Row],[PRN Med Started]]&lt;&gt;"",Tbl_ResidentData[[#This Row],[PRN Med Started]]&lt;=NOW(),Tbl_ResidentData[[#This Row],[PRN Med Started]]&lt;=BI$4,OR(Tbl_ResidentData[[#This Row],[PRN Med Discontinued]]&gt;BI$4,ISBLANK(Tbl_ResidentData[[#This Row],[PRN Med Discontinued]])))</f>
        <v>0</v>
      </c>
      <c r="CH152" s="121" t="b">
        <f ca="1">AND(Tbl_ResidentData[[#This Row],[PRN Med Started]]&lt;&gt;"",Tbl_ResidentData[[#This Row],[PRN Med Started]]&lt;=NOW(),Tbl_ResidentData[[#This Row],[PRN Med Started]]&lt;=BJ$4,OR(Tbl_ResidentData[[#This Row],[PRN Med Discontinued]]&gt;BJ$4,ISBLANK(Tbl_ResidentData[[#This Row],[PRN Med Discontinued]])))</f>
        <v>0</v>
      </c>
      <c r="CI152" s="121" t="b">
        <f ca="1">AND(Tbl_ResidentData[[#This Row],[PRN Med Started]]&lt;&gt;"",Tbl_ResidentData[[#This Row],[PRN Med Started]]&lt;=NOW(),Tbl_ResidentData[[#This Row],[PRN Med Started]]&lt;=BK$4,OR(Tbl_ResidentData[[#This Row],[PRN Med Discontinued]]&gt;BK$4,ISBLANK(Tbl_ResidentData[[#This Row],[PRN Med Discontinued]])))</f>
        <v>0</v>
      </c>
      <c r="CJ152" s="121" t="b">
        <f ca="1">AND(Tbl_ResidentData[[#This Row],[PRN Med Started]]&lt;&gt;"",Tbl_ResidentData[[#This Row],[PRN Med Started]]&lt;=NOW(),Tbl_ResidentData[[#This Row],[PRN Med Started]]&lt;=BL$4,OR(Tbl_ResidentData[[#This Row],[PRN Med Discontinued]]&gt;BL$4,ISBLANK(Tbl_ResidentData[[#This Row],[PRN Med Discontinued]])))</f>
        <v>0</v>
      </c>
      <c r="CK152" s="121" t="b">
        <f ca="1">AND(Tbl_ResidentData[[#This Row],[PRN Med Started]]&lt;&gt;"",Tbl_ResidentData[[#This Row],[PRN Med Started]]&lt;=NOW(),Tbl_ResidentData[[#This Row],[PRN Med Started]]&lt;=BM$4,OR(Tbl_ResidentData[[#This Row],[PRN Med Discontinued]]&gt;BM$4,ISBLANK(Tbl_ResidentData[[#This Row],[PRN Med Discontinued]])))</f>
        <v>0</v>
      </c>
      <c r="CL152" s="121" t="b">
        <f ca="1">AND(Tbl_ResidentData[[#This Row],[PRN Med Started]]&lt;&gt;"",Tbl_ResidentData[[#This Row],[PRN Med Started]]&lt;=NOW(),Tbl_ResidentData[[#This Row],[PRN Med Started]]&lt;=BN$4,OR(Tbl_ResidentData[[#This Row],[PRN Med Discontinued]]&gt;BN$4,ISBLANK(Tbl_ResidentData[[#This Row],[PRN Med Discontinued]])))</f>
        <v>0</v>
      </c>
      <c r="CM152" s="121" t="b">
        <f ca="1">AND(Tbl_ResidentData[[#This Row],[PRN Med Started]]&lt;&gt;"",Tbl_ResidentData[[#This Row],[PRN Med Started]]&lt;=NOW(),Tbl_ResidentData[[#This Row],[PRN Med Started]]&lt;=BO$4,OR(Tbl_ResidentData[[#This Row],[PRN Med Discontinued]]&gt;BO$4,ISBLANK(Tbl_ResidentData[[#This Row],[PRN Med Discontinued]])))</f>
        <v>0</v>
      </c>
      <c r="CN152" s="122" t="b">
        <f ca="1">AND(Tbl_ResidentData[[#This Row],[PRN Med Started]]&lt;&gt;"",Tbl_ResidentData[[#This Row],[PRN Med Started]]&lt;=NOW(),Tbl_ResidentData[[#This Row],[PRN Med Started]]&lt;=BP$4,OR(Tbl_ResidentData[[#This Row],[PRN Med Discontinued]]&gt;BP$4,ISBLANK(Tbl_ResidentData[[#This Row],[PRN Med Discontinued]])))</f>
        <v>0</v>
      </c>
      <c r="CO152" s="120">
        <f ca="1">IF(OR(Tbl_ResidentData[[#This Row],[S1]]=TRUE,Tbl_ResidentData[[#This Row],[P1]]=TRUE),1,0)</f>
        <v>0</v>
      </c>
      <c r="CP152" s="121">
        <f ca="1">IF(OR(Tbl_ResidentData[[#This Row],[S2]]=TRUE,Tbl_ResidentData[[#This Row],[P2]]=TRUE),1,0)</f>
        <v>0</v>
      </c>
      <c r="CQ152" s="121">
        <f ca="1">IF(OR(Tbl_ResidentData[[#This Row],[S3]]=TRUE,Tbl_ResidentData[[#This Row],[P3]]=TRUE),1,0)</f>
        <v>0</v>
      </c>
      <c r="CR152" s="120">
        <f ca="1">IF(OR(Tbl_ResidentData[[#This Row],[S4]]=TRUE,Tbl_ResidentData[[#This Row],[P4]]=TRUE),1,0)</f>
        <v>0</v>
      </c>
      <c r="CS152" s="120">
        <f ca="1">IF(OR(Tbl_ResidentData[[#This Row],[S5]]=TRUE,Tbl_ResidentData[[#This Row],[P5]]=TRUE),1,0)</f>
        <v>0</v>
      </c>
      <c r="CT152" s="120">
        <f ca="1">IF(OR(Tbl_ResidentData[[#This Row],[S6]]=TRUE,Tbl_ResidentData[[#This Row],[P6]]=TRUE),1,0)</f>
        <v>0</v>
      </c>
      <c r="CU152" s="120">
        <f ca="1">IF(OR(Tbl_ResidentData[[#This Row],[S7]]=TRUE,Tbl_ResidentData[[#This Row],[P7]]=TRUE),1,0)</f>
        <v>0</v>
      </c>
      <c r="CV152" s="120">
        <f ca="1">IF(OR(Tbl_ResidentData[[#This Row],[S8]]=TRUE,Tbl_ResidentData[[#This Row],[P8]]=TRUE),1,0)</f>
        <v>0</v>
      </c>
      <c r="CW152" s="120">
        <f ca="1">IF(OR(Tbl_ResidentData[[#This Row],[S9]]=TRUE,Tbl_ResidentData[[#This Row],[P9]]=TRUE),1,0)</f>
        <v>0</v>
      </c>
      <c r="CX152" s="120">
        <f ca="1">IF(OR(Tbl_ResidentData[[#This Row],[S10]]=TRUE,Tbl_ResidentData[[#This Row],[P10]]=TRUE),1,0)</f>
        <v>0</v>
      </c>
      <c r="CY152" s="120">
        <f ca="1">IF(OR(Tbl_ResidentData[[#This Row],[S11]]=TRUE,Tbl_ResidentData[[#This Row],[P11]]=TRUE),1,0)</f>
        <v>0</v>
      </c>
      <c r="CZ152" s="120">
        <f ca="1">IF(OR(Tbl_ResidentData[[#This Row],[S12]]=TRUE,Tbl_ResidentData[[#This Row],[P12]]=TRUE),1,0)</f>
        <v>0</v>
      </c>
      <c r="DA152" s="120">
        <f ca="1">IF(OR(Tbl_ResidentData[[#This Row],[S13]]=TRUE,Tbl_ResidentData[[#This Row],[P13]]=TRUE),1,0)</f>
        <v>0</v>
      </c>
      <c r="DB152" s="120">
        <f ca="1">IF(OR(Tbl_ResidentData[[#This Row],[S14]]=TRUE,Tbl_ResidentData[[#This Row],[P14]]=TRUE),1,0)</f>
        <v>0</v>
      </c>
      <c r="DC152" s="120">
        <f ca="1">IF(OR(Tbl_ResidentData[[#This Row],[S15]]=TRUE,Tbl_ResidentData[[#This Row],[P15]]=TRUE),1,0)</f>
        <v>0</v>
      </c>
      <c r="DD152" s="120">
        <f ca="1">IF(OR(Tbl_ResidentData[[#This Row],[S16]]=TRUE,Tbl_ResidentData[[#This Row],[P16]]=TRUE),1,0)</f>
        <v>0</v>
      </c>
      <c r="DE152" s="120">
        <f ca="1">IF(OR(Tbl_ResidentData[[#This Row],[S17]]=TRUE,Tbl_ResidentData[[#This Row],[P17]]=TRUE),1,0)</f>
        <v>0</v>
      </c>
      <c r="DF152" s="120">
        <f ca="1">IF(OR(Tbl_ResidentData[[#This Row],[S18]]=TRUE,Tbl_ResidentData[[#This Row],[P18]]=TRUE),1,0)</f>
        <v>0</v>
      </c>
      <c r="DG152" s="120">
        <f ca="1">IF(OR(Tbl_ResidentData[[#This Row],[S19]]=TRUE,Tbl_ResidentData[[#This Row],[P19]]=TRUE),1,0)</f>
        <v>0</v>
      </c>
      <c r="DH152" s="120">
        <f ca="1">IF(OR(Tbl_ResidentData[[#This Row],[S20]]=TRUE,Tbl_ResidentData[[#This Row],[P20]]=TRUE),1,0)</f>
        <v>0</v>
      </c>
      <c r="DI152" s="120">
        <f ca="1">IF(OR(Tbl_ResidentData[[#This Row],[S21]]=TRUE,Tbl_ResidentData[[#This Row],[P21]]=TRUE),1,0)</f>
        <v>0</v>
      </c>
      <c r="DJ152" s="120">
        <f ca="1">IF(OR(Tbl_ResidentData[[#This Row],[S22]]=TRUE,Tbl_ResidentData[[#This Row],[P22]]=TRUE),1,0)</f>
        <v>0</v>
      </c>
      <c r="DK152" s="120">
        <f ca="1">IF(OR(Tbl_ResidentData[[#This Row],[S23]]=TRUE,Tbl_ResidentData[[#This Row],[P23]]=TRUE),1,0)</f>
        <v>0</v>
      </c>
      <c r="DL152" s="120">
        <f ca="1">IF(OR(Tbl_ResidentData[[#This Row],[S24]]=TRUE,Tbl_ResidentData[[#This Row],[P24]]=TRUE),1,0)</f>
        <v>0</v>
      </c>
      <c r="DM152" s="123" t="str">
        <f ca="1">IFERROR(INDEX($CO$4:$DL$4,MATCH(TRUE,INDEX((Tbl_ResidentData[[#This Row],[Over1]:[Over24]]&lt;&gt;0),0),0)),"")</f>
        <v/>
      </c>
      <c r="DN152" s="133" t="str">
        <f>IFERROR(INDEX(Tbl_PDSAData[Last DRT],MATCH(Tbl_ResidentData[Resident Name '[last, first']],Tbl_PDSAData[Resident Name (last, first)],0)),"")</f>
        <v/>
      </c>
      <c r="DO152" s="222" t="str">
        <f>IFERROR(INDEX(Tbl_PDSAData[Last MR],MATCH(Tbl_ResidentData[Resident Name '[last, first']],Tbl_PDSAData[Resident Name (last, first)],0)),"")</f>
        <v/>
      </c>
    </row>
    <row r="153" spans="1:119" x14ac:dyDescent="0.25">
      <c r="A153" s="179"/>
      <c r="B153" s="180"/>
      <c r="C153" s="180"/>
      <c r="D153" s="218"/>
      <c r="E153" s="179"/>
      <c r="F153" s="179"/>
      <c r="G153" s="181"/>
      <c r="H153" s="182"/>
      <c r="I153" s="185"/>
      <c r="J153" s="387"/>
      <c r="K153" s="178"/>
      <c r="L153" s="388"/>
      <c r="M153" s="185"/>
      <c r="N153" s="386"/>
      <c r="O153" s="178"/>
      <c r="P153" s="388"/>
      <c r="Q153" s="395"/>
      <c r="R153" s="396"/>
      <c r="S153" s="131" t="str">
        <f>IF(ISBLANK(Tbl_ResidentData[[#This Row],[Discharge '[mmm-yyyy']]]),IF(ISBLANK(Tbl_ResidentData[[#This Row],[Enrollment '[mmm-yyyy']]]),"","In Care Home"),"Discharged")</f>
        <v/>
      </c>
      <c r="T153" s="119" t="str">
        <f>IF(ISBLANK(Tbl_ResidentData[[#This Row],[Diagnosis (RAI)]]),IF(ISBLANK(Tbl_ResidentData[[#This Row],[Resident Name '[last, first']]]),"",0),IF(Tbl_ResidentData[[#This Row],[Diagnosis (RAI)]]="Other (see clinical notes)",0,1))</f>
        <v/>
      </c>
      <c r="U153" s="120" t="str">
        <f ca="1">IF(U$4&gt;NOW(),"-",IF(ISBLANK(Tbl_ResidentData[[#This Row],[Enrollment '[mmm-yyyy']]]),"-",AND((Tbl_ResidentData[[#This Row],[Enrollment '[mmm-yyyy']]]&lt;=U$4),IF(ISBLANK(Tbl_ResidentData[[#This Row],[Discharge '[mmm-yyyy']]]),TRUE,(Tbl_ResidentData[[#This Row],[Discharge '[mmm-yyyy']]]&gt;=U$4)))))</f>
        <v>-</v>
      </c>
      <c r="V153" s="121" t="str">
        <f ca="1">IF(V$4&gt;NOW(),"-",IF(ISBLANK(Tbl_ResidentData[[#This Row],[Enrollment '[mmm-yyyy']]]),"-",AND((Tbl_ResidentData[[#This Row],[Enrollment '[mmm-yyyy']]]&lt;=V$4),IF(ISBLANK(Tbl_ResidentData[[#This Row],[Discharge '[mmm-yyyy']]]),TRUE,(Tbl_ResidentData[[#This Row],[Discharge '[mmm-yyyy']]]&gt;=V$4)))))</f>
        <v>-</v>
      </c>
      <c r="W153" s="121" t="str">
        <f ca="1">IF(W$4&gt;NOW(),"-",IF(ISBLANK(Tbl_ResidentData[[#This Row],[Enrollment '[mmm-yyyy']]]),"-",AND((Tbl_ResidentData[[#This Row],[Enrollment '[mmm-yyyy']]]&lt;=W$4),IF(ISBLANK(Tbl_ResidentData[[#This Row],[Discharge '[mmm-yyyy']]]),TRUE,(Tbl_ResidentData[[#This Row],[Discharge '[mmm-yyyy']]]&gt;=W$4)))))</f>
        <v>-</v>
      </c>
      <c r="X153" s="121" t="str">
        <f ca="1">IF(X$4&gt;NOW(),"-",IF(ISBLANK(Tbl_ResidentData[[#This Row],[Enrollment '[mmm-yyyy']]]),"-",AND((Tbl_ResidentData[[#This Row],[Enrollment '[mmm-yyyy']]]&lt;=X$4),IF(ISBLANK(Tbl_ResidentData[[#This Row],[Discharge '[mmm-yyyy']]]),TRUE,(Tbl_ResidentData[[#This Row],[Discharge '[mmm-yyyy']]]&gt;=X$4)))))</f>
        <v>-</v>
      </c>
      <c r="Y153" s="121" t="str">
        <f ca="1">IF(Y$4&gt;NOW(),"-",IF(ISBLANK(Tbl_ResidentData[[#This Row],[Enrollment '[mmm-yyyy']]]),"-",AND((Tbl_ResidentData[[#This Row],[Enrollment '[mmm-yyyy']]]&lt;=Y$4),IF(ISBLANK(Tbl_ResidentData[[#This Row],[Discharge '[mmm-yyyy']]]),TRUE,(Tbl_ResidentData[[#This Row],[Discharge '[mmm-yyyy']]]&gt;=Y$4)))))</f>
        <v>-</v>
      </c>
      <c r="Z153" s="121" t="str">
        <f ca="1">IF(Z$4&gt;NOW(),"-",IF(ISBLANK(Tbl_ResidentData[[#This Row],[Enrollment '[mmm-yyyy']]]),"-",AND((Tbl_ResidentData[[#This Row],[Enrollment '[mmm-yyyy']]]&lt;=Z$4),IF(ISBLANK(Tbl_ResidentData[[#This Row],[Discharge '[mmm-yyyy']]]),TRUE,(Tbl_ResidentData[[#This Row],[Discharge '[mmm-yyyy']]]&gt;=Z$4)))))</f>
        <v>-</v>
      </c>
      <c r="AA153" s="121" t="str">
        <f ca="1">IF(AA$4&gt;NOW(),"-",IF(ISBLANK(Tbl_ResidentData[[#This Row],[Enrollment '[mmm-yyyy']]]),"-",AND((Tbl_ResidentData[[#This Row],[Enrollment '[mmm-yyyy']]]&lt;=AA$4),IF(ISBLANK(Tbl_ResidentData[[#This Row],[Discharge '[mmm-yyyy']]]),TRUE,(Tbl_ResidentData[[#This Row],[Discharge '[mmm-yyyy']]]&gt;=AA$4)))))</f>
        <v>-</v>
      </c>
      <c r="AB153" s="121" t="str">
        <f ca="1">IF(AB$4&gt;NOW(),"-",IF(ISBLANK(Tbl_ResidentData[[#This Row],[Enrollment '[mmm-yyyy']]]),"-",AND((Tbl_ResidentData[[#This Row],[Enrollment '[mmm-yyyy']]]&lt;=AB$4),IF(ISBLANK(Tbl_ResidentData[[#This Row],[Discharge '[mmm-yyyy']]]),TRUE,(Tbl_ResidentData[[#This Row],[Discharge '[mmm-yyyy']]]&gt;=AB$4)))))</f>
        <v>-</v>
      </c>
      <c r="AC153" s="121" t="str">
        <f ca="1">IF(AC$4&gt;NOW(),"-",IF(ISBLANK(Tbl_ResidentData[[#This Row],[Enrollment '[mmm-yyyy']]]),"-",AND((Tbl_ResidentData[[#This Row],[Enrollment '[mmm-yyyy']]]&lt;=AC$4),IF(ISBLANK(Tbl_ResidentData[[#This Row],[Discharge '[mmm-yyyy']]]),TRUE,(Tbl_ResidentData[[#This Row],[Discharge '[mmm-yyyy']]]&gt;=AC$4)))))</f>
        <v>-</v>
      </c>
      <c r="AD153" s="121" t="str">
        <f ca="1">IF(AD$4&gt;NOW(),"-",IF(ISBLANK(Tbl_ResidentData[[#This Row],[Enrollment '[mmm-yyyy']]]),"-",AND((Tbl_ResidentData[[#This Row],[Enrollment '[mmm-yyyy']]]&lt;=AD$4),IF(ISBLANK(Tbl_ResidentData[[#This Row],[Discharge '[mmm-yyyy']]]),TRUE,(Tbl_ResidentData[[#This Row],[Discharge '[mmm-yyyy']]]&gt;=AD$4)))))</f>
        <v>-</v>
      </c>
      <c r="AE153" s="121" t="str">
        <f ca="1">IF(AE$4&gt;NOW(),"-",IF(ISBLANK(Tbl_ResidentData[[#This Row],[Enrollment '[mmm-yyyy']]]),"-",AND((Tbl_ResidentData[[#This Row],[Enrollment '[mmm-yyyy']]]&lt;=AE$4),IF(ISBLANK(Tbl_ResidentData[[#This Row],[Discharge '[mmm-yyyy']]]),TRUE,(Tbl_ResidentData[[#This Row],[Discharge '[mmm-yyyy']]]&gt;=AE$4)))))</f>
        <v>-</v>
      </c>
      <c r="AF153" s="121" t="str">
        <f ca="1">IF(AF$4&gt;NOW(),"-",IF(ISBLANK(Tbl_ResidentData[[#This Row],[Enrollment '[mmm-yyyy']]]),"-",AND((Tbl_ResidentData[[#This Row],[Enrollment '[mmm-yyyy']]]&lt;=AF$4),IF(ISBLANK(Tbl_ResidentData[[#This Row],[Discharge '[mmm-yyyy']]]),TRUE,(Tbl_ResidentData[[#This Row],[Discharge '[mmm-yyyy']]]&gt;=AF$4)))))</f>
        <v>-</v>
      </c>
      <c r="AG153" s="121" t="str">
        <f ca="1">IF(AG$4&gt;NOW(),"-",IF(ISBLANK(Tbl_ResidentData[[#This Row],[Enrollment '[mmm-yyyy']]]),"-",AND((Tbl_ResidentData[[#This Row],[Enrollment '[mmm-yyyy']]]&lt;=AG$4),IF(ISBLANK(Tbl_ResidentData[[#This Row],[Discharge '[mmm-yyyy']]]),TRUE,(Tbl_ResidentData[[#This Row],[Discharge '[mmm-yyyy']]]&gt;=AG$4)))))</f>
        <v>-</v>
      </c>
      <c r="AH153" s="121" t="str">
        <f ca="1">IF(AH$4&gt;NOW(),"-",IF(ISBLANK(Tbl_ResidentData[[#This Row],[Enrollment '[mmm-yyyy']]]),"-",AND((Tbl_ResidentData[[#This Row],[Enrollment '[mmm-yyyy']]]&lt;=AH$4),IF(ISBLANK(Tbl_ResidentData[[#This Row],[Discharge '[mmm-yyyy']]]),TRUE,(Tbl_ResidentData[[#This Row],[Discharge '[mmm-yyyy']]]&gt;=AH$4)))))</f>
        <v>-</v>
      </c>
      <c r="AI153" s="121" t="str">
        <f ca="1">IF(AI$4&gt;NOW(),"-",IF(ISBLANK(Tbl_ResidentData[[#This Row],[Enrollment '[mmm-yyyy']]]),"-",AND((Tbl_ResidentData[[#This Row],[Enrollment '[mmm-yyyy']]]&lt;=AI$4),IF(ISBLANK(Tbl_ResidentData[[#This Row],[Discharge '[mmm-yyyy']]]),TRUE,(Tbl_ResidentData[[#This Row],[Discharge '[mmm-yyyy']]]&gt;=AI$4)))))</f>
        <v>-</v>
      </c>
      <c r="AJ153" s="121" t="str">
        <f ca="1">IF(AJ$4&gt;NOW(),"-",IF(ISBLANK(Tbl_ResidentData[[#This Row],[Enrollment '[mmm-yyyy']]]),"-",AND((Tbl_ResidentData[[#This Row],[Enrollment '[mmm-yyyy']]]&lt;=AJ$4),IF(ISBLANK(Tbl_ResidentData[[#This Row],[Discharge '[mmm-yyyy']]]),TRUE,(Tbl_ResidentData[[#This Row],[Discharge '[mmm-yyyy']]]&gt;=AJ$4)))))</f>
        <v>-</v>
      </c>
      <c r="AK153" s="121" t="str">
        <f ca="1">IF(AK$4&gt;NOW(),"-",IF(ISBLANK(Tbl_ResidentData[[#This Row],[Enrollment '[mmm-yyyy']]]),"-",AND((Tbl_ResidentData[[#This Row],[Enrollment '[mmm-yyyy']]]&lt;=AK$4),IF(ISBLANK(Tbl_ResidentData[[#This Row],[Discharge '[mmm-yyyy']]]),TRUE,(Tbl_ResidentData[[#This Row],[Discharge '[mmm-yyyy']]]&gt;=AK$4)))))</f>
        <v>-</v>
      </c>
      <c r="AL153" s="121" t="str">
        <f ca="1">IF(AL$4&gt;NOW(),"-",IF(ISBLANK(Tbl_ResidentData[[#This Row],[Enrollment '[mmm-yyyy']]]),"-",AND((Tbl_ResidentData[[#This Row],[Enrollment '[mmm-yyyy']]]&lt;=AL$4),IF(ISBLANK(Tbl_ResidentData[[#This Row],[Discharge '[mmm-yyyy']]]),TRUE,(Tbl_ResidentData[[#This Row],[Discharge '[mmm-yyyy']]]&gt;=AL$4)))))</f>
        <v>-</v>
      </c>
      <c r="AM153" s="121" t="str">
        <f ca="1">IF(AM$4&gt;NOW(),"-",IF(ISBLANK(Tbl_ResidentData[[#This Row],[Enrollment '[mmm-yyyy']]]),"-",AND((Tbl_ResidentData[[#This Row],[Enrollment '[mmm-yyyy']]]&lt;=AM$4),IF(ISBLANK(Tbl_ResidentData[[#This Row],[Discharge '[mmm-yyyy']]]),TRUE,(Tbl_ResidentData[[#This Row],[Discharge '[mmm-yyyy']]]&gt;=AM$4)))))</f>
        <v>-</v>
      </c>
      <c r="AN153" s="121" t="str">
        <f ca="1">IF(AN$4&gt;NOW(),"-",IF(ISBLANK(Tbl_ResidentData[[#This Row],[Enrollment '[mmm-yyyy']]]),"-",AND((Tbl_ResidentData[[#This Row],[Enrollment '[mmm-yyyy']]]&lt;=AN$4),IF(ISBLANK(Tbl_ResidentData[[#This Row],[Discharge '[mmm-yyyy']]]),TRUE,(Tbl_ResidentData[[#This Row],[Discharge '[mmm-yyyy']]]&gt;=AN$4)))))</f>
        <v>-</v>
      </c>
      <c r="AO153" s="121" t="str">
        <f ca="1">IF(AO$4&gt;NOW(),"-",IF(ISBLANK(Tbl_ResidentData[[#This Row],[Enrollment '[mmm-yyyy']]]),"-",AND((Tbl_ResidentData[[#This Row],[Enrollment '[mmm-yyyy']]]&lt;=AO$4),IF(ISBLANK(Tbl_ResidentData[[#This Row],[Discharge '[mmm-yyyy']]]),TRUE,(Tbl_ResidentData[[#This Row],[Discharge '[mmm-yyyy']]]&gt;=AO$4)))))</f>
        <v>-</v>
      </c>
      <c r="AP153" s="121" t="str">
        <f ca="1">IF(AP$4&gt;NOW(),"-",IF(ISBLANK(Tbl_ResidentData[[#This Row],[Enrollment '[mmm-yyyy']]]),"-",AND((Tbl_ResidentData[[#This Row],[Enrollment '[mmm-yyyy']]]&lt;=AP$4),IF(ISBLANK(Tbl_ResidentData[[#This Row],[Discharge '[mmm-yyyy']]]),TRUE,(Tbl_ResidentData[[#This Row],[Discharge '[mmm-yyyy']]]&gt;=AP$4)))))</f>
        <v>-</v>
      </c>
      <c r="AQ153" s="121" t="str">
        <f ca="1">IF(AQ$4&gt;NOW(),"-",IF(ISBLANK(Tbl_ResidentData[[#This Row],[Enrollment '[mmm-yyyy']]]),"-",AND((Tbl_ResidentData[[#This Row],[Enrollment '[mmm-yyyy']]]&lt;=AQ$4),IF(ISBLANK(Tbl_ResidentData[[#This Row],[Discharge '[mmm-yyyy']]]),TRUE,(Tbl_ResidentData[[#This Row],[Discharge '[mmm-yyyy']]]&gt;=AQ$4)))))</f>
        <v>-</v>
      </c>
      <c r="AR153" s="122" t="str">
        <f ca="1">IF(AR$4&gt;NOW(),"-",IF(ISBLANK(Tbl_ResidentData[[#This Row],[Enrollment '[mmm-yyyy']]]),"-",AND((Tbl_ResidentData[[#This Row],[Enrollment '[mmm-yyyy']]]&lt;=AR$4),IF(ISBLANK(Tbl_ResidentData[[#This Row],[Discharge '[mmm-yyyy']]]),TRUE,(Tbl_ResidentData[[#This Row],[Discharge '[mmm-yyyy']]]&gt;=AR$4)))))</f>
        <v>-</v>
      </c>
      <c r="AS15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3" s="120" t="b">
        <f ca="1">AND(Tbl_ResidentData[[#This Row],[PRN Med Started]]&lt;&gt;"",Tbl_ResidentData[[#This Row],[PRN Med Started]]&lt;=NOW(),Tbl_ResidentData[[#This Row],[PRN Med Started]]&lt;=AS$4,OR(Tbl_ResidentData[[#This Row],[PRN Med Discontinued]]&gt;AS$4,ISBLANK(Tbl_ResidentData[[#This Row],[PRN Med Discontinued]])))</f>
        <v>0</v>
      </c>
      <c r="BR153" s="121" t="b">
        <f ca="1">AND(Tbl_ResidentData[[#This Row],[PRN Med Started]]&lt;&gt;"",Tbl_ResidentData[[#This Row],[PRN Med Started]]&lt;=NOW(),Tbl_ResidentData[[#This Row],[PRN Med Started]]&lt;=AT$4,OR(Tbl_ResidentData[[#This Row],[PRN Med Discontinued]]&gt;AT$4,ISBLANK(Tbl_ResidentData[[#This Row],[PRN Med Discontinued]])))</f>
        <v>0</v>
      </c>
      <c r="BS153" s="121" t="b">
        <f ca="1">AND(Tbl_ResidentData[[#This Row],[PRN Med Started]]&lt;&gt;"",Tbl_ResidentData[[#This Row],[PRN Med Started]]&lt;=NOW(),Tbl_ResidentData[[#This Row],[PRN Med Started]]&lt;=AU$4,OR(Tbl_ResidentData[[#This Row],[PRN Med Discontinued]]&gt;AU$4,ISBLANK(Tbl_ResidentData[[#This Row],[PRN Med Discontinued]])))</f>
        <v>0</v>
      </c>
      <c r="BT153" s="121" t="b">
        <f ca="1">AND(Tbl_ResidentData[[#This Row],[PRN Med Started]]&lt;&gt;"",Tbl_ResidentData[[#This Row],[PRN Med Started]]&lt;=NOW(),Tbl_ResidentData[[#This Row],[PRN Med Started]]&lt;=AV$4,OR(Tbl_ResidentData[[#This Row],[PRN Med Discontinued]]&gt;AV$4,ISBLANK(Tbl_ResidentData[[#This Row],[PRN Med Discontinued]])))</f>
        <v>0</v>
      </c>
      <c r="BU153" s="121" t="b">
        <f ca="1">AND(Tbl_ResidentData[[#This Row],[PRN Med Started]]&lt;&gt;"",Tbl_ResidentData[[#This Row],[PRN Med Started]]&lt;=NOW(),Tbl_ResidentData[[#This Row],[PRN Med Started]]&lt;=AW$4,OR(Tbl_ResidentData[[#This Row],[PRN Med Discontinued]]&gt;AW$4,ISBLANK(Tbl_ResidentData[[#This Row],[PRN Med Discontinued]])))</f>
        <v>0</v>
      </c>
      <c r="BV153" s="121" t="b">
        <f ca="1">AND(Tbl_ResidentData[[#This Row],[PRN Med Started]]&lt;&gt;"",Tbl_ResidentData[[#This Row],[PRN Med Started]]&lt;=NOW(),Tbl_ResidentData[[#This Row],[PRN Med Started]]&lt;=AX$4,OR(Tbl_ResidentData[[#This Row],[PRN Med Discontinued]]&gt;AX$4,ISBLANK(Tbl_ResidentData[[#This Row],[PRN Med Discontinued]])))</f>
        <v>0</v>
      </c>
      <c r="BW153" s="121" t="b">
        <f ca="1">AND(Tbl_ResidentData[[#This Row],[PRN Med Started]]&lt;&gt;"",Tbl_ResidentData[[#This Row],[PRN Med Started]]&lt;=NOW(),Tbl_ResidentData[[#This Row],[PRN Med Started]]&lt;=AY$4,OR(Tbl_ResidentData[[#This Row],[PRN Med Discontinued]]&gt;AY$4,ISBLANK(Tbl_ResidentData[[#This Row],[PRN Med Discontinued]])))</f>
        <v>0</v>
      </c>
      <c r="BX153" s="121" t="b">
        <f ca="1">AND(Tbl_ResidentData[[#This Row],[PRN Med Started]]&lt;&gt;"",Tbl_ResidentData[[#This Row],[PRN Med Started]]&lt;=NOW(),Tbl_ResidentData[[#This Row],[PRN Med Started]]&lt;=AZ$4,OR(Tbl_ResidentData[[#This Row],[PRN Med Discontinued]]&gt;AZ$4,ISBLANK(Tbl_ResidentData[[#This Row],[PRN Med Discontinued]])))</f>
        <v>0</v>
      </c>
      <c r="BY153" s="121" t="b">
        <f ca="1">AND(Tbl_ResidentData[[#This Row],[PRN Med Started]]&lt;&gt;"",Tbl_ResidentData[[#This Row],[PRN Med Started]]&lt;=NOW(),Tbl_ResidentData[[#This Row],[PRN Med Started]]&lt;=BA$4,OR(Tbl_ResidentData[[#This Row],[PRN Med Discontinued]]&gt;BA$4,ISBLANK(Tbl_ResidentData[[#This Row],[PRN Med Discontinued]])))</f>
        <v>0</v>
      </c>
      <c r="BZ153" s="121" t="b">
        <f ca="1">AND(Tbl_ResidentData[[#This Row],[PRN Med Started]]&lt;&gt;"",Tbl_ResidentData[[#This Row],[PRN Med Started]]&lt;=NOW(),Tbl_ResidentData[[#This Row],[PRN Med Started]]&lt;=BB$4,OR(Tbl_ResidentData[[#This Row],[PRN Med Discontinued]]&gt;BB$4,ISBLANK(Tbl_ResidentData[[#This Row],[PRN Med Discontinued]])))</f>
        <v>0</v>
      </c>
      <c r="CA153" s="121" t="b">
        <f ca="1">AND(Tbl_ResidentData[[#This Row],[PRN Med Started]]&lt;&gt;"",Tbl_ResidentData[[#This Row],[PRN Med Started]]&lt;=NOW(),Tbl_ResidentData[[#This Row],[PRN Med Started]]&lt;=BC$4,OR(Tbl_ResidentData[[#This Row],[PRN Med Discontinued]]&gt;BC$4,ISBLANK(Tbl_ResidentData[[#This Row],[PRN Med Discontinued]])))</f>
        <v>0</v>
      </c>
      <c r="CB153" s="121" t="b">
        <f ca="1">AND(Tbl_ResidentData[[#This Row],[PRN Med Started]]&lt;&gt;"",Tbl_ResidentData[[#This Row],[PRN Med Started]]&lt;=NOW(),Tbl_ResidentData[[#This Row],[PRN Med Started]]&lt;=BD$4,OR(Tbl_ResidentData[[#This Row],[PRN Med Discontinued]]&gt;BD$4,ISBLANK(Tbl_ResidentData[[#This Row],[PRN Med Discontinued]])))</f>
        <v>0</v>
      </c>
      <c r="CC153" s="121" t="b">
        <f ca="1">AND(Tbl_ResidentData[[#This Row],[PRN Med Started]]&lt;&gt;"",Tbl_ResidentData[[#This Row],[PRN Med Started]]&lt;=NOW(),Tbl_ResidentData[[#This Row],[PRN Med Started]]&lt;=BE$4,OR(Tbl_ResidentData[[#This Row],[PRN Med Discontinued]]&gt;BE$4,ISBLANK(Tbl_ResidentData[[#This Row],[PRN Med Discontinued]])))</f>
        <v>0</v>
      </c>
      <c r="CD153" s="121" t="b">
        <f ca="1">AND(Tbl_ResidentData[[#This Row],[PRN Med Started]]&lt;&gt;"",Tbl_ResidentData[[#This Row],[PRN Med Started]]&lt;=NOW(),Tbl_ResidentData[[#This Row],[PRN Med Started]]&lt;=BF$4,OR(Tbl_ResidentData[[#This Row],[PRN Med Discontinued]]&gt;BF$4,ISBLANK(Tbl_ResidentData[[#This Row],[PRN Med Discontinued]])))</f>
        <v>0</v>
      </c>
      <c r="CE153" s="121" t="b">
        <f ca="1">AND(Tbl_ResidentData[[#This Row],[PRN Med Started]]&lt;&gt;"",Tbl_ResidentData[[#This Row],[PRN Med Started]]&lt;=NOW(),Tbl_ResidentData[[#This Row],[PRN Med Started]]&lt;=BG$4,OR(Tbl_ResidentData[[#This Row],[PRN Med Discontinued]]&gt;BG$4,ISBLANK(Tbl_ResidentData[[#This Row],[PRN Med Discontinued]])))</f>
        <v>0</v>
      </c>
      <c r="CF153" s="121" t="b">
        <f ca="1">AND(Tbl_ResidentData[[#This Row],[PRN Med Started]]&lt;&gt;"",Tbl_ResidentData[[#This Row],[PRN Med Started]]&lt;=NOW(),Tbl_ResidentData[[#This Row],[PRN Med Started]]&lt;=BH$4,OR(Tbl_ResidentData[[#This Row],[PRN Med Discontinued]]&gt;BH$4,ISBLANK(Tbl_ResidentData[[#This Row],[PRN Med Discontinued]])))</f>
        <v>0</v>
      </c>
      <c r="CG153" s="121" t="b">
        <f ca="1">AND(Tbl_ResidentData[[#This Row],[PRN Med Started]]&lt;&gt;"",Tbl_ResidentData[[#This Row],[PRN Med Started]]&lt;=NOW(),Tbl_ResidentData[[#This Row],[PRN Med Started]]&lt;=BI$4,OR(Tbl_ResidentData[[#This Row],[PRN Med Discontinued]]&gt;BI$4,ISBLANK(Tbl_ResidentData[[#This Row],[PRN Med Discontinued]])))</f>
        <v>0</v>
      </c>
      <c r="CH153" s="121" t="b">
        <f ca="1">AND(Tbl_ResidentData[[#This Row],[PRN Med Started]]&lt;&gt;"",Tbl_ResidentData[[#This Row],[PRN Med Started]]&lt;=NOW(),Tbl_ResidentData[[#This Row],[PRN Med Started]]&lt;=BJ$4,OR(Tbl_ResidentData[[#This Row],[PRN Med Discontinued]]&gt;BJ$4,ISBLANK(Tbl_ResidentData[[#This Row],[PRN Med Discontinued]])))</f>
        <v>0</v>
      </c>
      <c r="CI153" s="121" t="b">
        <f ca="1">AND(Tbl_ResidentData[[#This Row],[PRN Med Started]]&lt;&gt;"",Tbl_ResidentData[[#This Row],[PRN Med Started]]&lt;=NOW(),Tbl_ResidentData[[#This Row],[PRN Med Started]]&lt;=BK$4,OR(Tbl_ResidentData[[#This Row],[PRN Med Discontinued]]&gt;BK$4,ISBLANK(Tbl_ResidentData[[#This Row],[PRN Med Discontinued]])))</f>
        <v>0</v>
      </c>
      <c r="CJ153" s="121" t="b">
        <f ca="1">AND(Tbl_ResidentData[[#This Row],[PRN Med Started]]&lt;&gt;"",Tbl_ResidentData[[#This Row],[PRN Med Started]]&lt;=NOW(),Tbl_ResidentData[[#This Row],[PRN Med Started]]&lt;=BL$4,OR(Tbl_ResidentData[[#This Row],[PRN Med Discontinued]]&gt;BL$4,ISBLANK(Tbl_ResidentData[[#This Row],[PRN Med Discontinued]])))</f>
        <v>0</v>
      </c>
      <c r="CK153" s="121" t="b">
        <f ca="1">AND(Tbl_ResidentData[[#This Row],[PRN Med Started]]&lt;&gt;"",Tbl_ResidentData[[#This Row],[PRN Med Started]]&lt;=NOW(),Tbl_ResidentData[[#This Row],[PRN Med Started]]&lt;=BM$4,OR(Tbl_ResidentData[[#This Row],[PRN Med Discontinued]]&gt;BM$4,ISBLANK(Tbl_ResidentData[[#This Row],[PRN Med Discontinued]])))</f>
        <v>0</v>
      </c>
      <c r="CL153" s="121" t="b">
        <f ca="1">AND(Tbl_ResidentData[[#This Row],[PRN Med Started]]&lt;&gt;"",Tbl_ResidentData[[#This Row],[PRN Med Started]]&lt;=NOW(),Tbl_ResidentData[[#This Row],[PRN Med Started]]&lt;=BN$4,OR(Tbl_ResidentData[[#This Row],[PRN Med Discontinued]]&gt;BN$4,ISBLANK(Tbl_ResidentData[[#This Row],[PRN Med Discontinued]])))</f>
        <v>0</v>
      </c>
      <c r="CM153" s="121" t="b">
        <f ca="1">AND(Tbl_ResidentData[[#This Row],[PRN Med Started]]&lt;&gt;"",Tbl_ResidentData[[#This Row],[PRN Med Started]]&lt;=NOW(),Tbl_ResidentData[[#This Row],[PRN Med Started]]&lt;=BO$4,OR(Tbl_ResidentData[[#This Row],[PRN Med Discontinued]]&gt;BO$4,ISBLANK(Tbl_ResidentData[[#This Row],[PRN Med Discontinued]])))</f>
        <v>0</v>
      </c>
      <c r="CN153" s="122" t="b">
        <f ca="1">AND(Tbl_ResidentData[[#This Row],[PRN Med Started]]&lt;&gt;"",Tbl_ResidentData[[#This Row],[PRN Med Started]]&lt;=NOW(),Tbl_ResidentData[[#This Row],[PRN Med Started]]&lt;=BP$4,OR(Tbl_ResidentData[[#This Row],[PRN Med Discontinued]]&gt;BP$4,ISBLANK(Tbl_ResidentData[[#This Row],[PRN Med Discontinued]])))</f>
        <v>0</v>
      </c>
      <c r="CO153" s="120">
        <f ca="1">IF(OR(Tbl_ResidentData[[#This Row],[S1]]=TRUE,Tbl_ResidentData[[#This Row],[P1]]=TRUE),1,0)</f>
        <v>0</v>
      </c>
      <c r="CP153" s="121">
        <f ca="1">IF(OR(Tbl_ResidentData[[#This Row],[S2]]=TRUE,Tbl_ResidentData[[#This Row],[P2]]=TRUE),1,0)</f>
        <v>0</v>
      </c>
      <c r="CQ153" s="121">
        <f ca="1">IF(OR(Tbl_ResidentData[[#This Row],[S3]]=TRUE,Tbl_ResidentData[[#This Row],[P3]]=TRUE),1,0)</f>
        <v>0</v>
      </c>
      <c r="CR153" s="120">
        <f ca="1">IF(OR(Tbl_ResidentData[[#This Row],[S4]]=TRUE,Tbl_ResidentData[[#This Row],[P4]]=TRUE),1,0)</f>
        <v>0</v>
      </c>
      <c r="CS153" s="120">
        <f ca="1">IF(OR(Tbl_ResidentData[[#This Row],[S5]]=TRUE,Tbl_ResidentData[[#This Row],[P5]]=TRUE),1,0)</f>
        <v>0</v>
      </c>
      <c r="CT153" s="120">
        <f ca="1">IF(OR(Tbl_ResidentData[[#This Row],[S6]]=TRUE,Tbl_ResidentData[[#This Row],[P6]]=TRUE),1,0)</f>
        <v>0</v>
      </c>
      <c r="CU153" s="120">
        <f ca="1">IF(OR(Tbl_ResidentData[[#This Row],[S7]]=TRUE,Tbl_ResidentData[[#This Row],[P7]]=TRUE),1,0)</f>
        <v>0</v>
      </c>
      <c r="CV153" s="120">
        <f ca="1">IF(OR(Tbl_ResidentData[[#This Row],[S8]]=TRUE,Tbl_ResidentData[[#This Row],[P8]]=TRUE),1,0)</f>
        <v>0</v>
      </c>
      <c r="CW153" s="120">
        <f ca="1">IF(OR(Tbl_ResidentData[[#This Row],[S9]]=TRUE,Tbl_ResidentData[[#This Row],[P9]]=TRUE),1,0)</f>
        <v>0</v>
      </c>
      <c r="CX153" s="120">
        <f ca="1">IF(OR(Tbl_ResidentData[[#This Row],[S10]]=TRUE,Tbl_ResidentData[[#This Row],[P10]]=TRUE),1,0)</f>
        <v>0</v>
      </c>
      <c r="CY153" s="120">
        <f ca="1">IF(OR(Tbl_ResidentData[[#This Row],[S11]]=TRUE,Tbl_ResidentData[[#This Row],[P11]]=TRUE),1,0)</f>
        <v>0</v>
      </c>
      <c r="CZ153" s="120">
        <f ca="1">IF(OR(Tbl_ResidentData[[#This Row],[S12]]=TRUE,Tbl_ResidentData[[#This Row],[P12]]=TRUE),1,0)</f>
        <v>0</v>
      </c>
      <c r="DA153" s="120">
        <f ca="1">IF(OR(Tbl_ResidentData[[#This Row],[S13]]=TRUE,Tbl_ResidentData[[#This Row],[P13]]=TRUE),1,0)</f>
        <v>0</v>
      </c>
      <c r="DB153" s="120">
        <f ca="1">IF(OR(Tbl_ResidentData[[#This Row],[S14]]=TRUE,Tbl_ResidentData[[#This Row],[P14]]=TRUE),1,0)</f>
        <v>0</v>
      </c>
      <c r="DC153" s="120">
        <f ca="1">IF(OR(Tbl_ResidentData[[#This Row],[S15]]=TRUE,Tbl_ResidentData[[#This Row],[P15]]=TRUE),1,0)</f>
        <v>0</v>
      </c>
      <c r="DD153" s="120">
        <f ca="1">IF(OR(Tbl_ResidentData[[#This Row],[S16]]=TRUE,Tbl_ResidentData[[#This Row],[P16]]=TRUE),1,0)</f>
        <v>0</v>
      </c>
      <c r="DE153" s="120">
        <f ca="1">IF(OR(Tbl_ResidentData[[#This Row],[S17]]=TRUE,Tbl_ResidentData[[#This Row],[P17]]=TRUE),1,0)</f>
        <v>0</v>
      </c>
      <c r="DF153" s="120">
        <f ca="1">IF(OR(Tbl_ResidentData[[#This Row],[S18]]=TRUE,Tbl_ResidentData[[#This Row],[P18]]=TRUE),1,0)</f>
        <v>0</v>
      </c>
      <c r="DG153" s="120">
        <f ca="1">IF(OR(Tbl_ResidentData[[#This Row],[S19]]=TRUE,Tbl_ResidentData[[#This Row],[P19]]=TRUE),1,0)</f>
        <v>0</v>
      </c>
      <c r="DH153" s="120">
        <f ca="1">IF(OR(Tbl_ResidentData[[#This Row],[S20]]=TRUE,Tbl_ResidentData[[#This Row],[P20]]=TRUE),1,0)</f>
        <v>0</v>
      </c>
      <c r="DI153" s="120">
        <f ca="1">IF(OR(Tbl_ResidentData[[#This Row],[S21]]=TRUE,Tbl_ResidentData[[#This Row],[P21]]=TRUE),1,0)</f>
        <v>0</v>
      </c>
      <c r="DJ153" s="120">
        <f ca="1">IF(OR(Tbl_ResidentData[[#This Row],[S22]]=TRUE,Tbl_ResidentData[[#This Row],[P22]]=TRUE),1,0)</f>
        <v>0</v>
      </c>
      <c r="DK153" s="120">
        <f ca="1">IF(OR(Tbl_ResidentData[[#This Row],[S23]]=TRUE,Tbl_ResidentData[[#This Row],[P23]]=TRUE),1,0)</f>
        <v>0</v>
      </c>
      <c r="DL153" s="120">
        <f ca="1">IF(OR(Tbl_ResidentData[[#This Row],[S24]]=TRUE,Tbl_ResidentData[[#This Row],[P24]]=TRUE),1,0)</f>
        <v>0</v>
      </c>
      <c r="DM153" s="123" t="str">
        <f ca="1">IFERROR(INDEX($CO$4:$DL$4,MATCH(TRUE,INDEX((Tbl_ResidentData[[#This Row],[Over1]:[Over24]]&lt;&gt;0),0),0)),"")</f>
        <v/>
      </c>
      <c r="DN153" s="133" t="str">
        <f>IFERROR(INDEX(Tbl_PDSAData[Last DRT],MATCH(Tbl_ResidentData[Resident Name '[last, first']],Tbl_PDSAData[Resident Name (last, first)],0)),"")</f>
        <v/>
      </c>
      <c r="DO153" s="222" t="str">
        <f>IFERROR(INDEX(Tbl_PDSAData[Last MR],MATCH(Tbl_ResidentData[Resident Name '[last, first']],Tbl_PDSAData[Resident Name (last, first)],0)),"")</f>
        <v/>
      </c>
    </row>
    <row r="154" spans="1:119" x14ac:dyDescent="0.25">
      <c r="A154" s="179"/>
      <c r="B154" s="180"/>
      <c r="C154" s="180"/>
      <c r="D154" s="218"/>
      <c r="E154" s="179"/>
      <c r="F154" s="179"/>
      <c r="G154" s="181"/>
      <c r="H154" s="375"/>
      <c r="I154" s="185"/>
      <c r="J154" s="387"/>
      <c r="K154" s="178"/>
      <c r="L154" s="388"/>
      <c r="M154" s="185"/>
      <c r="N154" s="386"/>
      <c r="O154" s="178"/>
      <c r="P154" s="388"/>
      <c r="Q154" s="394"/>
      <c r="R154" s="388"/>
      <c r="S154" s="131" t="str">
        <f>IF(ISBLANK(Tbl_ResidentData[[#This Row],[Discharge '[mmm-yyyy']]]),IF(ISBLANK(Tbl_ResidentData[[#This Row],[Enrollment '[mmm-yyyy']]]),"","In Care Home"),"Discharged")</f>
        <v/>
      </c>
      <c r="T154" s="119" t="str">
        <f>IF(ISBLANK(Tbl_ResidentData[[#This Row],[Diagnosis (RAI)]]),IF(ISBLANK(Tbl_ResidentData[[#This Row],[Resident Name '[last, first']]]),"",0),IF(Tbl_ResidentData[[#This Row],[Diagnosis (RAI)]]="Other (see clinical notes)",0,1))</f>
        <v/>
      </c>
      <c r="U154" s="120" t="str">
        <f ca="1">IF(U$4&gt;NOW(),"-",IF(ISBLANK(Tbl_ResidentData[[#This Row],[Enrollment '[mmm-yyyy']]]),"-",AND((Tbl_ResidentData[[#This Row],[Enrollment '[mmm-yyyy']]]&lt;=U$4),IF(ISBLANK(Tbl_ResidentData[[#This Row],[Discharge '[mmm-yyyy']]]),TRUE,(Tbl_ResidentData[[#This Row],[Discharge '[mmm-yyyy']]]&gt;=U$4)))))</f>
        <v>-</v>
      </c>
      <c r="V154" s="121" t="str">
        <f ca="1">IF(V$4&gt;NOW(),"-",IF(ISBLANK(Tbl_ResidentData[[#This Row],[Enrollment '[mmm-yyyy']]]),"-",AND((Tbl_ResidentData[[#This Row],[Enrollment '[mmm-yyyy']]]&lt;=V$4),IF(ISBLANK(Tbl_ResidentData[[#This Row],[Discharge '[mmm-yyyy']]]),TRUE,(Tbl_ResidentData[[#This Row],[Discharge '[mmm-yyyy']]]&gt;=V$4)))))</f>
        <v>-</v>
      </c>
      <c r="W154" s="121" t="str">
        <f ca="1">IF(W$4&gt;NOW(),"-",IF(ISBLANK(Tbl_ResidentData[[#This Row],[Enrollment '[mmm-yyyy']]]),"-",AND((Tbl_ResidentData[[#This Row],[Enrollment '[mmm-yyyy']]]&lt;=W$4),IF(ISBLANK(Tbl_ResidentData[[#This Row],[Discharge '[mmm-yyyy']]]),TRUE,(Tbl_ResidentData[[#This Row],[Discharge '[mmm-yyyy']]]&gt;=W$4)))))</f>
        <v>-</v>
      </c>
      <c r="X154" s="121" t="str">
        <f ca="1">IF(X$4&gt;NOW(),"-",IF(ISBLANK(Tbl_ResidentData[[#This Row],[Enrollment '[mmm-yyyy']]]),"-",AND((Tbl_ResidentData[[#This Row],[Enrollment '[mmm-yyyy']]]&lt;=X$4),IF(ISBLANK(Tbl_ResidentData[[#This Row],[Discharge '[mmm-yyyy']]]),TRUE,(Tbl_ResidentData[[#This Row],[Discharge '[mmm-yyyy']]]&gt;=X$4)))))</f>
        <v>-</v>
      </c>
      <c r="Y154" s="121" t="str">
        <f ca="1">IF(Y$4&gt;NOW(),"-",IF(ISBLANK(Tbl_ResidentData[[#This Row],[Enrollment '[mmm-yyyy']]]),"-",AND((Tbl_ResidentData[[#This Row],[Enrollment '[mmm-yyyy']]]&lt;=Y$4),IF(ISBLANK(Tbl_ResidentData[[#This Row],[Discharge '[mmm-yyyy']]]),TRUE,(Tbl_ResidentData[[#This Row],[Discharge '[mmm-yyyy']]]&gt;=Y$4)))))</f>
        <v>-</v>
      </c>
      <c r="Z154" s="121" t="str">
        <f ca="1">IF(Z$4&gt;NOW(),"-",IF(ISBLANK(Tbl_ResidentData[[#This Row],[Enrollment '[mmm-yyyy']]]),"-",AND((Tbl_ResidentData[[#This Row],[Enrollment '[mmm-yyyy']]]&lt;=Z$4),IF(ISBLANK(Tbl_ResidentData[[#This Row],[Discharge '[mmm-yyyy']]]),TRUE,(Tbl_ResidentData[[#This Row],[Discharge '[mmm-yyyy']]]&gt;=Z$4)))))</f>
        <v>-</v>
      </c>
      <c r="AA154" s="121" t="str">
        <f ca="1">IF(AA$4&gt;NOW(),"-",IF(ISBLANK(Tbl_ResidentData[[#This Row],[Enrollment '[mmm-yyyy']]]),"-",AND((Tbl_ResidentData[[#This Row],[Enrollment '[mmm-yyyy']]]&lt;=AA$4),IF(ISBLANK(Tbl_ResidentData[[#This Row],[Discharge '[mmm-yyyy']]]),TRUE,(Tbl_ResidentData[[#This Row],[Discharge '[mmm-yyyy']]]&gt;=AA$4)))))</f>
        <v>-</v>
      </c>
      <c r="AB154" s="121" t="str">
        <f ca="1">IF(AB$4&gt;NOW(),"-",IF(ISBLANK(Tbl_ResidentData[[#This Row],[Enrollment '[mmm-yyyy']]]),"-",AND((Tbl_ResidentData[[#This Row],[Enrollment '[mmm-yyyy']]]&lt;=AB$4),IF(ISBLANK(Tbl_ResidentData[[#This Row],[Discharge '[mmm-yyyy']]]),TRUE,(Tbl_ResidentData[[#This Row],[Discharge '[mmm-yyyy']]]&gt;=AB$4)))))</f>
        <v>-</v>
      </c>
      <c r="AC154" s="121" t="str">
        <f ca="1">IF(AC$4&gt;NOW(),"-",IF(ISBLANK(Tbl_ResidentData[[#This Row],[Enrollment '[mmm-yyyy']]]),"-",AND((Tbl_ResidentData[[#This Row],[Enrollment '[mmm-yyyy']]]&lt;=AC$4),IF(ISBLANK(Tbl_ResidentData[[#This Row],[Discharge '[mmm-yyyy']]]),TRUE,(Tbl_ResidentData[[#This Row],[Discharge '[mmm-yyyy']]]&gt;=AC$4)))))</f>
        <v>-</v>
      </c>
      <c r="AD154" s="121" t="str">
        <f ca="1">IF(AD$4&gt;NOW(),"-",IF(ISBLANK(Tbl_ResidentData[[#This Row],[Enrollment '[mmm-yyyy']]]),"-",AND((Tbl_ResidentData[[#This Row],[Enrollment '[mmm-yyyy']]]&lt;=AD$4),IF(ISBLANK(Tbl_ResidentData[[#This Row],[Discharge '[mmm-yyyy']]]),TRUE,(Tbl_ResidentData[[#This Row],[Discharge '[mmm-yyyy']]]&gt;=AD$4)))))</f>
        <v>-</v>
      </c>
      <c r="AE154" s="121" t="str">
        <f ca="1">IF(AE$4&gt;NOW(),"-",IF(ISBLANK(Tbl_ResidentData[[#This Row],[Enrollment '[mmm-yyyy']]]),"-",AND((Tbl_ResidentData[[#This Row],[Enrollment '[mmm-yyyy']]]&lt;=AE$4),IF(ISBLANK(Tbl_ResidentData[[#This Row],[Discharge '[mmm-yyyy']]]),TRUE,(Tbl_ResidentData[[#This Row],[Discharge '[mmm-yyyy']]]&gt;=AE$4)))))</f>
        <v>-</v>
      </c>
      <c r="AF154" s="121" t="str">
        <f ca="1">IF(AF$4&gt;NOW(),"-",IF(ISBLANK(Tbl_ResidentData[[#This Row],[Enrollment '[mmm-yyyy']]]),"-",AND((Tbl_ResidentData[[#This Row],[Enrollment '[mmm-yyyy']]]&lt;=AF$4),IF(ISBLANK(Tbl_ResidentData[[#This Row],[Discharge '[mmm-yyyy']]]),TRUE,(Tbl_ResidentData[[#This Row],[Discharge '[mmm-yyyy']]]&gt;=AF$4)))))</f>
        <v>-</v>
      </c>
      <c r="AG154" s="121" t="str">
        <f ca="1">IF(AG$4&gt;NOW(),"-",IF(ISBLANK(Tbl_ResidentData[[#This Row],[Enrollment '[mmm-yyyy']]]),"-",AND((Tbl_ResidentData[[#This Row],[Enrollment '[mmm-yyyy']]]&lt;=AG$4),IF(ISBLANK(Tbl_ResidentData[[#This Row],[Discharge '[mmm-yyyy']]]),TRUE,(Tbl_ResidentData[[#This Row],[Discharge '[mmm-yyyy']]]&gt;=AG$4)))))</f>
        <v>-</v>
      </c>
      <c r="AH154" s="121" t="str">
        <f ca="1">IF(AH$4&gt;NOW(),"-",IF(ISBLANK(Tbl_ResidentData[[#This Row],[Enrollment '[mmm-yyyy']]]),"-",AND((Tbl_ResidentData[[#This Row],[Enrollment '[mmm-yyyy']]]&lt;=AH$4),IF(ISBLANK(Tbl_ResidentData[[#This Row],[Discharge '[mmm-yyyy']]]),TRUE,(Tbl_ResidentData[[#This Row],[Discharge '[mmm-yyyy']]]&gt;=AH$4)))))</f>
        <v>-</v>
      </c>
      <c r="AI154" s="121" t="str">
        <f ca="1">IF(AI$4&gt;NOW(),"-",IF(ISBLANK(Tbl_ResidentData[[#This Row],[Enrollment '[mmm-yyyy']]]),"-",AND((Tbl_ResidentData[[#This Row],[Enrollment '[mmm-yyyy']]]&lt;=AI$4),IF(ISBLANK(Tbl_ResidentData[[#This Row],[Discharge '[mmm-yyyy']]]),TRUE,(Tbl_ResidentData[[#This Row],[Discharge '[mmm-yyyy']]]&gt;=AI$4)))))</f>
        <v>-</v>
      </c>
      <c r="AJ154" s="121" t="str">
        <f ca="1">IF(AJ$4&gt;NOW(),"-",IF(ISBLANK(Tbl_ResidentData[[#This Row],[Enrollment '[mmm-yyyy']]]),"-",AND((Tbl_ResidentData[[#This Row],[Enrollment '[mmm-yyyy']]]&lt;=AJ$4),IF(ISBLANK(Tbl_ResidentData[[#This Row],[Discharge '[mmm-yyyy']]]),TRUE,(Tbl_ResidentData[[#This Row],[Discharge '[mmm-yyyy']]]&gt;=AJ$4)))))</f>
        <v>-</v>
      </c>
      <c r="AK154" s="121" t="str">
        <f ca="1">IF(AK$4&gt;NOW(),"-",IF(ISBLANK(Tbl_ResidentData[[#This Row],[Enrollment '[mmm-yyyy']]]),"-",AND((Tbl_ResidentData[[#This Row],[Enrollment '[mmm-yyyy']]]&lt;=AK$4),IF(ISBLANK(Tbl_ResidentData[[#This Row],[Discharge '[mmm-yyyy']]]),TRUE,(Tbl_ResidentData[[#This Row],[Discharge '[mmm-yyyy']]]&gt;=AK$4)))))</f>
        <v>-</v>
      </c>
      <c r="AL154" s="121" t="str">
        <f ca="1">IF(AL$4&gt;NOW(),"-",IF(ISBLANK(Tbl_ResidentData[[#This Row],[Enrollment '[mmm-yyyy']]]),"-",AND((Tbl_ResidentData[[#This Row],[Enrollment '[mmm-yyyy']]]&lt;=AL$4),IF(ISBLANK(Tbl_ResidentData[[#This Row],[Discharge '[mmm-yyyy']]]),TRUE,(Tbl_ResidentData[[#This Row],[Discharge '[mmm-yyyy']]]&gt;=AL$4)))))</f>
        <v>-</v>
      </c>
      <c r="AM154" s="121" t="str">
        <f ca="1">IF(AM$4&gt;NOW(),"-",IF(ISBLANK(Tbl_ResidentData[[#This Row],[Enrollment '[mmm-yyyy']]]),"-",AND((Tbl_ResidentData[[#This Row],[Enrollment '[mmm-yyyy']]]&lt;=AM$4),IF(ISBLANK(Tbl_ResidentData[[#This Row],[Discharge '[mmm-yyyy']]]),TRUE,(Tbl_ResidentData[[#This Row],[Discharge '[mmm-yyyy']]]&gt;=AM$4)))))</f>
        <v>-</v>
      </c>
      <c r="AN154" s="121" t="str">
        <f ca="1">IF(AN$4&gt;NOW(),"-",IF(ISBLANK(Tbl_ResidentData[[#This Row],[Enrollment '[mmm-yyyy']]]),"-",AND((Tbl_ResidentData[[#This Row],[Enrollment '[mmm-yyyy']]]&lt;=AN$4),IF(ISBLANK(Tbl_ResidentData[[#This Row],[Discharge '[mmm-yyyy']]]),TRUE,(Tbl_ResidentData[[#This Row],[Discharge '[mmm-yyyy']]]&gt;=AN$4)))))</f>
        <v>-</v>
      </c>
      <c r="AO154" s="121" t="str">
        <f ca="1">IF(AO$4&gt;NOW(),"-",IF(ISBLANK(Tbl_ResidentData[[#This Row],[Enrollment '[mmm-yyyy']]]),"-",AND((Tbl_ResidentData[[#This Row],[Enrollment '[mmm-yyyy']]]&lt;=AO$4),IF(ISBLANK(Tbl_ResidentData[[#This Row],[Discharge '[mmm-yyyy']]]),TRUE,(Tbl_ResidentData[[#This Row],[Discharge '[mmm-yyyy']]]&gt;=AO$4)))))</f>
        <v>-</v>
      </c>
      <c r="AP154" s="121" t="str">
        <f ca="1">IF(AP$4&gt;NOW(),"-",IF(ISBLANK(Tbl_ResidentData[[#This Row],[Enrollment '[mmm-yyyy']]]),"-",AND((Tbl_ResidentData[[#This Row],[Enrollment '[mmm-yyyy']]]&lt;=AP$4),IF(ISBLANK(Tbl_ResidentData[[#This Row],[Discharge '[mmm-yyyy']]]),TRUE,(Tbl_ResidentData[[#This Row],[Discharge '[mmm-yyyy']]]&gt;=AP$4)))))</f>
        <v>-</v>
      </c>
      <c r="AQ154" s="121" t="str">
        <f ca="1">IF(AQ$4&gt;NOW(),"-",IF(ISBLANK(Tbl_ResidentData[[#This Row],[Enrollment '[mmm-yyyy']]]),"-",AND((Tbl_ResidentData[[#This Row],[Enrollment '[mmm-yyyy']]]&lt;=AQ$4),IF(ISBLANK(Tbl_ResidentData[[#This Row],[Discharge '[mmm-yyyy']]]),TRUE,(Tbl_ResidentData[[#This Row],[Discharge '[mmm-yyyy']]]&gt;=AQ$4)))))</f>
        <v>-</v>
      </c>
      <c r="AR154" s="122" t="str">
        <f ca="1">IF(AR$4&gt;NOW(),"-",IF(ISBLANK(Tbl_ResidentData[[#This Row],[Enrollment '[mmm-yyyy']]]),"-",AND((Tbl_ResidentData[[#This Row],[Enrollment '[mmm-yyyy']]]&lt;=AR$4),IF(ISBLANK(Tbl_ResidentData[[#This Row],[Discharge '[mmm-yyyy']]]),TRUE,(Tbl_ResidentData[[#This Row],[Discharge '[mmm-yyyy']]]&gt;=AR$4)))))</f>
        <v>-</v>
      </c>
      <c r="AS15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4" s="120" t="b">
        <f ca="1">AND(Tbl_ResidentData[[#This Row],[PRN Med Started]]&lt;&gt;"",Tbl_ResidentData[[#This Row],[PRN Med Started]]&lt;=NOW(),Tbl_ResidentData[[#This Row],[PRN Med Started]]&lt;=AS$4,OR(Tbl_ResidentData[[#This Row],[PRN Med Discontinued]]&gt;AS$4,ISBLANK(Tbl_ResidentData[[#This Row],[PRN Med Discontinued]])))</f>
        <v>0</v>
      </c>
      <c r="BR154" s="121" t="b">
        <f ca="1">AND(Tbl_ResidentData[[#This Row],[PRN Med Started]]&lt;&gt;"",Tbl_ResidentData[[#This Row],[PRN Med Started]]&lt;=NOW(),Tbl_ResidentData[[#This Row],[PRN Med Started]]&lt;=AT$4,OR(Tbl_ResidentData[[#This Row],[PRN Med Discontinued]]&gt;AT$4,ISBLANK(Tbl_ResidentData[[#This Row],[PRN Med Discontinued]])))</f>
        <v>0</v>
      </c>
      <c r="BS154" s="121" t="b">
        <f ca="1">AND(Tbl_ResidentData[[#This Row],[PRN Med Started]]&lt;&gt;"",Tbl_ResidentData[[#This Row],[PRN Med Started]]&lt;=NOW(),Tbl_ResidentData[[#This Row],[PRN Med Started]]&lt;=AU$4,OR(Tbl_ResidentData[[#This Row],[PRN Med Discontinued]]&gt;AU$4,ISBLANK(Tbl_ResidentData[[#This Row],[PRN Med Discontinued]])))</f>
        <v>0</v>
      </c>
      <c r="BT154" s="121" t="b">
        <f ca="1">AND(Tbl_ResidentData[[#This Row],[PRN Med Started]]&lt;&gt;"",Tbl_ResidentData[[#This Row],[PRN Med Started]]&lt;=NOW(),Tbl_ResidentData[[#This Row],[PRN Med Started]]&lt;=AV$4,OR(Tbl_ResidentData[[#This Row],[PRN Med Discontinued]]&gt;AV$4,ISBLANK(Tbl_ResidentData[[#This Row],[PRN Med Discontinued]])))</f>
        <v>0</v>
      </c>
      <c r="BU154" s="121" t="b">
        <f ca="1">AND(Tbl_ResidentData[[#This Row],[PRN Med Started]]&lt;&gt;"",Tbl_ResidentData[[#This Row],[PRN Med Started]]&lt;=NOW(),Tbl_ResidentData[[#This Row],[PRN Med Started]]&lt;=AW$4,OR(Tbl_ResidentData[[#This Row],[PRN Med Discontinued]]&gt;AW$4,ISBLANK(Tbl_ResidentData[[#This Row],[PRN Med Discontinued]])))</f>
        <v>0</v>
      </c>
      <c r="BV154" s="121" t="b">
        <f ca="1">AND(Tbl_ResidentData[[#This Row],[PRN Med Started]]&lt;&gt;"",Tbl_ResidentData[[#This Row],[PRN Med Started]]&lt;=NOW(),Tbl_ResidentData[[#This Row],[PRN Med Started]]&lt;=AX$4,OR(Tbl_ResidentData[[#This Row],[PRN Med Discontinued]]&gt;AX$4,ISBLANK(Tbl_ResidentData[[#This Row],[PRN Med Discontinued]])))</f>
        <v>0</v>
      </c>
      <c r="BW154" s="121" t="b">
        <f ca="1">AND(Tbl_ResidentData[[#This Row],[PRN Med Started]]&lt;&gt;"",Tbl_ResidentData[[#This Row],[PRN Med Started]]&lt;=NOW(),Tbl_ResidentData[[#This Row],[PRN Med Started]]&lt;=AY$4,OR(Tbl_ResidentData[[#This Row],[PRN Med Discontinued]]&gt;AY$4,ISBLANK(Tbl_ResidentData[[#This Row],[PRN Med Discontinued]])))</f>
        <v>0</v>
      </c>
      <c r="BX154" s="121" t="b">
        <f ca="1">AND(Tbl_ResidentData[[#This Row],[PRN Med Started]]&lt;&gt;"",Tbl_ResidentData[[#This Row],[PRN Med Started]]&lt;=NOW(),Tbl_ResidentData[[#This Row],[PRN Med Started]]&lt;=AZ$4,OR(Tbl_ResidentData[[#This Row],[PRN Med Discontinued]]&gt;AZ$4,ISBLANK(Tbl_ResidentData[[#This Row],[PRN Med Discontinued]])))</f>
        <v>0</v>
      </c>
      <c r="BY154" s="121" t="b">
        <f ca="1">AND(Tbl_ResidentData[[#This Row],[PRN Med Started]]&lt;&gt;"",Tbl_ResidentData[[#This Row],[PRN Med Started]]&lt;=NOW(),Tbl_ResidentData[[#This Row],[PRN Med Started]]&lt;=BA$4,OR(Tbl_ResidentData[[#This Row],[PRN Med Discontinued]]&gt;BA$4,ISBLANK(Tbl_ResidentData[[#This Row],[PRN Med Discontinued]])))</f>
        <v>0</v>
      </c>
      <c r="BZ154" s="121" t="b">
        <f ca="1">AND(Tbl_ResidentData[[#This Row],[PRN Med Started]]&lt;&gt;"",Tbl_ResidentData[[#This Row],[PRN Med Started]]&lt;=NOW(),Tbl_ResidentData[[#This Row],[PRN Med Started]]&lt;=BB$4,OR(Tbl_ResidentData[[#This Row],[PRN Med Discontinued]]&gt;BB$4,ISBLANK(Tbl_ResidentData[[#This Row],[PRN Med Discontinued]])))</f>
        <v>0</v>
      </c>
      <c r="CA154" s="121" t="b">
        <f ca="1">AND(Tbl_ResidentData[[#This Row],[PRN Med Started]]&lt;&gt;"",Tbl_ResidentData[[#This Row],[PRN Med Started]]&lt;=NOW(),Tbl_ResidentData[[#This Row],[PRN Med Started]]&lt;=BC$4,OR(Tbl_ResidentData[[#This Row],[PRN Med Discontinued]]&gt;BC$4,ISBLANK(Tbl_ResidentData[[#This Row],[PRN Med Discontinued]])))</f>
        <v>0</v>
      </c>
      <c r="CB154" s="121" t="b">
        <f ca="1">AND(Tbl_ResidentData[[#This Row],[PRN Med Started]]&lt;&gt;"",Tbl_ResidentData[[#This Row],[PRN Med Started]]&lt;=NOW(),Tbl_ResidentData[[#This Row],[PRN Med Started]]&lt;=BD$4,OR(Tbl_ResidentData[[#This Row],[PRN Med Discontinued]]&gt;BD$4,ISBLANK(Tbl_ResidentData[[#This Row],[PRN Med Discontinued]])))</f>
        <v>0</v>
      </c>
      <c r="CC154" s="121" t="b">
        <f ca="1">AND(Tbl_ResidentData[[#This Row],[PRN Med Started]]&lt;&gt;"",Tbl_ResidentData[[#This Row],[PRN Med Started]]&lt;=NOW(),Tbl_ResidentData[[#This Row],[PRN Med Started]]&lt;=BE$4,OR(Tbl_ResidentData[[#This Row],[PRN Med Discontinued]]&gt;BE$4,ISBLANK(Tbl_ResidentData[[#This Row],[PRN Med Discontinued]])))</f>
        <v>0</v>
      </c>
      <c r="CD154" s="121" t="b">
        <f ca="1">AND(Tbl_ResidentData[[#This Row],[PRN Med Started]]&lt;&gt;"",Tbl_ResidentData[[#This Row],[PRN Med Started]]&lt;=NOW(),Tbl_ResidentData[[#This Row],[PRN Med Started]]&lt;=BF$4,OR(Tbl_ResidentData[[#This Row],[PRN Med Discontinued]]&gt;BF$4,ISBLANK(Tbl_ResidentData[[#This Row],[PRN Med Discontinued]])))</f>
        <v>0</v>
      </c>
      <c r="CE154" s="121" t="b">
        <f ca="1">AND(Tbl_ResidentData[[#This Row],[PRN Med Started]]&lt;&gt;"",Tbl_ResidentData[[#This Row],[PRN Med Started]]&lt;=NOW(),Tbl_ResidentData[[#This Row],[PRN Med Started]]&lt;=BG$4,OR(Tbl_ResidentData[[#This Row],[PRN Med Discontinued]]&gt;BG$4,ISBLANK(Tbl_ResidentData[[#This Row],[PRN Med Discontinued]])))</f>
        <v>0</v>
      </c>
      <c r="CF154" s="121" t="b">
        <f ca="1">AND(Tbl_ResidentData[[#This Row],[PRN Med Started]]&lt;&gt;"",Tbl_ResidentData[[#This Row],[PRN Med Started]]&lt;=NOW(),Tbl_ResidentData[[#This Row],[PRN Med Started]]&lt;=BH$4,OR(Tbl_ResidentData[[#This Row],[PRN Med Discontinued]]&gt;BH$4,ISBLANK(Tbl_ResidentData[[#This Row],[PRN Med Discontinued]])))</f>
        <v>0</v>
      </c>
      <c r="CG154" s="121" t="b">
        <f ca="1">AND(Tbl_ResidentData[[#This Row],[PRN Med Started]]&lt;&gt;"",Tbl_ResidentData[[#This Row],[PRN Med Started]]&lt;=NOW(),Tbl_ResidentData[[#This Row],[PRN Med Started]]&lt;=BI$4,OR(Tbl_ResidentData[[#This Row],[PRN Med Discontinued]]&gt;BI$4,ISBLANK(Tbl_ResidentData[[#This Row],[PRN Med Discontinued]])))</f>
        <v>0</v>
      </c>
      <c r="CH154" s="121" t="b">
        <f ca="1">AND(Tbl_ResidentData[[#This Row],[PRN Med Started]]&lt;&gt;"",Tbl_ResidentData[[#This Row],[PRN Med Started]]&lt;=NOW(),Tbl_ResidentData[[#This Row],[PRN Med Started]]&lt;=BJ$4,OR(Tbl_ResidentData[[#This Row],[PRN Med Discontinued]]&gt;BJ$4,ISBLANK(Tbl_ResidentData[[#This Row],[PRN Med Discontinued]])))</f>
        <v>0</v>
      </c>
      <c r="CI154" s="121" t="b">
        <f ca="1">AND(Tbl_ResidentData[[#This Row],[PRN Med Started]]&lt;&gt;"",Tbl_ResidentData[[#This Row],[PRN Med Started]]&lt;=NOW(),Tbl_ResidentData[[#This Row],[PRN Med Started]]&lt;=BK$4,OR(Tbl_ResidentData[[#This Row],[PRN Med Discontinued]]&gt;BK$4,ISBLANK(Tbl_ResidentData[[#This Row],[PRN Med Discontinued]])))</f>
        <v>0</v>
      </c>
      <c r="CJ154" s="121" t="b">
        <f ca="1">AND(Tbl_ResidentData[[#This Row],[PRN Med Started]]&lt;&gt;"",Tbl_ResidentData[[#This Row],[PRN Med Started]]&lt;=NOW(),Tbl_ResidentData[[#This Row],[PRN Med Started]]&lt;=BL$4,OR(Tbl_ResidentData[[#This Row],[PRN Med Discontinued]]&gt;BL$4,ISBLANK(Tbl_ResidentData[[#This Row],[PRN Med Discontinued]])))</f>
        <v>0</v>
      </c>
      <c r="CK154" s="121" t="b">
        <f ca="1">AND(Tbl_ResidentData[[#This Row],[PRN Med Started]]&lt;&gt;"",Tbl_ResidentData[[#This Row],[PRN Med Started]]&lt;=NOW(),Tbl_ResidentData[[#This Row],[PRN Med Started]]&lt;=BM$4,OR(Tbl_ResidentData[[#This Row],[PRN Med Discontinued]]&gt;BM$4,ISBLANK(Tbl_ResidentData[[#This Row],[PRN Med Discontinued]])))</f>
        <v>0</v>
      </c>
      <c r="CL154" s="121" t="b">
        <f ca="1">AND(Tbl_ResidentData[[#This Row],[PRN Med Started]]&lt;&gt;"",Tbl_ResidentData[[#This Row],[PRN Med Started]]&lt;=NOW(),Tbl_ResidentData[[#This Row],[PRN Med Started]]&lt;=BN$4,OR(Tbl_ResidentData[[#This Row],[PRN Med Discontinued]]&gt;BN$4,ISBLANK(Tbl_ResidentData[[#This Row],[PRN Med Discontinued]])))</f>
        <v>0</v>
      </c>
      <c r="CM154" s="121" t="b">
        <f ca="1">AND(Tbl_ResidentData[[#This Row],[PRN Med Started]]&lt;&gt;"",Tbl_ResidentData[[#This Row],[PRN Med Started]]&lt;=NOW(),Tbl_ResidentData[[#This Row],[PRN Med Started]]&lt;=BO$4,OR(Tbl_ResidentData[[#This Row],[PRN Med Discontinued]]&gt;BO$4,ISBLANK(Tbl_ResidentData[[#This Row],[PRN Med Discontinued]])))</f>
        <v>0</v>
      </c>
      <c r="CN154" s="122" t="b">
        <f ca="1">AND(Tbl_ResidentData[[#This Row],[PRN Med Started]]&lt;&gt;"",Tbl_ResidentData[[#This Row],[PRN Med Started]]&lt;=NOW(),Tbl_ResidentData[[#This Row],[PRN Med Started]]&lt;=BP$4,OR(Tbl_ResidentData[[#This Row],[PRN Med Discontinued]]&gt;BP$4,ISBLANK(Tbl_ResidentData[[#This Row],[PRN Med Discontinued]])))</f>
        <v>0</v>
      </c>
      <c r="CO154" s="120">
        <f ca="1">IF(OR(Tbl_ResidentData[[#This Row],[S1]]=TRUE,Tbl_ResidentData[[#This Row],[P1]]=TRUE),1,0)</f>
        <v>0</v>
      </c>
      <c r="CP154" s="121">
        <f ca="1">IF(OR(Tbl_ResidentData[[#This Row],[S2]]=TRUE,Tbl_ResidentData[[#This Row],[P2]]=TRUE),1,0)</f>
        <v>0</v>
      </c>
      <c r="CQ154" s="121">
        <f ca="1">IF(OR(Tbl_ResidentData[[#This Row],[S3]]=TRUE,Tbl_ResidentData[[#This Row],[P3]]=TRUE),1,0)</f>
        <v>0</v>
      </c>
      <c r="CR154" s="120">
        <f ca="1">IF(OR(Tbl_ResidentData[[#This Row],[S4]]=TRUE,Tbl_ResidentData[[#This Row],[P4]]=TRUE),1,0)</f>
        <v>0</v>
      </c>
      <c r="CS154" s="120">
        <f ca="1">IF(OR(Tbl_ResidentData[[#This Row],[S5]]=TRUE,Tbl_ResidentData[[#This Row],[P5]]=TRUE),1,0)</f>
        <v>0</v>
      </c>
      <c r="CT154" s="120">
        <f ca="1">IF(OR(Tbl_ResidentData[[#This Row],[S6]]=TRUE,Tbl_ResidentData[[#This Row],[P6]]=TRUE),1,0)</f>
        <v>0</v>
      </c>
      <c r="CU154" s="120">
        <f ca="1">IF(OR(Tbl_ResidentData[[#This Row],[S7]]=TRUE,Tbl_ResidentData[[#This Row],[P7]]=TRUE),1,0)</f>
        <v>0</v>
      </c>
      <c r="CV154" s="120">
        <f ca="1">IF(OR(Tbl_ResidentData[[#This Row],[S8]]=TRUE,Tbl_ResidentData[[#This Row],[P8]]=TRUE),1,0)</f>
        <v>0</v>
      </c>
      <c r="CW154" s="120">
        <f ca="1">IF(OR(Tbl_ResidentData[[#This Row],[S9]]=TRUE,Tbl_ResidentData[[#This Row],[P9]]=TRUE),1,0)</f>
        <v>0</v>
      </c>
      <c r="CX154" s="120">
        <f ca="1">IF(OR(Tbl_ResidentData[[#This Row],[S10]]=TRUE,Tbl_ResidentData[[#This Row],[P10]]=TRUE),1,0)</f>
        <v>0</v>
      </c>
      <c r="CY154" s="120">
        <f ca="1">IF(OR(Tbl_ResidentData[[#This Row],[S11]]=TRUE,Tbl_ResidentData[[#This Row],[P11]]=TRUE),1,0)</f>
        <v>0</v>
      </c>
      <c r="CZ154" s="120">
        <f ca="1">IF(OR(Tbl_ResidentData[[#This Row],[S12]]=TRUE,Tbl_ResidentData[[#This Row],[P12]]=TRUE),1,0)</f>
        <v>0</v>
      </c>
      <c r="DA154" s="120">
        <f ca="1">IF(OR(Tbl_ResidentData[[#This Row],[S13]]=TRUE,Tbl_ResidentData[[#This Row],[P13]]=TRUE),1,0)</f>
        <v>0</v>
      </c>
      <c r="DB154" s="120">
        <f ca="1">IF(OR(Tbl_ResidentData[[#This Row],[S14]]=TRUE,Tbl_ResidentData[[#This Row],[P14]]=TRUE),1,0)</f>
        <v>0</v>
      </c>
      <c r="DC154" s="120">
        <f ca="1">IF(OR(Tbl_ResidentData[[#This Row],[S15]]=TRUE,Tbl_ResidentData[[#This Row],[P15]]=TRUE),1,0)</f>
        <v>0</v>
      </c>
      <c r="DD154" s="120">
        <f ca="1">IF(OR(Tbl_ResidentData[[#This Row],[S16]]=TRUE,Tbl_ResidentData[[#This Row],[P16]]=TRUE),1,0)</f>
        <v>0</v>
      </c>
      <c r="DE154" s="120">
        <f ca="1">IF(OR(Tbl_ResidentData[[#This Row],[S17]]=TRUE,Tbl_ResidentData[[#This Row],[P17]]=TRUE),1,0)</f>
        <v>0</v>
      </c>
      <c r="DF154" s="120">
        <f ca="1">IF(OR(Tbl_ResidentData[[#This Row],[S18]]=TRUE,Tbl_ResidentData[[#This Row],[P18]]=TRUE),1,0)</f>
        <v>0</v>
      </c>
      <c r="DG154" s="120">
        <f ca="1">IF(OR(Tbl_ResidentData[[#This Row],[S19]]=TRUE,Tbl_ResidentData[[#This Row],[P19]]=TRUE),1,0)</f>
        <v>0</v>
      </c>
      <c r="DH154" s="120">
        <f ca="1">IF(OR(Tbl_ResidentData[[#This Row],[S20]]=TRUE,Tbl_ResidentData[[#This Row],[P20]]=TRUE),1,0)</f>
        <v>0</v>
      </c>
      <c r="DI154" s="120">
        <f ca="1">IF(OR(Tbl_ResidentData[[#This Row],[S21]]=TRUE,Tbl_ResidentData[[#This Row],[P21]]=TRUE),1,0)</f>
        <v>0</v>
      </c>
      <c r="DJ154" s="120">
        <f ca="1">IF(OR(Tbl_ResidentData[[#This Row],[S22]]=TRUE,Tbl_ResidentData[[#This Row],[P22]]=TRUE),1,0)</f>
        <v>0</v>
      </c>
      <c r="DK154" s="120">
        <f ca="1">IF(OR(Tbl_ResidentData[[#This Row],[S23]]=TRUE,Tbl_ResidentData[[#This Row],[P23]]=TRUE),1,0)</f>
        <v>0</v>
      </c>
      <c r="DL154" s="120">
        <f ca="1">IF(OR(Tbl_ResidentData[[#This Row],[S24]]=TRUE,Tbl_ResidentData[[#This Row],[P24]]=TRUE),1,0)</f>
        <v>0</v>
      </c>
      <c r="DM154" s="123" t="str">
        <f ca="1">IFERROR(INDEX($CO$4:$DL$4,MATCH(TRUE,INDEX((Tbl_ResidentData[[#This Row],[Over1]:[Over24]]&lt;&gt;0),0),0)),"")</f>
        <v/>
      </c>
      <c r="DN154" s="133" t="str">
        <f>IFERROR(INDEX(Tbl_PDSAData[Last DRT],MATCH(Tbl_ResidentData[Resident Name '[last, first']],Tbl_PDSAData[Resident Name (last, first)],0)),"")</f>
        <v/>
      </c>
      <c r="DO154" s="222" t="str">
        <f>IFERROR(INDEX(Tbl_PDSAData[Last MR],MATCH(Tbl_ResidentData[Resident Name '[last, first']],Tbl_PDSAData[Resident Name (last, first)],0)),"")</f>
        <v/>
      </c>
    </row>
    <row r="155" spans="1:119" x14ac:dyDescent="0.25">
      <c r="A155" s="179"/>
      <c r="B155" s="180"/>
      <c r="C155" s="180"/>
      <c r="D155" s="218"/>
      <c r="E155" s="179"/>
      <c r="F155" s="179"/>
      <c r="G155" s="181"/>
      <c r="H155" s="375"/>
      <c r="I155" s="185"/>
      <c r="J155" s="387"/>
      <c r="K155" s="178"/>
      <c r="L155" s="388"/>
      <c r="M155" s="185"/>
      <c r="N155" s="386"/>
      <c r="O155" s="178"/>
      <c r="P155" s="388"/>
      <c r="Q155" s="395"/>
      <c r="R155" s="396"/>
      <c r="S155" s="131" t="str">
        <f>IF(ISBLANK(Tbl_ResidentData[[#This Row],[Discharge '[mmm-yyyy']]]),IF(ISBLANK(Tbl_ResidentData[[#This Row],[Enrollment '[mmm-yyyy']]]),"","In Care Home"),"Discharged")</f>
        <v/>
      </c>
      <c r="T155" s="119" t="str">
        <f>IF(ISBLANK(Tbl_ResidentData[[#This Row],[Diagnosis (RAI)]]),IF(ISBLANK(Tbl_ResidentData[[#This Row],[Resident Name '[last, first']]]),"",0),IF(Tbl_ResidentData[[#This Row],[Diagnosis (RAI)]]="Other (see clinical notes)",0,1))</f>
        <v/>
      </c>
      <c r="U155" s="120" t="str">
        <f ca="1">IF(U$4&gt;NOW(),"-",IF(ISBLANK(Tbl_ResidentData[[#This Row],[Enrollment '[mmm-yyyy']]]),"-",AND((Tbl_ResidentData[[#This Row],[Enrollment '[mmm-yyyy']]]&lt;=U$4),IF(ISBLANK(Tbl_ResidentData[[#This Row],[Discharge '[mmm-yyyy']]]),TRUE,(Tbl_ResidentData[[#This Row],[Discharge '[mmm-yyyy']]]&gt;=U$4)))))</f>
        <v>-</v>
      </c>
      <c r="V155" s="121" t="str">
        <f ca="1">IF(V$4&gt;NOW(),"-",IF(ISBLANK(Tbl_ResidentData[[#This Row],[Enrollment '[mmm-yyyy']]]),"-",AND((Tbl_ResidentData[[#This Row],[Enrollment '[mmm-yyyy']]]&lt;=V$4),IF(ISBLANK(Tbl_ResidentData[[#This Row],[Discharge '[mmm-yyyy']]]),TRUE,(Tbl_ResidentData[[#This Row],[Discharge '[mmm-yyyy']]]&gt;=V$4)))))</f>
        <v>-</v>
      </c>
      <c r="W155" s="121" t="str">
        <f ca="1">IF(W$4&gt;NOW(),"-",IF(ISBLANK(Tbl_ResidentData[[#This Row],[Enrollment '[mmm-yyyy']]]),"-",AND((Tbl_ResidentData[[#This Row],[Enrollment '[mmm-yyyy']]]&lt;=W$4),IF(ISBLANK(Tbl_ResidentData[[#This Row],[Discharge '[mmm-yyyy']]]),TRUE,(Tbl_ResidentData[[#This Row],[Discharge '[mmm-yyyy']]]&gt;=W$4)))))</f>
        <v>-</v>
      </c>
      <c r="X155" s="121" t="str">
        <f ca="1">IF(X$4&gt;NOW(),"-",IF(ISBLANK(Tbl_ResidentData[[#This Row],[Enrollment '[mmm-yyyy']]]),"-",AND((Tbl_ResidentData[[#This Row],[Enrollment '[mmm-yyyy']]]&lt;=X$4),IF(ISBLANK(Tbl_ResidentData[[#This Row],[Discharge '[mmm-yyyy']]]),TRUE,(Tbl_ResidentData[[#This Row],[Discharge '[mmm-yyyy']]]&gt;=X$4)))))</f>
        <v>-</v>
      </c>
      <c r="Y155" s="121" t="str">
        <f ca="1">IF(Y$4&gt;NOW(),"-",IF(ISBLANK(Tbl_ResidentData[[#This Row],[Enrollment '[mmm-yyyy']]]),"-",AND((Tbl_ResidentData[[#This Row],[Enrollment '[mmm-yyyy']]]&lt;=Y$4),IF(ISBLANK(Tbl_ResidentData[[#This Row],[Discharge '[mmm-yyyy']]]),TRUE,(Tbl_ResidentData[[#This Row],[Discharge '[mmm-yyyy']]]&gt;=Y$4)))))</f>
        <v>-</v>
      </c>
      <c r="Z155" s="121" t="str">
        <f ca="1">IF(Z$4&gt;NOW(),"-",IF(ISBLANK(Tbl_ResidentData[[#This Row],[Enrollment '[mmm-yyyy']]]),"-",AND((Tbl_ResidentData[[#This Row],[Enrollment '[mmm-yyyy']]]&lt;=Z$4),IF(ISBLANK(Tbl_ResidentData[[#This Row],[Discharge '[mmm-yyyy']]]),TRUE,(Tbl_ResidentData[[#This Row],[Discharge '[mmm-yyyy']]]&gt;=Z$4)))))</f>
        <v>-</v>
      </c>
      <c r="AA155" s="121" t="str">
        <f ca="1">IF(AA$4&gt;NOW(),"-",IF(ISBLANK(Tbl_ResidentData[[#This Row],[Enrollment '[mmm-yyyy']]]),"-",AND((Tbl_ResidentData[[#This Row],[Enrollment '[mmm-yyyy']]]&lt;=AA$4),IF(ISBLANK(Tbl_ResidentData[[#This Row],[Discharge '[mmm-yyyy']]]),TRUE,(Tbl_ResidentData[[#This Row],[Discharge '[mmm-yyyy']]]&gt;=AA$4)))))</f>
        <v>-</v>
      </c>
      <c r="AB155" s="121" t="str">
        <f ca="1">IF(AB$4&gt;NOW(),"-",IF(ISBLANK(Tbl_ResidentData[[#This Row],[Enrollment '[mmm-yyyy']]]),"-",AND((Tbl_ResidentData[[#This Row],[Enrollment '[mmm-yyyy']]]&lt;=AB$4),IF(ISBLANK(Tbl_ResidentData[[#This Row],[Discharge '[mmm-yyyy']]]),TRUE,(Tbl_ResidentData[[#This Row],[Discharge '[mmm-yyyy']]]&gt;=AB$4)))))</f>
        <v>-</v>
      </c>
      <c r="AC155" s="121" t="str">
        <f ca="1">IF(AC$4&gt;NOW(),"-",IF(ISBLANK(Tbl_ResidentData[[#This Row],[Enrollment '[mmm-yyyy']]]),"-",AND((Tbl_ResidentData[[#This Row],[Enrollment '[mmm-yyyy']]]&lt;=AC$4),IF(ISBLANK(Tbl_ResidentData[[#This Row],[Discharge '[mmm-yyyy']]]),TRUE,(Tbl_ResidentData[[#This Row],[Discharge '[mmm-yyyy']]]&gt;=AC$4)))))</f>
        <v>-</v>
      </c>
      <c r="AD155" s="121" t="str">
        <f ca="1">IF(AD$4&gt;NOW(),"-",IF(ISBLANK(Tbl_ResidentData[[#This Row],[Enrollment '[mmm-yyyy']]]),"-",AND((Tbl_ResidentData[[#This Row],[Enrollment '[mmm-yyyy']]]&lt;=AD$4),IF(ISBLANK(Tbl_ResidentData[[#This Row],[Discharge '[mmm-yyyy']]]),TRUE,(Tbl_ResidentData[[#This Row],[Discharge '[mmm-yyyy']]]&gt;=AD$4)))))</f>
        <v>-</v>
      </c>
      <c r="AE155" s="121" t="str">
        <f ca="1">IF(AE$4&gt;NOW(),"-",IF(ISBLANK(Tbl_ResidentData[[#This Row],[Enrollment '[mmm-yyyy']]]),"-",AND((Tbl_ResidentData[[#This Row],[Enrollment '[mmm-yyyy']]]&lt;=AE$4),IF(ISBLANK(Tbl_ResidentData[[#This Row],[Discharge '[mmm-yyyy']]]),TRUE,(Tbl_ResidentData[[#This Row],[Discharge '[mmm-yyyy']]]&gt;=AE$4)))))</f>
        <v>-</v>
      </c>
      <c r="AF155" s="121" t="str">
        <f ca="1">IF(AF$4&gt;NOW(),"-",IF(ISBLANK(Tbl_ResidentData[[#This Row],[Enrollment '[mmm-yyyy']]]),"-",AND((Tbl_ResidentData[[#This Row],[Enrollment '[mmm-yyyy']]]&lt;=AF$4),IF(ISBLANK(Tbl_ResidentData[[#This Row],[Discharge '[mmm-yyyy']]]),TRUE,(Tbl_ResidentData[[#This Row],[Discharge '[mmm-yyyy']]]&gt;=AF$4)))))</f>
        <v>-</v>
      </c>
      <c r="AG155" s="121" t="str">
        <f ca="1">IF(AG$4&gt;NOW(),"-",IF(ISBLANK(Tbl_ResidentData[[#This Row],[Enrollment '[mmm-yyyy']]]),"-",AND((Tbl_ResidentData[[#This Row],[Enrollment '[mmm-yyyy']]]&lt;=AG$4),IF(ISBLANK(Tbl_ResidentData[[#This Row],[Discharge '[mmm-yyyy']]]),TRUE,(Tbl_ResidentData[[#This Row],[Discharge '[mmm-yyyy']]]&gt;=AG$4)))))</f>
        <v>-</v>
      </c>
      <c r="AH155" s="121" t="str">
        <f ca="1">IF(AH$4&gt;NOW(),"-",IF(ISBLANK(Tbl_ResidentData[[#This Row],[Enrollment '[mmm-yyyy']]]),"-",AND((Tbl_ResidentData[[#This Row],[Enrollment '[mmm-yyyy']]]&lt;=AH$4),IF(ISBLANK(Tbl_ResidentData[[#This Row],[Discharge '[mmm-yyyy']]]),TRUE,(Tbl_ResidentData[[#This Row],[Discharge '[mmm-yyyy']]]&gt;=AH$4)))))</f>
        <v>-</v>
      </c>
      <c r="AI155" s="121" t="str">
        <f ca="1">IF(AI$4&gt;NOW(),"-",IF(ISBLANK(Tbl_ResidentData[[#This Row],[Enrollment '[mmm-yyyy']]]),"-",AND((Tbl_ResidentData[[#This Row],[Enrollment '[mmm-yyyy']]]&lt;=AI$4),IF(ISBLANK(Tbl_ResidentData[[#This Row],[Discharge '[mmm-yyyy']]]),TRUE,(Tbl_ResidentData[[#This Row],[Discharge '[mmm-yyyy']]]&gt;=AI$4)))))</f>
        <v>-</v>
      </c>
      <c r="AJ155" s="121" t="str">
        <f ca="1">IF(AJ$4&gt;NOW(),"-",IF(ISBLANK(Tbl_ResidentData[[#This Row],[Enrollment '[mmm-yyyy']]]),"-",AND((Tbl_ResidentData[[#This Row],[Enrollment '[mmm-yyyy']]]&lt;=AJ$4),IF(ISBLANK(Tbl_ResidentData[[#This Row],[Discharge '[mmm-yyyy']]]),TRUE,(Tbl_ResidentData[[#This Row],[Discharge '[mmm-yyyy']]]&gt;=AJ$4)))))</f>
        <v>-</v>
      </c>
      <c r="AK155" s="121" t="str">
        <f ca="1">IF(AK$4&gt;NOW(),"-",IF(ISBLANK(Tbl_ResidentData[[#This Row],[Enrollment '[mmm-yyyy']]]),"-",AND((Tbl_ResidentData[[#This Row],[Enrollment '[mmm-yyyy']]]&lt;=AK$4),IF(ISBLANK(Tbl_ResidentData[[#This Row],[Discharge '[mmm-yyyy']]]),TRUE,(Tbl_ResidentData[[#This Row],[Discharge '[mmm-yyyy']]]&gt;=AK$4)))))</f>
        <v>-</v>
      </c>
      <c r="AL155" s="121" t="str">
        <f ca="1">IF(AL$4&gt;NOW(),"-",IF(ISBLANK(Tbl_ResidentData[[#This Row],[Enrollment '[mmm-yyyy']]]),"-",AND((Tbl_ResidentData[[#This Row],[Enrollment '[mmm-yyyy']]]&lt;=AL$4),IF(ISBLANK(Tbl_ResidentData[[#This Row],[Discharge '[mmm-yyyy']]]),TRUE,(Tbl_ResidentData[[#This Row],[Discharge '[mmm-yyyy']]]&gt;=AL$4)))))</f>
        <v>-</v>
      </c>
      <c r="AM155" s="121" t="str">
        <f ca="1">IF(AM$4&gt;NOW(),"-",IF(ISBLANK(Tbl_ResidentData[[#This Row],[Enrollment '[mmm-yyyy']]]),"-",AND((Tbl_ResidentData[[#This Row],[Enrollment '[mmm-yyyy']]]&lt;=AM$4),IF(ISBLANK(Tbl_ResidentData[[#This Row],[Discharge '[mmm-yyyy']]]),TRUE,(Tbl_ResidentData[[#This Row],[Discharge '[mmm-yyyy']]]&gt;=AM$4)))))</f>
        <v>-</v>
      </c>
      <c r="AN155" s="121" t="str">
        <f ca="1">IF(AN$4&gt;NOW(),"-",IF(ISBLANK(Tbl_ResidentData[[#This Row],[Enrollment '[mmm-yyyy']]]),"-",AND((Tbl_ResidentData[[#This Row],[Enrollment '[mmm-yyyy']]]&lt;=AN$4),IF(ISBLANK(Tbl_ResidentData[[#This Row],[Discharge '[mmm-yyyy']]]),TRUE,(Tbl_ResidentData[[#This Row],[Discharge '[mmm-yyyy']]]&gt;=AN$4)))))</f>
        <v>-</v>
      </c>
      <c r="AO155" s="121" t="str">
        <f ca="1">IF(AO$4&gt;NOW(),"-",IF(ISBLANK(Tbl_ResidentData[[#This Row],[Enrollment '[mmm-yyyy']]]),"-",AND((Tbl_ResidentData[[#This Row],[Enrollment '[mmm-yyyy']]]&lt;=AO$4),IF(ISBLANK(Tbl_ResidentData[[#This Row],[Discharge '[mmm-yyyy']]]),TRUE,(Tbl_ResidentData[[#This Row],[Discharge '[mmm-yyyy']]]&gt;=AO$4)))))</f>
        <v>-</v>
      </c>
      <c r="AP155" s="121" t="str">
        <f ca="1">IF(AP$4&gt;NOW(),"-",IF(ISBLANK(Tbl_ResidentData[[#This Row],[Enrollment '[mmm-yyyy']]]),"-",AND((Tbl_ResidentData[[#This Row],[Enrollment '[mmm-yyyy']]]&lt;=AP$4),IF(ISBLANK(Tbl_ResidentData[[#This Row],[Discharge '[mmm-yyyy']]]),TRUE,(Tbl_ResidentData[[#This Row],[Discharge '[mmm-yyyy']]]&gt;=AP$4)))))</f>
        <v>-</v>
      </c>
      <c r="AQ155" s="121" t="str">
        <f ca="1">IF(AQ$4&gt;NOW(),"-",IF(ISBLANK(Tbl_ResidentData[[#This Row],[Enrollment '[mmm-yyyy']]]),"-",AND((Tbl_ResidentData[[#This Row],[Enrollment '[mmm-yyyy']]]&lt;=AQ$4),IF(ISBLANK(Tbl_ResidentData[[#This Row],[Discharge '[mmm-yyyy']]]),TRUE,(Tbl_ResidentData[[#This Row],[Discharge '[mmm-yyyy']]]&gt;=AQ$4)))))</f>
        <v>-</v>
      </c>
      <c r="AR155" s="122" t="str">
        <f ca="1">IF(AR$4&gt;NOW(),"-",IF(ISBLANK(Tbl_ResidentData[[#This Row],[Enrollment '[mmm-yyyy']]]),"-",AND((Tbl_ResidentData[[#This Row],[Enrollment '[mmm-yyyy']]]&lt;=AR$4),IF(ISBLANK(Tbl_ResidentData[[#This Row],[Discharge '[mmm-yyyy']]]),TRUE,(Tbl_ResidentData[[#This Row],[Discharge '[mmm-yyyy']]]&gt;=AR$4)))))</f>
        <v>-</v>
      </c>
      <c r="AS15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5" s="120" t="b">
        <f ca="1">AND(Tbl_ResidentData[[#This Row],[PRN Med Started]]&lt;&gt;"",Tbl_ResidentData[[#This Row],[PRN Med Started]]&lt;=NOW(),Tbl_ResidentData[[#This Row],[PRN Med Started]]&lt;=AS$4,OR(Tbl_ResidentData[[#This Row],[PRN Med Discontinued]]&gt;AS$4,ISBLANK(Tbl_ResidentData[[#This Row],[PRN Med Discontinued]])))</f>
        <v>0</v>
      </c>
      <c r="BR155" s="121" t="b">
        <f ca="1">AND(Tbl_ResidentData[[#This Row],[PRN Med Started]]&lt;&gt;"",Tbl_ResidentData[[#This Row],[PRN Med Started]]&lt;=NOW(),Tbl_ResidentData[[#This Row],[PRN Med Started]]&lt;=AT$4,OR(Tbl_ResidentData[[#This Row],[PRN Med Discontinued]]&gt;AT$4,ISBLANK(Tbl_ResidentData[[#This Row],[PRN Med Discontinued]])))</f>
        <v>0</v>
      </c>
      <c r="BS155" s="121" t="b">
        <f ca="1">AND(Tbl_ResidentData[[#This Row],[PRN Med Started]]&lt;&gt;"",Tbl_ResidentData[[#This Row],[PRN Med Started]]&lt;=NOW(),Tbl_ResidentData[[#This Row],[PRN Med Started]]&lt;=AU$4,OR(Tbl_ResidentData[[#This Row],[PRN Med Discontinued]]&gt;AU$4,ISBLANK(Tbl_ResidentData[[#This Row],[PRN Med Discontinued]])))</f>
        <v>0</v>
      </c>
      <c r="BT155" s="121" t="b">
        <f ca="1">AND(Tbl_ResidentData[[#This Row],[PRN Med Started]]&lt;&gt;"",Tbl_ResidentData[[#This Row],[PRN Med Started]]&lt;=NOW(),Tbl_ResidentData[[#This Row],[PRN Med Started]]&lt;=AV$4,OR(Tbl_ResidentData[[#This Row],[PRN Med Discontinued]]&gt;AV$4,ISBLANK(Tbl_ResidentData[[#This Row],[PRN Med Discontinued]])))</f>
        <v>0</v>
      </c>
      <c r="BU155" s="121" t="b">
        <f ca="1">AND(Tbl_ResidentData[[#This Row],[PRN Med Started]]&lt;&gt;"",Tbl_ResidentData[[#This Row],[PRN Med Started]]&lt;=NOW(),Tbl_ResidentData[[#This Row],[PRN Med Started]]&lt;=AW$4,OR(Tbl_ResidentData[[#This Row],[PRN Med Discontinued]]&gt;AW$4,ISBLANK(Tbl_ResidentData[[#This Row],[PRN Med Discontinued]])))</f>
        <v>0</v>
      </c>
      <c r="BV155" s="121" t="b">
        <f ca="1">AND(Tbl_ResidentData[[#This Row],[PRN Med Started]]&lt;&gt;"",Tbl_ResidentData[[#This Row],[PRN Med Started]]&lt;=NOW(),Tbl_ResidentData[[#This Row],[PRN Med Started]]&lt;=AX$4,OR(Tbl_ResidentData[[#This Row],[PRN Med Discontinued]]&gt;AX$4,ISBLANK(Tbl_ResidentData[[#This Row],[PRN Med Discontinued]])))</f>
        <v>0</v>
      </c>
      <c r="BW155" s="121" t="b">
        <f ca="1">AND(Tbl_ResidentData[[#This Row],[PRN Med Started]]&lt;&gt;"",Tbl_ResidentData[[#This Row],[PRN Med Started]]&lt;=NOW(),Tbl_ResidentData[[#This Row],[PRN Med Started]]&lt;=AY$4,OR(Tbl_ResidentData[[#This Row],[PRN Med Discontinued]]&gt;AY$4,ISBLANK(Tbl_ResidentData[[#This Row],[PRN Med Discontinued]])))</f>
        <v>0</v>
      </c>
      <c r="BX155" s="121" t="b">
        <f ca="1">AND(Tbl_ResidentData[[#This Row],[PRN Med Started]]&lt;&gt;"",Tbl_ResidentData[[#This Row],[PRN Med Started]]&lt;=NOW(),Tbl_ResidentData[[#This Row],[PRN Med Started]]&lt;=AZ$4,OR(Tbl_ResidentData[[#This Row],[PRN Med Discontinued]]&gt;AZ$4,ISBLANK(Tbl_ResidentData[[#This Row],[PRN Med Discontinued]])))</f>
        <v>0</v>
      </c>
      <c r="BY155" s="121" t="b">
        <f ca="1">AND(Tbl_ResidentData[[#This Row],[PRN Med Started]]&lt;&gt;"",Tbl_ResidentData[[#This Row],[PRN Med Started]]&lt;=NOW(),Tbl_ResidentData[[#This Row],[PRN Med Started]]&lt;=BA$4,OR(Tbl_ResidentData[[#This Row],[PRN Med Discontinued]]&gt;BA$4,ISBLANK(Tbl_ResidentData[[#This Row],[PRN Med Discontinued]])))</f>
        <v>0</v>
      </c>
      <c r="BZ155" s="121" t="b">
        <f ca="1">AND(Tbl_ResidentData[[#This Row],[PRN Med Started]]&lt;&gt;"",Tbl_ResidentData[[#This Row],[PRN Med Started]]&lt;=NOW(),Tbl_ResidentData[[#This Row],[PRN Med Started]]&lt;=BB$4,OR(Tbl_ResidentData[[#This Row],[PRN Med Discontinued]]&gt;BB$4,ISBLANK(Tbl_ResidentData[[#This Row],[PRN Med Discontinued]])))</f>
        <v>0</v>
      </c>
      <c r="CA155" s="121" t="b">
        <f ca="1">AND(Tbl_ResidentData[[#This Row],[PRN Med Started]]&lt;&gt;"",Tbl_ResidentData[[#This Row],[PRN Med Started]]&lt;=NOW(),Tbl_ResidentData[[#This Row],[PRN Med Started]]&lt;=BC$4,OR(Tbl_ResidentData[[#This Row],[PRN Med Discontinued]]&gt;BC$4,ISBLANK(Tbl_ResidentData[[#This Row],[PRN Med Discontinued]])))</f>
        <v>0</v>
      </c>
      <c r="CB155" s="121" t="b">
        <f ca="1">AND(Tbl_ResidentData[[#This Row],[PRN Med Started]]&lt;&gt;"",Tbl_ResidentData[[#This Row],[PRN Med Started]]&lt;=NOW(),Tbl_ResidentData[[#This Row],[PRN Med Started]]&lt;=BD$4,OR(Tbl_ResidentData[[#This Row],[PRN Med Discontinued]]&gt;BD$4,ISBLANK(Tbl_ResidentData[[#This Row],[PRN Med Discontinued]])))</f>
        <v>0</v>
      </c>
      <c r="CC155" s="121" t="b">
        <f ca="1">AND(Tbl_ResidentData[[#This Row],[PRN Med Started]]&lt;&gt;"",Tbl_ResidentData[[#This Row],[PRN Med Started]]&lt;=NOW(),Tbl_ResidentData[[#This Row],[PRN Med Started]]&lt;=BE$4,OR(Tbl_ResidentData[[#This Row],[PRN Med Discontinued]]&gt;BE$4,ISBLANK(Tbl_ResidentData[[#This Row],[PRN Med Discontinued]])))</f>
        <v>0</v>
      </c>
      <c r="CD155" s="121" t="b">
        <f ca="1">AND(Tbl_ResidentData[[#This Row],[PRN Med Started]]&lt;&gt;"",Tbl_ResidentData[[#This Row],[PRN Med Started]]&lt;=NOW(),Tbl_ResidentData[[#This Row],[PRN Med Started]]&lt;=BF$4,OR(Tbl_ResidentData[[#This Row],[PRN Med Discontinued]]&gt;BF$4,ISBLANK(Tbl_ResidentData[[#This Row],[PRN Med Discontinued]])))</f>
        <v>0</v>
      </c>
      <c r="CE155" s="121" t="b">
        <f ca="1">AND(Tbl_ResidentData[[#This Row],[PRN Med Started]]&lt;&gt;"",Tbl_ResidentData[[#This Row],[PRN Med Started]]&lt;=NOW(),Tbl_ResidentData[[#This Row],[PRN Med Started]]&lt;=BG$4,OR(Tbl_ResidentData[[#This Row],[PRN Med Discontinued]]&gt;BG$4,ISBLANK(Tbl_ResidentData[[#This Row],[PRN Med Discontinued]])))</f>
        <v>0</v>
      </c>
      <c r="CF155" s="121" t="b">
        <f ca="1">AND(Tbl_ResidentData[[#This Row],[PRN Med Started]]&lt;&gt;"",Tbl_ResidentData[[#This Row],[PRN Med Started]]&lt;=NOW(),Tbl_ResidentData[[#This Row],[PRN Med Started]]&lt;=BH$4,OR(Tbl_ResidentData[[#This Row],[PRN Med Discontinued]]&gt;BH$4,ISBLANK(Tbl_ResidentData[[#This Row],[PRN Med Discontinued]])))</f>
        <v>0</v>
      </c>
      <c r="CG155" s="121" t="b">
        <f ca="1">AND(Tbl_ResidentData[[#This Row],[PRN Med Started]]&lt;&gt;"",Tbl_ResidentData[[#This Row],[PRN Med Started]]&lt;=NOW(),Tbl_ResidentData[[#This Row],[PRN Med Started]]&lt;=BI$4,OR(Tbl_ResidentData[[#This Row],[PRN Med Discontinued]]&gt;BI$4,ISBLANK(Tbl_ResidentData[[#This Row],[PRN Med Discontinued]])))</f>
        <v>0</v>
      </c>
      <c r="CH155" s="121" t="b">
        <f ca="1">AND(Tbl_ResidentData[[#This Row],[PRN Med Started]]&lt;&gt;"",Tbl_ResidentData[[#This Row],[PRN Med Started]]&lt;=NOW(),Tbl_ResidentData[[#This Row],[PRN Med Started]]&lt;=BJ$4,OR(Tbl_ResidentData[[#This Row],[PRN Med Discontinued]]&gt;BJ$4,ISBLANK(Tbl_ResidentData[[#This Row],[PRN Med Discontinued]])))</f>
        <v>0</v>
      </c>
      <c r="CI155" s="121" t="b">
        <f ca="1">AND(Tbl_ResidentData[[#This Row],[PRN Med Started]]&lt;&gt;"",Tbl_ResidentData[[#This Row],[PRN Med Started]]&lt;=NOW(),Tbl_ResidentData[[#This Row],[PRN Med Started]]&lt;=BK$4,OR(Tbl_ResidentData[[#This Row],[PRN Med Discontinued]]&gt;BK$4,ISBLANK(Tbl_ResidentData[[#This Row],[PRN Med Discontinued]])))</f>
        <v>0</v>
      </c>
      <c r="CJ155" s="121" t="b">
        <f ca="1">AND(Tbl_ResidentData[[#This Row],[PRN Med Started]]&lt;&gt;"",Tbl_ResidentData[[#This Row],[PRN Med Started]]&lt;=NOW(),Tbl_ResidentData[[#This Row],[PRN Med Started]]&lt;=BL$4,OR(Tbl_ResidentData[[#This Row],[PRN Med Discontinued]]&gt;BL$4,ISBLANK(Tbl_ResidentData[[#This Row],[PRN Med Discontinued]])))</f>
        <v>0</v>
      </c>
      <c r="CK155" s="121" t="b">
        <f ca="1">AND(Tbl_ResidentData[[#This Row],[PRN Med Started]]&lt;&gt;"",Tbl_ResidentData[[#This Row],[PRN Med Started]]&lt;=NOW(),Tbl_ResidentData[[#This Row],[PRN Med Started]]&lt;=BM$4,OR(Tbl_ResidentData[[#This Row],[PRN Med Discontinued]]&gt;BM$4,ISBLANK(Tbl_ResidentData[[#This Row],[PRN Med Discontinued]])))</f>
        <v>0</v>
      </c>
      <c r="CL155" s="121" t="b">
        <f ca="1">AND(Tbl_ResidentData[[#This Row],[PRN Med Started]]&lt;&gt;"",Tbl_ResidentData[[#This Row],[PRN Med Started]]&lt;=NOW(),Tbl_ResidentData[[#This Row],[PRN Med Started]]&lt;=BN$4,OR(Tbl_ResidentData[[#This Row],[PRN Med Discontinued]]&gt;BN$4,ISBLANK(Tbl_ResidentData[[#This Row],[PRN Med Discontinued]])))</f>
        <v>0</v>
      </c>
      <c r="CM155" s="121" t="b">
        <f ca="1">AND(Tbl_ResidentData[[#This Row],[PRN Med Started]]&lt;&gt;"",Tbl_ResidentData[[#This Row],[PRN Med Started]]&lt;=NOW(),Tbl_ResidentData[[#This Row],[PRN Med Started]]&lt;=BO$4,OR(Tbl_ResidentData[[#This Row],[PRN Med Discontinued]]&gt;BO$4,ISBLANK(Tbl_ResidentData[[#This Row],[PRN Med Discontinued]])))</f>
        <v>0</v>
      </c>
      <c r="CN155" s="122" t="b">
        <f ca="1">AND(Tbl_ResidentData[[#This Row],[PRN Med Started]]&lt;&gt;"",Tbl_ResidentData[[#This Row],[PRN Med Started]]&lt;=NOW(),Tbl_ResidentData[[#This Row],[PRN Med Started]]&lt;=BP$4,OR(Tbl_ResidentData[[#This Row],[PRN Med Discontinued]]&gt;BP$4,ISBLANK(Tbl_ResidentData[[#This Row],[PRN Med Discontinued]])))</f>
        <v>0</v>
      </c>
      <c r="CO155" s="120">
        <f ca="1">IF(OR(Tbl_ResidentData[[#This Row],[S1]]=TRUE,Tbl_ResidentData[[#This Row],[P1]]=TRUE),1,0)</f>
        <v>0</v>
      </c>
      <c r="CP155" s="121">
        <f ca="1">IF(OR(Tbl_ResidentData[[#This Row],[S2]]=TRUE,Tbl_ResidentData[[#This Row],[P2]]=TRUE),1,0)</f>
        <v>0</v>
      </c>
      <c r="CQ155" s="121">
        <f ca="1">IF(OR(Tbl_ResidentData[[#This Row],[S3]]=TRUE,Tbl_ResidentData[[#This Row],[P3]]=TRUE),1,0)</f>
        <v>0</v>
      </c>
      <c r="CR155" s="120">
        <f ca="1">IF(OR(Tbl_ResidentData[[#This Row],[S4]]=TRUE,Tbl_ResidentData[[#This Row],[P4]]=TRUE),1,0)</f>
        <v>0</v>
      </c>
      <c r="CS155" s="120">
        <f ca="1">IF(OR(Tbl_ResidentData[[#This Row],[S5]]=TRUE,Tbl_ResidentData[[#This Row],[P5]]=TRUE),1,0)</f>
        <v>0</v>
      </c>
      <c r="CT155" s="120">
        <f ca="1">IF(OR(Tbl_ResidentData[[#This Row],[S6]]=TRUE,Tbl_ResidentData[[#This Row],[P6]]=TRUE),1,0)</f>
        <v>0</v>
      </c>
      <c r="CU155" s="120">
        <f ca="1">IF(OR(Tbl_ResidentData[[#This Row],[S7]]=TRUE,Tbl_ResidentData[[#This Row],[P7]]=TRUE),1,0)</f>
        <v>0</v>
      </c>
      <c r="CV155" s="120">
        <f ca="1">IF(OR(Tbl_ResidentData[[#This Row],[S8]]=TRUE,Tbl_ResidentData[[#This Row],[P8]]=TRUE),1,0)</f>
        <v>0</v>
      </c>
      <c r="CW155" s="120">
        <f ca="1">IF(OR(Tbl_ResidentData[[#This Row],[S9]]=TRUE,Tbl_ResidentData[[#This Row],[P9]]=TRUE),1,0)</f>
        <v>0</v>
      </c>
      <c r="CX155" s="120">
        <f ca="1">IF(OR(Tbl_ResidentData[[#This Row],[S10]]=TRUE,Tbl_ResidentData[[#This Row],[P10]]=TRUE),1,0)</f>
        <v>0</v>
      </c>
      <c r="CY155" s="120">
        <f ca="1">IF(OR(Tbl_ResidentData[[#This Row],[S11]]=TRUE,Tbl_ResidentData[[#This Row],[P11]]=TRUE),1,0)</f>
        <v>0</v>
      </c>
      <c r="CZ155" s="120">
        <f ca="1">IF(OR(Tbl_ResidentData[[#This Row],[S12]]=TRUE,Tbl_ResidentData[[#This Row],[P12]]=TRUE),1,0)</f>
        <v>0</v>
      </c>
      <c r="DA155" s="120">
        <f ca="1">IF(OR(Tbl_ResidentData[[#This Row],[S13]]=TRUE,Tbl_ResidentData[[#This Row],[P13]]=TRUE),1,0)</f>
        <v>0</v>
      </c>
      <c r="DB155" s="120">
        <f ca="1">IF(OR(Tbl_ResidentData[[#This Row],[S14]]=TRUE,Tbl_ResidentData[[#This Row],[P14]]=TRUE),1,0)</f>
        <v>0</v>
      </c>
      <c r="DC155" s="120">
        <f ca="1">IF(OR(Tbl_ResidentData[[#This Row],[S15]]=TRUE,Tbl_ResidentData[[#This Row],[P15]]=TRUE),1,0)</f>
        <v>0</v>
      </c>
      <c r="DD155" s="120">
        <f ca="1">IF(OR(Tbl_ResidentData[[#This Row],[S16]]=TRUE,Tbl_ResidentData[[#This Row],[P16]]=TRUE),1,0)</f>
        <v>0</v>
      </c>
      <c r="DE155" s="120">
        <f ca="1">IF(OR(Tbl_ResidentData[[#This Row],[S17]]=TRUE,Tbl_ResidentData[[#This Row],[P17]]=TRUE),1,0)</f>
        <v>0</v>
      </c>
      <c r="DF155" s="120">
        <f ca="1">IF(OR(Tbl_ResidentData[[#This Row],[S18]]=TRUE,Tbl_ResidentData[[#This Row],[P18]]=TRUE),1,0)</f>
        <v>0</v>
      </c>
      <c r="DG155" s="120">
        <f ca="1">IF(OR(Tbl_ResidentData[[#This Row],[S19]]=TRUE,Tbl_ResidentData[[#This Row],[P19]]=TRUE),1,0)</f>
        <v>0</v>
      </c>
      <c r="DH155" s="120">
        <f ca="1">IF(OR(Tbl_ResidentData[[#This Row],[S20]]=TRUE,Tbl_ResidentData[[#This Row],[P20]]=TRUE),1,0)</f>
        <v>0</v>
      </c>
      <c r="DI155" s="120">
        <f ca="1">IF(OR(Tbl_ResidentData[[#This Row],[S21]]=TRUE,Tbl_ResidentData[[#This Row],[P21]]=TRUE),1,0)</f>
        <v>0</v>
      </c>
      <c r="DJ155" s="120">
        <f ca="1">IF(OR(Tbl_ResidentData[[#This Row],[S22]]=TRUE,Tbl_ResidentData[[#This Row],[P22]]=TRUE),1,0)</f>
        <v>0</v>
      </c>
      <c r="DK155" s="120">
        <f ca="1">IF(OR(Tbl_ResidentData[[#This Row],[S23]]=TRUE,Tbl_ResidentData[[#This Row],[P23]]=TRUE),1,0)</f>
        <v>0</v>
      </c>
      <c r="DL155" s="120">
        <f ca="1">IF(OR(Tbl_ResidentData[[#This Row],[S24]]=TRUE,Tbl_ResidentData[[#This Row],[P24]]=TRUE),1,0)</f>
        <v>0</v>
      </c>
      <c r="DM155" s="123" t="str">
        <f ca="1">IFERROR(INDEX($CO$4:$DL$4,MATCH(TRUE,INDEX((Tbl_ResidentData[[#This Row],[Over1]:[Over24]]&lt;&gt;0),0),0)),"")</f>
        <v/>
      </c>
      <c r="DN155" s="133" t="str">
        <f>IFERROR(INDEX(Tbl_PDSAData[Last DRT],MATCH(Tbl_ResidentData[Resident Name '[last, first']],Tbl_PDSAData[Resident Name (last, first)],0)),"")</f>
        <v/>
      </c>
      <c r="DO155" s="222" t="str">
        <f>IFERROR(INDEX(Tbl_PDSAData[Last MR],MATCH(Tbl_ResidentData[Resident Name '[last, first']],Tbl_PDSAData[Resident Name (last, first)],0)),"")</f>
        <v/>
      </c>
    </row>
    <row r="156" spans="1:119" x14ac:dyDescent="0.25">
      <c r="A156" s="179"/>
      <c r="B156" s="180"/>
      <c r="C156" s="180"/>
      <c r="D156" s="218"/>
      <c r="E156" s="179"/>
      <c r="F156" s="179"/>
      <c r="G156" s="181"/>
      <c r="H156" s="182"/>
      <c r="I156" s="185"/>
      <c r="J156" s="387"/>
      <c r="K156" s="178"/>
      <c r="L156" s="388"/>
      <c r="M156" s="185"/>
      <c r="N156" s="386"/>
      <c r="O156" s="178"/>
      <c r="P156" s="388"/>
      <c r="Q156" s="394"/>
      <c r="R156" s="388"/>
      <c r="S156" s="131" t="str">
        <f>IF(ISBLANK(Tbl_ResidentData[[#This Row],[Discharge '[mmm-yyyy']]]),IF(ISBLANK(Tbl_ResidentData[[#This Row],[Enrollment '[mmm-yyyy']]]),"","In Care Home"),"Discharged")</f>
        <v/>
      </c>
      <c r="T156" s="119" t="str">
        <f>IF(ISBLANK(Tbl_ResidentData[[#This Row],[Diagnosis (RAI)]]),IF(ISBLANK(Tbl_ResidentData[[#This Row],[Resident Name '[last, first']]]),"",0),IF(Tbl_ResidentData[[#This Row],[Diagnosis (RAI)]]="Other (see clinical notes)",0,1))</f>
        <v/>
      </c>
      <c r="U156" s="120" t="str">
        <f ca="1">IF(U$4&gt;NOW(),"-",IF(ISBLANK(Tbl_ResidentData[[#This Row],[Enrollment '[mmm-yyyy']]]),"-",AND((Tbl_ResidentData[[#This Row],[Enrollment '[mmm-yyyy']]]&lt;=U$4),IF(ISBLANK(Tbl_ResidentData[[#This Row],[Discharge '[mmm-yyyy']]]),TRUE,(Tbl_ResidentData[[#This Row],[Discharge '[mmm-yyyy']]]&gt;=U$4)))))</f>
        <v>-</v>
      </c>
      <c r="V156" s="121" t="str">
        <f ca="1">IF(V$4&gt;NOW(),"-",IF(ISBLANK(Tbl_ResidentData[[#This Row],[Enrollment '[mmm-yyyy']]]),"-",AND((Tbl_ResidentData[[#This Row],[Enrollment '[mmm-yyyy']]]&lt;=V$4),IF(ISBLANK(Tbl_ResidentData[[#This Row],[Discharge '[mmm-yyyy']]]),TRUE,(Tbl_ResidentData[[#This Row],[Discharge '[mmm-yyyy']]]&gt;=V$4)))))</f>
        <v>-</v>
      </c>
      <c r="W156" s="121" t="str">
        <f ca="1">IF(W$4&gt;NOW(),"-",IF(ISBLANK(Tbl_ResidentData[[#This Row],[Enrollment '[mmm-yyyy']]]),"-",AND((Tbl_ResidentData[[#This Row],[Enrollment '[mmm-yyyy']]]&lt;=W$4),IF(ISBLANK(Tbl_ResidentData[[#This Row],[Discharge '[mmm-yyyy']]]),TRUE,(Tbl_ResidentData[[#This Row],[Discharge '[mmm-yyyy']]]&gt;=W$4)))))</f>
        <v>-</v>
      </c>
      <c r="X156" s="121" t="str">
        <f ca="1">IF(X$4&gt;NOW(),"-",IF(ISBLANK(Tbl_ResidentData[[#This Row],[Enrollment '[mmm-yyyy']]]),"-",AND((Tbl_ResidentData[[#This Row],[Enrollment '[mmm-yyyy']]]&lt;=X$4),IF(ISBLANK(Tbl_ResidentData[[#This Row],[Discharge '[mmm-yyyy']]]),TRUE,(Tbl_ResidentData[[#This Row],[Discharge '[mmm-yyyy']]]&gt;=X$4)))))</f>
        <v>-</v>
      </c>
      <c r="Y156" s="121" t="str">
        <f ca="1">IF(Y$4&gt;NOW(),"-",IF(ISBLANK(Tbl_ResidentData[[#This Row],[Enrollment '[mmm-yyyy']]]),"-",AND((Tbl_ResidentData[[#This Row],[Enrollment '[mmm-yyyy']]]&lt;=Y$4),IF(ISBLANK(Tbl_ResidentData[[#This Row],[Discharge '[mmm-yyyy']]]),TRUE,(Tbl_ResidentData[[#This Row],[Discharge '[mmm-yyyy']]]&gt;=Y$4)))))</f>
        <v>-</v>
      </c>
      <c r="Z156" s="121" t="str">
        <f ca="1">IF(Z$4&gt;NOW(),"-",IF(ISBLANK(Tbl_ResidentData[[#This Row],[Enrollment '[mmm-yyyy']]]),"-",AND((Tbl_ResidentData[[#This Row],[Enrollment '[mmm-yyyy']]]&lt;=Z$4),IF(ISBLANK(Tbl_ResidentData[[#This Row],[Discharge '[mmm-yyyy']]]),TRUE,(Tbl_ResidentData[[#This Row],[Discharge '[mmm-yyyy']]]&gt;=Z$4)))))</f>
        <v>-</v>
      </c>
      <c r="AA156" s="121" t="str">
        <f ca="1">IF(AA$4&gt;NOW(),"-",IF(ISBLANK(Tbl_ResidentData[[#This Row],[Enrollment '[mmm-yyyy']]]),"-",AND((Tbl_ResidentData[[#This Row],[Enrollment '[mmm-yyyy']]]&lt;=AA$4),IF(ISBLANK(Tbl_ResidentData[[#This Row],[Discharge '[mmm-yyyy']]]),TRUE,(Tbl_ResidentData[[#This Row],[Discharge '[mmm-yyyy']]]&gt;=AA$4)))))</f>
        <v>-</v>
      </c>
      <c r="AB156" s="121" t="str">
        <f ca="1">IF(AB$4&gt;NOW(),"-",IF(ISBLANK(Tbl_ResidentData[[#This Row],[Enrollment '[mmm-yyyy']]]),"-",AND((Tbl_ResidentData[[#This Row],[Enrollment '[mmm-yyyy']]]&lt;=AB$4),IF(ISBLANK(Tbl_ResidentData[[#This Row],[Discharge '[mmm-yyyy']]]),TRUE,(Tbl_ResidentData[[#This Row],[Discharge '[mmm-yyyy']]]&gt;=AB$4)))))</f>
        <v>-</v>
      </c>
      <c r="AC156" s="121" t="str">
        <f ca="1">IF(AC$4&gt;NOW(),"-",IF(ISBLANK(Tbl_ResidentData[[#This Row],[Enrollment '[mmm-yyyy']]]),"-",AND((Tbl_ResidentData[[#This Row],[Enrollment '[mmm-yyyy']]]&lt;=AC$4),IF(ISBLANK(Tbl_ResidentData[[#This Row],[Discharge '[mmm-yyyy']]]),TRUE,(Tbl_ResidentData[[#This Row],[Discharge '[mmm-yyyy']]]&gt;=AC$4)))))</f>
        <v>-</v>
      </c>
      <c r="AD156" s="121" t="str">
        <f ca="1">IF(AD$4&gt;NOW(),"-",IF(ISBLANK(Tbl_ResidentData[[#This Row],[Enrollment '[mmm-yyyy']]]),"-",AND((Tbl_ResidentData[[#This Row],[Enrollment '[mmm-yyyy']]]&lt;=AD$4),IF(ISBLANK(Tbl_ResidentData[[#This Row],[Discharge '[mmm-yyyy']]]),TRUE,(Tbl_ResidentData[[#This Row],[Discharge '[mmm-yyyy']]]&gt;=AD$4)))))</f>
        <v>-</v>
      </c>
      <c r="AE156" s="121" t="str">
        <f ca="1">IF(AE$4&gt;NOW(),"-",IF(ISBLANK(Tbl_ResidentData[[#This Row],[Enrollment '[mmm-yyyy']]]),"-",AND((Tbl_ResidentData[[#This Row],[Enrollment '[mmm-yyyy']]]&lt;=AE$4),IF(ISBLANK(Tbl_ResidentData[[#This Row],[Discharge '[mmm-yyyy']]]),TRUE,(Tbl_ResidentData[[#This Row],[Discharge '[mmm-yyyy']]]&gt;=AE$4)))))</f>
        <v>-</v>
      </c>
      <c r="AF156" s="121" t="str">
        <f ca="1">IF(AF$4&gt;NOW(),"-",IF(ISBLANK(Tbl_ResidentData[[#This Row],[Enrollment '[mmm-yyyy']]]),"-",AND((Tbl_ResidentData[[#This Row],[Enrollment '[mmm-yyyy']]]&lt;=AF$4),IF(ISBLANK(Tbl_ResidentData[[#This Row],[Discharge '[mmm-yyyy']]]),TRUE,(Tbl_ResidentData[[#This Row],[Discharge '[mmm-yyyy']]]&gt;=AF$4)))))</f>
        <v>-</v>
      </c>
      <c r="AG156" s="121" t="str">
        <f ca="1">IF(AG$4&gt;NOW(),"-",IF(ISBLANK(Tbl_ResidentData[[#This Row],[Enrollment '[mmm-yyyy']]]),"-",AND((Tbl_ResidentData[[#This Row],[Enrollment '[mmm-yyyy']]]&lt;=AG$4),IF(ISBLANK(Tbl_ResidentData[[#This Row],[Discharge '[mmm-yyyy']]]),TRUE,(Tbl_ResidentData[[#This Row],[Discharge '[mmm-yyyy']]]&gt;=AG$4)))))</f>
        <v>-</v>
      </c>
      <c r="AH156" s="121" t="str">
        <f ca="1">IF(AH$4&gt;NOW(),"-",IF(ISBLANK(Tbl_ResidentData[[#This Row],[Enrollment '[mmm-yyyy']]]),"-",AND((Tbl_ResidentData[[#This Row],[Enrollment '[mmm-yyyy']]]&lt;=AH$4),IF(ISBLANK(Tbl_ResidentData[[#This Row],[Discharge '[mmm-yyyy']]]),TRUE,(Tbl_ResidentData[[#This Row],[Discharge '[mmm-yyyy']]]&gt;=AH$4)))))</f>
        <v>-</v>
      </c>
      <c r="AI156" s="121" t="str">
        <f ca="1">IF(AI$4&gt;NOW(),"-",IF(ISBLANK(Tbl_ResidentData[[#This Row],[Enrollment '[mmm-yyyy']]]),"-",AND((Tbl_ResidentData[[#This Row],[Enrollment '[mmm-yyyy']]]&lt;=AI$4),IF(ISBLANK(Tbl_ResidentData[[#This Row],[Discharge '[mmm-yyyy']]]),TRUE,(Tbl_ResidentData[[#This Row],[Discharge '[mmm-yyyy']]]&gt;=AI$4)))))</f>
        <v>-</v>
      </c>
      <c r="AJ156" s="121" t="str">
        <f ca="1">IF(AJ$4&gt;NOW(),"-",IF(ISBLANK(Tbl_ResidentData[[#This Row],[Enrollment '[mmm-yyyy']]]),"-",AND((Tbl_ResidentData[[#This Row],[Enrollment '[mmm-yyyy']]]&lt;=AJ$4),IF(ISBLANK(Tbl_ResidentData[[#This Row],[Discharge '[mmm-yyyy']]]),TRUE,(Tbl_ResidentData[[#This Row],[Discharge '[mmm-yyyy']]]&gt;=AJ$4)))))</f>
        <v>-</v>
      </c>
      <c r="AK156" s="121" t="str">
        <f ca="1">IF(AK$4&gt;NOW(),"-",IF(ISBLANK(Tbl_ResidentData[[#This Row],[Enrollment '[mmm-yyyy']]]),"-",AND((Tbl_ResidentData[[#This Row],[Enrollment '[mmm-yyyy']]]&lt;=AK$4),IF(ISBLANK(Tbl_ResidentData[[#This Row],[Discharge '[mmm-yyyy']]]),TRUE,(Tbl_ResidentData[[#This Row],[Discharge '[mmm-yyyy']]]&gt;=AK$4)))))</f>
        <v>-</v>
      </c>
      <c r="AL156" s="121" t="str">
        <f ca="1">IF(AL$4&gt;NOW(),"-",IF(ISBLANK(Tbl_ResidentData[[#This Row],[Enrollment '[mmm-yyyy']]]),"-",AND((Tbl_ResidentData[[#This Row],[Enrollment '[mmm-yyyy']]]&lt;=AL$4),IF(ISBLANK(Tbl_ResidentData[[#This Row],[Discharge '[mmm-yyyy']]]),TRUE,(Tbl_ResidentData[[#This Row],[Discharge '[mmm-yyyy']]]&gt;=AL$4)))))</f>
        <v>-</v>
      </c>
      <c r="AM156" s="121" t="str">
        <f ca="1">IF(AM$4&gt;NOW(),"-",IF(ISBLANK(Tbl_ResidentData[[#This Row],[Enrollment '[mmm-yyyy']]]),"-",AND((Tbl_ResidentData[[#This Row],[Enrollment '[mmm-yyyy']]]&lt;=AM$4),IF(ISBLANK(Tbl_ResidentData[[#This Row],[Discharge '[mmm-yyyy']]]),TRUE,(Tbl_ResidentData[[#This Row],[Discharge '[mmm-yyyy']]]&gt;=AM$4)))))</f>
        <v>-</v>
      </c>
      <c r="AN156" s="121" t="str">
        <f ca="1">IF(AN$4&gt;NOW(),"-",IF(ISBLANK(Tbl_ResidentData[[#This Row],[Enrollment '[mmm-yyyy']]]),"-",AND((Tbl_ResidentData[[#This Row],[Enrollment '[mmm-yyyy']]]&lt;=AN$4),IF(ISBLANK(Tbl_ResidentData[[#This Row],[Discharge '[mmm-yyyy']]]),TRUE,(Tbl_ResidentData[[#This Row],[Discharge '[mmm-yyyy']]]&gt;=AN$4)))))</f>
        <v>-</v>
      </c>
      <c r="AO156" s="121" t="str">
        <f ca="1">IF(AO$4&gt;NOW(),"-",IF(ISBLANK(Tbl_ResidentData[[#This Row],[Enrollment '[mmm-yyyy']]]),"-",AND((Tbl_ResidentData[[#This Row],[Enrollment '[mmm-yyyy']]]&lt;=AO$4),IF(ISBLANK(Tbl_ResidentData[[#This Row],[Discharge '[mmm-yyyy']]]),TRUE,(Tbl_ResidentData[[#This Row],[Discharge '[mmm-yyyy']]]&gt;=AO$4)))))</f>
        <v>-</v>
      </c>
      <c r="AP156" s="121" t="str">
        <f ca="1">IF(AP$4&gt;NOW(),"-",IF(ISBLANK(Tbl_ResidentData[[#This Row],[Enrollment '[mmm-yyyy']]]),"-",AND((Tbl_ResidentData[[#This Row],[Enrollment '[mmm-yyyy']]]&lt;=AP$4),IF(ISBLANK(Tbl_ResidentData[[#This Row],[Discharge '[mmm-yyyy']]]),TRUE,(Tbl_ResidentData[[#This Row],[Discharge '[mmm-yyyy']]]&gt;=AP$4)))))</f>
        <v>-</v>
      </c>
      <c r="AQ156" s="121" t="str">
        <f ca="1">IF(AQ$4&gt;NOW(),"-",IF(ISBLANK(Tbl_ResidentData[[#This Row],[Enrollment '[mmm-yyyy']]]),"-",AND((Tbl_ResidentData[[#This Row],[Enrollment '[mmm-yyyy']]]&lt;=AQ$4),IF(ISBLANK(Tbl_ResidentData[[#This Row],[Discharge '[mmm-yyyy']]]),TRUE,(Tbl_ResidentData[[#This Row],[Discharge '[mmm-yyyy']]]&gt;=AQ$4)))))</f>
        <v>-</v>
      </c>
      <c r="AR156" s="122" t="str">
        <f ca="1">IF(AR$4&gt;NOW(),"-",IF(ISBLANK(Tbl_ResidentData[[#This Row],[Enrollment '[mmm-yyyy']]]),"-",AND((Tbl_ResidentData[[#This Row],[Enrollment '[mmm-yyyy']]]&lt;=AR$4),IF(ISBLANK(Tbl_ResidentData[[#This Row],[Discharge '[mmm-yyyy']]]),TRUE,(Tbl_ResidentData[[#This Row],[Discharge '[mmm-yyyy']]]&gt;=AR$4)))))</f>
        <v>-</v>
      </c>
      <c r="AS15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6" s="120" t="b">
        <f ca="1">AND(Tbl_ResidentData[[#This Row],[PRN Med Started]]&lt;&gt;"",Tbl_ResidentData[[#This Row],[PRN Med Started]]&lt;=NOW(),Tbl_ResidentData[[#This Row],[PRN Med Started]]&lt;=AS$4,OR(Tbl_ResidentData[[#This Row],[PRN Med Discontinued]]&gt;AS$4,ISBLANK(Tbl_ResidentData[[#This Row],[PRN Med Discontinued]])))</f>
        <v>0</v>
      </c>
      <c r="BR156" s="121" t="b">
        <f ca="1">AND(Tbl_ResidentData[[#This Row],[PRN Med Started]]&lt;&gt;"",Tbl_ResidentData[[#This Row],[PRN Med Started]]&lt;=NOW(),Tbl_ResidentData[[#This Row],[PRN Med Started]]&lt;=AT$4,OR(Tbl_ResidentData[[#This Row],[PRN Med Discontinued]]&gt;AT$4,ISBLANK(Tbl_ResidentData[[#This Row],[PRN Med Discontinued]])))</f>
        <v>0</v>
      </c>
      <c r="BS156" s="121" t="b">
        <f ca="1">AND(Tbl_ResidentData[[#This Row],[PRN Med Started]]&lt;&gt;"",Tbl_ResidentData[[#This Row],[PRN Med Started]]&lt;=NOW(),Tbl_ResidentData[[#This Row],[PRN Med Started]]&lt;=AU$4,OR(Tbl_ResidentData[[#This Row],[PRN Med Discontinued]]&gt;AU$4,ISBLANK(Tbl_ResidentData[[#This Row],[PRN Med Discontinued]])))</f>
        <v>0</v>
      </c>
      <c r="BT156" s="121" t="b">
        <f ca="1">AND(Tbl_ResidentData[[#This Row],[PRN Med Started]]&lt;&gt;"",Tbl_ResidentData[[#This Row],[PRN Med Started]]&lt;=NOW(),Tbl_ResidentData[[#This Row],[PRN Med Started]]&lt;=AV$4,OR(Tbl_ResidentData[[#This Row],[PRN Med Discontinued]]&gt;AV$4,ISBLANK(Tbl_ResidentData[[#This Row],[PRN Med Discontinued]])))</f>
        <v>0</v>
      </c>
      <c r="BU156" s="121" t="b">
        <f ca="1">AND(Tbl_ResidentData[[#This Row],[PRN Med Started]]&lt;&gt;"",Tbl_ResidentData[[#This Row],[PRN Med Started]]&lt;=NOW(),Tbl_ResidentData[[#This Row],[PRN Med Started]]&lt;=AW$4,OR(Tbl_ResidentData[[#This Row],[PRN Med Discontinued]]&gt;AW$4,ISBLANK(Tbl_ResidentData[[#This Row],[PRN Med Discontinued]])))</f>
        <v>0</v>
      </c>
      <c r="BV156" s="121" t="b">
        <f ca="1">AND(Tbl_ResidentData[[#This Row],[PRN Med Started]]&lt;&gt;"",Tbl_ResidentData[[#This Row],[PRN Med Started]]&lt;=NOW(),Tbl_ResidentData[[#This Row],[PRN Med Started]]&lt;=AX$4,OR(Tbl_ResidentData[[#This Row],[PRN Med Discontinued]]&gt;AX$4,ISBLANK(Tbl_ResidentData[[#This Row],[PRN Med Discontinued]])))</f>
        <v>0</v>
      </c>
      <c r="BW156" s="121" t="b">
        <f ca="1">AND(Tbl_ResidentData[[#This Row],[PRN Med Started]]&lt;&gt;"",Tbl_ResidentData[[#This Row],[PRN Med Started]]&lt;=NOW(),Tbl_ResidentData[[#This Row],[PRN Med Started]]&lt;=AY$4,OR(Tbl_ResidentData[[#This Row],[PRN Med Discontinued]]&gt;AY$4,ISBLANK(Tbl_ResidentData[[#This Row],[PRN Med Discontinued]])))</f>
        <v>0</v>
      </c>
      <c r="BX156" s="121" t="b">
        <f ca="1">AND(Tbl_ResidentData[[#This Row],[PRN Med Started]]&lt;&gt;"",Tbl_ResidentData[[#This Row],[PRN Med Started]]&lt;=NOW(),Tbl_ResidentData[[#This Row],[PRN Med Started]]&lt;=AZ$4,OR(Tbl_ResidentData[[#This Row],[PRN Med Discontinued]]&gt;AZ$4,ISBLANK(Tbl_ResidentData[[#This Row],[PRN Med Discontinued]])))</f>
        <v>0</v>
      </c>
      <c r="BY156" s="121" t="b">
        <f ca="1">AND(Tbl_ResidentData[[#This Row],[PRN Med Started]]&lt;&gt;"",Tbl_ResidentData[[#This Row],[PRN Med Started]]&lt;=NOW(),Tbl_ResidentData[[#This Row],[PRN Med Started]]&lt;=BA$4,OR(Tbl_ResidentData[[#This Row],[PRN Med Discontinued]]&gt;BA$4,ISBLANK(Tbl_ResidentData[[#This Row],[PRN Med Discontinued]])))</f>
        <v>0</v>
      </c>
      <c r="BZ156" s="121" t="b">
        <f ca="1">AND(Tbl_ResidentData[[#This Row],[PRN Med Started]]&lt;&gt;"",Tbl_ResidentData[[#This Row],[PRN Med Started]]&lt;=NOW(),Tbl_ResidentData[[#This Row],[PRN Med Started]]&lt;=BB$4,OR(Tbl_ResidentData[[#This Row],[PRN Med Discontinued]]&gt;BB$4,ISBLANK(Tbl_ResidentData[[#This Row],[PRN Med Discontinued]])))</f>
        <v>0</v>
      </c>
      <c r="CA156" s="121" t="b">
        <f ca="1">AND(Tbl_ResidentData[[#This Row],[PRN Med Started]]&lt;&gt;"",Tbl_ResidentData[[#This Row],[PRN Med Started]]&lt;=NOW(),Tbl_ResidentData[[#This Row],[PRN Med Started]]&lt;=BC$4,OR(Tbl_ResidentData[[#This Row],[PRN Med Discontinued]]&gt;BC$4,ISBLANK(Tbl_ResidentData[[#This Row],[PRN Med Discontinued]])))</f>
        <v>0</v>
      </c>
      <c r="CB156" s="121" t="b">
        <f ca="1">AND(Tbl_ResidentData[[#This Row],[PRN Med Started]]&lt;&gt;"",Tbl_ResidentData[[#This Row],[PRN Med Started]]&lt;=NOW(),Tbl_ResidentData[[#This Row],[PRN Med Started]]&lt;=BD$4,OR(Tbl_ResidentData[[#This Row],[PRN Med Discontinued]]&gt;BD$4,ISBLANK(Tbl_ResidentData[[#This Row],[PRN Med Discontinued]])))</f>
        <v>0</v>
      </c>
      <c r="CC156" s="121" t="b">
        <f ca="1">AND(Tbl_ResidentData[[#This Row],[PRN Med Started]]&lt;&gt;"",Tbl_ResidentData[[#This Row],[PRN Med Started]]&lt;=NOW(),Tbl_ResidentData[[#This Row],[PRN Med Started]]&lt;=BE$4,OR(Tbl_ResidentData[[#This Row],[PRN Med Discontinued]]&gt;BE$4,ISBLANK(Tbl_ResidentData[[#This Row],[PRN Med Discontinued]])))</f>
        <v>0</v>
      </c>
      <c r="CD156" s="121" t="b">
        <f ca="1">AND(Tbl_ResidentData[[#This Row],[PRN Med Started]]&lt;&gt;"",Tbl_ResidentData[[#This Row],[PRN Med Started]]&lt;=NOW(),Tbl_ResidentData[[#This Row],[PRN Med Started]]&lt;=BF$4,OR(Tbl_ResidentData[[#This Row],[PRN Med Discontinued]]&gt;BF$4,ISBLANK(Tbl_ResidentData[[#This Row],[PRN Med Discontinued]])))</f>
        <v>0</v>
      </c>
      <c r="CE156" s="121" t="b">
        <f ca="1">AND(Tbl_ResidentData[[#This Row],[PRN Med Started]]&lt;&gt;"",Tbl_ResidentData[[#This Row],[PRN Med Started]]&lt;=NOW(),Tbl_ResidentData[[#This Row],[PRN Med Started]]&lt;=BG$4,OR(Tbl_ResidentData[[#This Row],[PRN Med Discontinued]]&gt;BG$4,ISBLANK(Tbl_ResidentData[[#This Row],[PRN Med Discontinued]])))</f>
        <v>0</v>
      </c>
      <c r="CF156" s="121" t="b">
        <f ca="1">AND(Tbl_ResidentData[[#This Row],[PRN Med Started]]&lt;&gt;"",Tbl_ResidentData[[#This Row],[PRN Med Started]]&lt;=NOW(),Tbl_ResidentData[[#This Row],[PRN Med Started]]&lt;=BH$4,OR(Tbl_ResidentData[[#This Row],[PRN Med Discontinued]]&gt;BH$4,ISBLANK(Tbl_ResidentData[[#This Row],[PRN Med Discontinued]])))</f>
        <v>0</v>
      </c>
      <c r="CG156" s="121" t="b">
        <f ca="1">AND(Tbl_ResidentData[[#This Row],[PRN Med Started]]&lt;&gt;"",Tbl_ResidentData[[#This Row],[PRN Med Started]]&lt;=NOW(),Tbl_ResidentData[[#This Row],[PRN Med Started]]&lt;=BI$4,OR(Tbl_ResidentData[[#This Row],[PRN Med Discontinued]]&gt;BI$4,ISBLANK(Tbl_ResidentData[[#This Row],[PRN Med Discontinued]])))</f>
        <v>0</v>
      </c>
      <c r="CH156" s="121" t="b">
        <f ca="1">AND(Tbl_ResidentData[[#This Row],[PRN Med Started]]&lt;&gt;"",Tbl_ResidentData[[#This Row],[PRN Med Started]]&lt;=NOW(),Tbl_ResidentData[[#This Row],[PRN Med Started]]&lt;=BJ$4,OR(Tbl_ResidentData[[#This Row],[PRN Med Discontinued]]&gt;BJ$4,ISBLANK(Tbl_ResidentData[[#This Row],[PRN Med Discontinued]])))</f>
        <v>0</v>
      </c>
      <c r="CI156" s="121" t="b">
        <f ca="1">AND(Tbl_ResidentData[[#This Row],[PRN Med Started]]&lt;&gt;"",Tbl_ResidentData[[#This Row],[PRN Med Started]]&lt;=NOW(),Tbl_ResidentData[[#This Row],[PRN Med Started]]&lt;=BK$4,OR(Tbl_ResidentData[[#This Row],[PRN Med Discontinued]]&gt;BK$4,ISBLANK(Tbl_ResidentData[[#This Row],[PRN Med Discontinued]])))</f>
        <v>0</v>
      </c>
      <c r="CJ156" s="121" t="b">
        <f ca="1">AND(Tbl_ResidentData[[#This Row],[PRN Med Started]]&lt;&gt;"",Tbl_ResidentData[[#This Row],[PRN Med Started]]&lt;=NOW(),Tbl_ResidentData[[#This Row],[PRN Med Started]]&lt;=BL$4,OR(Tbl_ResidentData[[#This Row],[PRN Med Discontinued]]&gt;BL$4,ISBLANK(Tbl_ResidentData[[#This Row],[PRN Med Discontinued]])))</f>
        <v>0</v>
      </c>
      <c r="CK156" s="121" t="b">
        <f ca="1">AND(Tbl_ResidentData[[#This Row],[PRN Med Started]]&lt;&gt;"",Tbl_ResidentData[[#This Row],[PRN Med Started]]&lt;=NOW(),Tbl_ResidentData[[#This Row],[PRN Med Started]]&lt;=BM$4,OR(Tbl_ResidentData[[#This Row],[PRN Med Discontinued]]&gt;BM$4,ISBLANK(Tbl_ResidentData[[#This Row],[PRN Med Discontinued]])))</f>
        <v>0</v>
      </c>
      <c r="CL156" s="121" t="b">
        <f ca="1">AND(Tbl_ResidentData[[#This Row],[PRN Med Started]]&lt;&gt;"",Tbl_ResidentData[[#This Row],[PRN Med Started]]&lt;=NOW(),Tbl_ResidentData[[#This Row],[PRN Med Started]]&lt;=BN$4,OR(Tbl_ResidentData[[#This Row],[PRN Med Discontinued]]&gt;BN$4,ISBLANK(Tbl_ResidentData[[#This Row],[PRN Med Discontinued]])))</f>
        <v>0</v>
      </c>
      <c r="CM156" s="121" t="b">
        <f ca="1">AND(Tbl_ResidentData[[#This Row],[PRN Med Started]]&lt;&gt;"",Tbl_ResidentData[[#This Row],[PRN Med Started]]&lt;=NOW(),Tbl_ResidentData[[#This Row],[PRN Med Started]]&lt;=BO$4,OR(Tbl_ResidentData[[#This Row],[PRN Med Discontinued]]&gt;BO$4,ISBLANK(Tbl_ResidentData[[#This Row],[PRN Med Discontinued]])))</f>
        <v>0</v>
      </c>
      <c r="CN156" s="122" t="b">
        <f ca="1">AND(Tbl_ResidentData[[#This Row],[PRN Med Started]]&lt;&gt;"",Tbl_ResidentData[[#This Row],[PRN Med Started]]&lt;=NOW(),Tbl_ResidentData[[#This Row],[PRN Med Started]]&lt;=BP$4,OR(Tbl_ResidentData[[#This Row],[PRN Med Discontinued]]&gt;BP$4,ISBLANK(Tbl_ResidentData[[#This Row],[PRN Med Discontinued]])))</f>
        <v>0</v>
      </c>
      <c r="CO156" s="120">
        <f ca="1">IF(OR(Tbl_ResidentData[[#This Row],[S1]]=TRUE,Tbl_ResidentData[[#This Row],[P1]]=TRUE),1,0)</f>
        <v>0</v>
      </c>
      <c r="CP156" s="121">
        <f ca="1">IF(OR(Tbl_ResidentData[[#This Row],[S2]]=TRUE,Tbl_ResidentData[[#This Row],[P2]]=TRUE),1,0)</f>
        <v>0</v>
      </c>
      <c r="CQ156" s="121">
        <f ca="1">IF(OR(Tbl_ResidentData[[#This Row],[S3]]=TRUE,Tbl_ResidentData[[#This Row],[P3]]=TRUE),1,0)</f>
        <v>0</v>
      </c>
      <c r="CR156" s="120">
        <f ca="1">IF(OR(Tbl_ResidentData[[#This Row],[S4]]=TRUE,Tbl_ResidentData[[#This Row],[P4]]=TRUE),1,0)</f>
        <v>0</v>
      </c>
      <c r="CS156" s="120">
        <f ca="1">IF(OR(Tbl_ResidentData[[#This Row],[S5]]=TRUE,Tbl_ResidentData[[#This Row],[P5]]=TRUE),1,0)</f>
        <v>0</v>
      </c>
      <c r="CT156" s="120">
        <f ca="1">IF(OR(Tbl_ResidentData[[#This Row],[S6]]=TRUE,Tbl_ResidentData[[#This Row],[P6]]=TRUE),1,0)</f>
        <v>0</v>
      </c>
      <c r="CU156" s="120">
        <f ca="1">IF(OR(Tbl_ResidentData[[#This Row],[S7]]=TRUE,Tbl_ResidentData[[#This Row],[P7]]=TRUE),1,0)</f>
        <v>0</v>
      </c>
      <c r="CV156" s="120">
        <f ca="1">IF(OR(Tbl_ResidentData[[#This Row],[S8]]=TRUE,Tbl_ResidentData[[#This Row],[P8]]=TRUE),1,0)</f>
        <v>0</v>
      </c>
      <c r="CW156" s="120">
        <f ca="1">IF(OR(Tbl_ResidentData[[#This Row],[S9]]=TRUE,Tbl_ResidentData[[#This Row],[P9]]=TRUE),1,0)</f>
        <v>0</v>
      </c>
      <c r="CX156" s="120">
        <f ca="1">IF(OR(Tbl_ResidentData[[#This Row],[S10]]=TRUE,Tbl_ResidentData[[#This Row],[P10]]=TRUE),1,0)</f>
        <v>0</v>
      </c>
      <c r="CY156" s="120">
        <f ca="1">IF(OR(Tbl_ResidentData[[#This Row],[S11]]=TRUE,Tbl_ResidentData[[#This Row],[P11]]=TRUE),1,0)</f>
        <v>0</v>
      </c>
      <c r="CZ156" s="120">
        <f ca="1">IF(OR(Tbl_ResidentData[[#This Row],[S12]]=TRUE,Tbl_ResidentData[[#This Row],[P12]]=TRUE),1,0)</f>
        <v>0</v>
      </c>
      <c r="DA156" s="120">
        <f ca="1">IF(OR(Tbl_ResidentData[[#This Row],[S13]]=TRUE,Tbl_ResidentData[[#This Row],[P13]]=TRUE),1,0)</f>
        <v>0</v>
      </c>
      <c r="DB156" s="120">
        <f ca="1">IF(OR(Tbl_ResidentData[[#This Row],[S14]]=TRUE,Tbl_ResidentData[[#This Row],[P14]]=TRUE),1,0)</f>
        <v>0</v>
      </c>
      <c r="DC156" s="120">
        <f ca="1">IF(OR(Tbl_ResidentData[[#This Row],[S15]]=TRUE,Tbl_ResidentData[[#This Row],[P15]]=TRUE),1,0)</f>
        <v>0</v>
      </c>
      <c r="DD156" s="120">
        <f ca="1">IF(OR(Tbl_ResidentData[[#This Row],[S16]]=TRUE,Tbl_ResidentData[[#This Row],[P16]]=TRUE),1,0)</f>
        <v>0</v>
      </c>
      <c r="DE156" s="120">
        <f ca="1">IF(OR(Tbl_ResidentData[[#This Row],[S17]]=TRUE,Tbl_ResidentData[[#This Row],[P17]]=TRUE),1,0)</f>
        <v>0</v>
      </c>
      <c r="DF156" s="120">
        <f ca="1">IF(OR(Tbl_ResidentData[[#This Row],[S18]]=TRUE,Tbl_ResidentData[[#This Row],[P18]]=TRUE),1,0)</f>
        <v>0</v>
      </c>
      <c r="DG156" s="120">
        <f ca="1">IF(OR(Tbl_ResidentData[[#This Row],[S19]]=TRUE,Tbl_ResidentData[[#This Row],[P19]]=TRUE),1,0)</f>
        <v>0</v>
      </c>
      <c r="DH156" s="120">
        <f ca="1">IF(OR(Tbl_ResidentData[[#This Row],[S20]]=TRUE,Tbl_ResidentData[[#This Row],[P20]]=TRUE),1,0)</f>
        <v>0</v>
      </c>
      <c r="DI156" s="120">
        <f ca="1">IF(OR(Tbl_ResidentData[[#This Row],[S21]]=TRUE,Tbl_ResidentData[[#This Row],[P21]]=TRUE),1,0)</f>
        <v>0</v>
      </c>
      <c r="DJ156" s="120">
        <f ca="1">IF(OR(Tbl_ResidentData[[#This Row],[S22]]=TRUE,Tbl_ResidentData[[#This Row],[P22]]=TRUE),1,0)</f>
        <v>0</v>
      </c>
      <c r="DK156" s="120">
        <f ca="1">IF(OR(Tbl_ResidentData[[#This Row],[S23]]=TRUE,Tbl_ResidentData[[#This Row],[P23]]=TRUE),1,0)</f>
        <v>0</v>
      </c>
      <c r="DL156" s="120">
        <f ca="1">IF(OR(Tbl_ResidentData[[#This Row],[S24]]=TRUE,Tbl_ResidentData[[#This Row],[P24]]=TRUE),1,0)</f>
        <v>0</v>
      </c>
      <c r="DM156" s="123" t="str">
        <f ca="1">IFERROR(INDEX($CO$4:$DL$4,MATCH(TRUE,INDEX((Tbl_ResidentData[[#This Row],[Over1]:[Over24]]&lt;&gt;0),0),0)),"")</f>
        <v/>
      </c>
      <c r="DN156" s="133" t="str">
        <f>IFERROR(INDEX(Tbl_PDSAData[Last DRT],MATCH(Tbl_ResidentData[Resident Name '[last, first']],Tbl_PDSAData[Resident Name (last, first)],0)),"")</f>
        <v/>
      </c>
      <c r="DO156" s="222" t="str">
        <f>IFERROR(INDEX(Tbl_PDSAData[Last MR],MATCH(Tbl_ResidentData[Resident Name '[last, first']],Tbl_PDSAData[Resident Name (last, first)],0)),"")</f>
        <v/>
      </c>
    </row>
    <row r="157" spans="1:119" x14ac:dyDescent="0.25">
      <c r="A157" s="179"/>
      <c r="B157" s="180"/>
      <c r="C157" s="180"/>
      <c r="D157" s="218"/>
      <c r="E157" s="179"/>
      <c r="F157" s="179"/>
      <c r="G157" s="181"/>
      <c r="H157" s="375"/>
      <c r="I157" s="185"/>
      <c r="J157" s="387"/>
      <c r="K157" s="178"/>
      <c r="L157" s="388"/>
      <c r="M157" s="185"/>
      <c r="N157" s="386"/>
      <c r="O157" s="178"/>
      <c r="P157" s="388"/>
      <c r="Q157" s="395"/>
      <c r="R157" s="396"/>
      <c r="S157" s="131" t="str">
        <f>IF(ISBLANK(Tbl_ResidentData[[#This Row],[Discharge '[mmm-yyyy']]]),IF(ISBLANK(Tbl_ResidentData[[#This Row],[Enrollment '[mmm-yyyy']]]),"","In Care Home"),"Discharged")</f>
        <v/>
      </c>
      <c r="T157" s="119" t="str">
        <f>IF(ISBLANK(Tbl_ResidentData[[#This Row],[Diagnosis (RAI)]]),IF(ISBLANK(Tbl_ResidentData[[#This Row],[Resident Name '[last, first']]]),"",0),IF(Tbl_ResidentData[[#This Row],[Diagnosis (RAI)]]="Other (see clinical notes)",0,1))</f>
        <v/>
      </c>
      <c r="U157" s="120" t="str">
        <f ca="1">IF(U$4&gt;NOW(),"-",IF(ISBLANK(Tbl_ResidentData[[#This Row],[Enrollment '[mmm-yyyy']]]),"-",AND((Tbl_ResidentData[[#This Row],[Enrollment '[mmm-yyyy']]]&lt;=U$4),IF(ISBLANK(Tbl_ResidentData[[#This Row],[Discharge '[mmm-yyyy']]]),TRUE,(Tbl_ResidentData[[#This Row],[Discharge '[mmm-yyyy']]]&gt;=U$4)))))</f>
        <v>-</v>
      </c>
      <c r="V157" s="121" t="str">
        <f ca="1">IF(V$4&gt;NOW(),"-",IF(ISBLANK(Tbl_ResidentData[[#This Row],[Enrollment '[mmm-yyyy']]]),"-",AND((Tbl_ResidentData[[#This Row],[Enrollment '[mmm-yyyy']]]&lt;=V$4),IF(ISBLANK(Tbl_ResidentData[[#This Row],[Discharge '[mmm-yyyy']]]),TRUE,(Tbl_ResidentData[[#This Row],[Discharge '[mmm-yyyy']]]&gt;=V$4)))))</f>
        <v>-</v>
      </c>
      <c r="W157" s="121" t="str">
        <f ca="1">IF(W$4&gt;NOW(),"-",IF(ISBLANK(Tbl_ResidentData[[#This Row],[Enrollment '[mmm-yyyy']]]),"-",AND((Tbl_ResidentData[[#This Row],[Enrollment '[mmm-yyyy']]]&lt;=W$4),IF(ISBLANK(Tbl_ResidentData[[#This Row],[Discharge '[mmm-yyyy']]]),TRUE,(Tbl_ResidentData[[#This Row],[Discharge '[mmm-yyyy']]]&gt;=W$4)))))</f>
        <v>-</v>
      </c>
      <c r="X157" s="121" t="str">
        <f ca="1">IF(X$4&gt;NOW(),"-",IF(ISBLANK(Tbl_ResidentData[[#This Row],[Enrollment '[mmm-yyyy']]]),"-",AND((Tbl_ResidentData[[#This Row],[Enrollment '[mmm-yyyy']]]&lt;=X$4),IF(ISBLANK(Tbl_ResidentData[[#This Row],[Discharge '[mmm-yyyy']]]),TRUE,(Tbl_ResidentData[[#This Row],[Discharge '[mmm-yyyy']]]&gt;=X$4)))))</f>
        <v>-</v>
      </c>
      <c r="Y157" s="121" t="str">
        <f ca="1">IF(Y$4&gt;NOW(),"-",IF(ISBLANK(Tbl_ResidentData[[#This Row],[Enrollment '[mmm-yyyy']]]),"-",AND((Tbl_ResidentData[[#This Row],[Enrollment '[mmm-yyyy']]]&lt;=Y$4),IF(ISBLANK(Tbl_ResidentData[[#This Row],[Discharge '[mmm-yyyy']]]),TRUE,(Tbl_ResidentData[[#This Row],[Discharge '[mmm-yyyy']]]&gt;=Y$4)))))</f>
        <v>-</v>
      </c>
      <c r="Z157" s="121" t="str">
        <f ca="1">IF(Z$4&gt;NOW(),"-",IF(ISBLANK(Tbl_ResidentData[[#This Row],[Enrollment '[mmm-yyyy']]]),"-",AND((Tbl_ResidentData[[#This Row],[Enrollment '[mmm-yyyy']]]&lt;=Z$4),IF(ISBLANK(Tbl_ResidentData[[#This Row],[Discharge '[mmm-yyyy']]]),TRUE,(Tbl_ResidentData[[#This Row],[Discharge '[mmm-yyyy']]]&gt;=Z$4)))))</f>
        <v>-</v>
      </c>
      <c r="AA157" s="121" t="str">
        <f ca="1">IF(AA$4&gt;NOW(),"-",IF(ISBLANK(Tbl_ResidentData[[#This Row],[Enrollment '[mmm-yyyy']]]),"-",AND((Tbl_ResidentData[[#This Row],[Enrollment '[mmm-yyyy']]]&lt;=AA$4),IF(ISBLANK(Tbl_ResidentData[[#This Row],[Discharge '[mmm-yyyy']]]),TRUE,(Tbl_ResidentData[[#This Row],[Discharge '[mmm-yyyy']]]&gt;=AA$4)))))</f>
        <v>-</v>
      </c>
      <c r="AB157" s="121" t="str">
        <f ca="1">IF(AB$4&gt;NOW(),"-",IF(ISBLANK(Tbl_ResidentData[[#This Row],[Enrollment '[mmm-yyyy']]]),"-",AND((Tbl_ResidentData[[#This Row],[Enrollment '[mmm-yyyy']]]&lt;=AB$4),IF(ISBLANK(Tbl_ResidentData[[#This Row],[Discharge '[mmm-yyyy']]]),TRUE,(Tbl_ResidentData[[#This Row],[Discharge '[mmm-yyyy']]]&gt;=AB$4)))))</f>
        <v>-</v>
      </c>
      <c r="AC157" s="121" t="str">
        <f ca="1">IF(AC$4&gt;NOW(),"-",IF(ISBLANK(Tbl_ResidentData[[#This Row],[Enrollment '[mmm-yyyy']]]),"-",AND((Tbl_ResidentData[[#This Row],[Enrollment '[mmm-yyyy']]]&lt;=AC$4),IF(ISBLANK(Tbl_ResidentData[[#This Row],[Discharge '[mmm-yyyy']]]),TRUE,(Tbl_ResidentData[[#This Row],[Discharge '[mmm-yyyy']]]&gt;=AC$4)))))</f>
        <v>-</v>
      </c>
      <c r="AD157" s="121" t="str">
        <f ca="1">IF(AD$4&gt;NOW(),"-",IF(ISBLANK(Tbl_ResidentData[[#This Row],[Enrollment '[mmm-yyyy']]]),"-",AND((Tbl_ResidentData[[#This Row],[Enrollment '[mmm-yyyy']]]&lt;=AD$4),IF(ISBLANK(Tbl_ResidentData[[#This Row],[Discharge '[mmm-yyyy']]]),TRUE,(Tbl_ResidentData[[#This Row],[Discharge '[mmm-yyyy']]]&gt;=AD$4)))))</f>
        <v>-</v>
      </c>
      <c r="AE157" s="121" t="str">
        <f ca="1">IF(AE$4&gt;NOW(),"-",IF(ISBLANK(Tbl_ResidentData[[#This Row],[Enrollment '[mmm-yyyy']]]),"-",AND((Tbl_ResidentData[[#This Row],[Enrollment '[mmm-yyyy']]]&lt;=AE$4),IF(ISBLANK(Tbl_ResidentData[[#This Row],[Discharge '[mmm-yyyy']]]),TRUE,(Tbl_ResidentData[[#This Row],[Discharge '[mmm-yyyy']]]&gt;=AE$4)))))</f>
        <v>-</v>
      </c>
      <c r="AF157" s="121" t="str">
        <f ca="1">IF(AF$4&gt;NOW(),"-",IF(ISBLANK(Tbl_ResidentData[[#This Row],[Enrollment '[mmm-yyyy']]]),"-",AND((Tbl_ResidentData[[#This Row],[Enrollment '[mmm-yyyy']]]&lt;=AF$4),IF(ISBLANK(Tbl_ResidentData[[#This Row],[Discharge '[mmm-yyyy']]]),TRUE,(Tbl_ResidentData[[#This Row],[Discharge '[mmm-yyyy']]]&gt;=AF$4)))))</f>
        <v>-</v>
      </c>
      <c r="AG157" s="121" t="str">
        <f ca="1">IF(AG$4&gt;NOW(),"-",IF(ISBLANK(Tbl_ResidentData[[#This Row],[Enrollment '[mmm-yyyy']]]),"-",AND((Tbl_ResidentData[[#This Row],[Enrollment '[mmm-yyyy']]]&lt;=AG$4),IF(ISBLANK(Tbl_ResidentData[[#This Row],[Discharge '[mmm-yyyy']]]),TRUE,(Tbl_ResidentData[[#This Row],[Discharge '[mmm-yyyy']]]&gt;=AG$4)))))</f>
        <v>-</v>
      </c>
      <c r="AH157" s="121" t="str">
        <f ca="1">IF(AH$4&gt;NOW(),"-",IF(ISBLANK(Tbl_ResidentData[[#This Row],[Enrollment '[mmm-yyyy']]]),"-",AND((Tbl_ResidentData[[#This Row],[Enrollment '[mmm-yyyy']]]&lt;=AH$4),IF(ISBLANK(Tbl_ResidentData[[#This Row],[Discharge '[mmm-yyyy']]]),TRUE,(Tbl_ResidentData[[#This Row],[Discharge '[mmm-yyyy']]]&gt;=AH$4)))))</f>
        <v>-</v>
      </c>
      <c r="AI157" s="121" t="str">
        <f ca="1">IF(AI$4&gt;NOW(),"-",IF(ISBLANK(Tbl_ResidentData[[#This Row],[Enrollment '[mmm-yyyy']]]),"-",AND((Tbl_ResidentData[[#This Row],[Enrollment '[mmm-yyyy']]]&lt;=AI$4),IF(ISBLANK(Tbl_ResidentData[[#This Row],[Discharge '[mmm-yyyy']]]),TRUE,(Tbl_ResidentData[[#This Row],[Discharge '[mmm-yyyy']]]&gt;=AI$4)))))</f>
        <v>-</v>
      </c>
      <c r="AJ157" s="121" t="str">
        <f ca="1">IF(AJ$4&gt;NOW(),"-",IF(ISBLANK(Tbl_ResidentData[[#This Row],[Enrollment '[mmm-yyyy']]]),"-",AND((Tbl_ResidentData[[#This Row],[Enrollment '[mmm-yyyy']]]&lt;=AJ$4),IF(ISBLANK(Tbl_ResidentData[[#This Row],[Discharge '[mmm-yyyy']]]),TRUE,(Tbl_ResidentData[[#This Row],[Discharge '[mmm-yyyy']]]&gt;=AJ$4)))))</f>
        <v>-</v>
      </c>
      <c r="AK157" s="121" t="str">
        <f ca="1">IF(AK$4&gt;NOW(),"-",IF(ISBLANK(Tbl_ResidentData[[#This Row],[Enrollment '[mmm-yyyy']]]),"-",AND((Tbl_ResidentData[[#This Row],[Enrollment '[mmm-yyyy']]]&lt;=AK$4),IF(ISBLANK(Tbl_ResidentData[[#This Row],[Discharge '[mmm-yyyy']]]),TRUE,(Tbl_ResidentData[[#This Row],[Discharge '[mmm-yyyy']]]&gt;=AK$4)))))</f>
        <v>-</v>
      </c>
      <c r="AL157" s="121" t="str">
        <f ca="1">IF(AL$4&gt;NOW(),"-",IF(ISBLANK(Tbl_ResidentData[[#This Row],[Enrollment '[mmm-yyyy']]]),"-",AND((Tbl_ResidentData[[#This Row],[Enrollment '[mmm-yyyy']]]&lt;=AL$4),IF(ISBLANK(Tbl_ResidentData[[#This Row],[Discharge '[mmm-yyyy']]]),TRUE,(Tbl_ResidentData[[#This Row],[Discharge '[mmm-yyyy']]]&gt;=AL$4)))))</f>
        <v>-</v>
      </c>
      <c r="AM157" s="121" t="str">
        <f ca="1">IF(AM$4&gt;NOW(),"-",IF(ISBLANK(Tbl_ResidentData[[#This Row],[Enrollment '[mmm-yyyy']]]),"-",AND((Tbl_ResidentData[[#This Row],[Enrollment '[mmm-yyyy']]]&lt;=AM$4),IF(ISBLANK(Tbl_ResidentData[[#This Row],[Discharge '[mmm-yyyy']]]),TRUE,(Tbl_ResidentData[[#This Row],[Discharge '[mmm-yyyy']]]&gt;=AM$4)))))</f>
        <v>-</v>
      </c>
      <c r="AN157" s="121" t="str">
        <f ca="1">IF(AN$4&gt;NOW(),"-",IF(ISBLANK(Tbl_ResidentData[[#This Row],[Enrollment '[mmm-yyyy']]]),"-",AND((Tbl_ResidentData[[#This Row],[Enrollment '[mmm-yyyy']]]&lt;=AN$4),IF(ISBLANK(Tbl_ResidentData[[#This Row],[Discharge '[mmm-yyyy']]]),TRUE,(Tbl_ResidentData[[#This Row],[Discharge '[mmm-yyyy']]]&gt;=AN$4)))))</f>
        <v>-</v>
      </c>
      <c r="AO157" s="121" t="str">
        <f ca="1">IF(AO$4&gt;NOW(),"-",IF(ISBLANK(Tbl_ResidentData[[#This Row],[Enrollment '[mmm-yyyy']]]),"-",AND((Tbl_ResidentData[[#This Row],[Enrollment '[mmm-yyyy']]]&lt;=AO$4),IF(ISBLANK(Tbl_ResidentData[[#This Row],[Discharge '[mmm-yyyy']]]),TRUE,(Tbl_ResidentData[[#This Row],[Discharge '[mmm-yyyy']]]&gt;=AO$4)))))</f>
        <v>-</v>
      </c>
      <c r="AP157" s="121" t="str">
        <f ca="1">IF(AP$4&gt;NOW(),"-",IF(ISBLANK(Tbl_ResidentData[[#This Row],[Enrollment '[mmm-yyyy']]]),"-",AND((Tbl_ResidentData[[#This Row],[Enrollment '[mmm-yyyy']]]&lt;=AP$4),IF(ISBLANK(Tbl_ResidentData[[#This Row],[Discharge '[mmm-yyyy']]]),TRUE,(Tbl_ResidentData[[#This Row],[Discharge '[mmm-yyyy']]]&gt;=AP$4)))))</f>
        <v>-</v>
      </c>
      <c r="AQ157" s="121" t="str">
        <f ca="1">IF(AQ$4&gt;NOW(),"-",IF(ISBLANK(Tbl_ResidentData[[#This Row],[Enrollment '[mmm-yyyy']]]),"-",AND((Tbl_ResidentData[[#This Row],[Enrollment '[mmm-yyyy']]]&lt;=AQ$4),IF(ISBLANK(Tbl_ResidentData[[#This Row],[Discharge '[mmm-yyyy']]]),TRUE,(Tbl_ResidentData[[#This Row],[Discharge '[mmm-yyyy']]]&gt;=AQ$4)))))</f>
        <v>-</v>
      </c>
      <c r="AR157" s="122" t="str">
        <f ca="1">IF(AR$4&gt;NOW(),"-",IF(ISBLANK(Tbl_ResidentData[[#This Row],[Enrollment '[mmm-yyyy']]]),"-",AND((Tbl_ResidentData[[#This Row],[Enrollment '[mmm-yyyy']]]&lt;=AR$4),IF(ISBLANK(Tbl_ResidentData[[#This Row],[Discharge '[mmm-yyyy']]]),TRUE,(Tbl_ResidentData[[#This Row],[Discharge '[mmm-yyyy']]]&gt;=AR$4)))))</f>
        <v>-</v>
      </c>
      <c r="AS15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7" s="120" t="b">
        <f ca="1">AND(Tbl_ResidentData[[#This Row],[PRN Med Started]]&lt;&gt;"",Tbl_ResidentData[[#This Row],[PRN Med Started]]&lt;=NOW(),Tbl_ResidentData[[#This Row],[PRN Med Started]]&lt;=AS$4,OR(Tbl_ResidentData[[#This Row],[PRN Med Discontinued]]&gt;AS$4,ISBLANK(Tbl_ResidentData[[#This Row],[PRN Med Discontinued]])))</f>
        <v>0</v>
      </c>
      <c r="BR157" s="121" t="b">
        <f ca="1">AND(Tbl_ResidentData[[#This Row],[PRN Med Started]]&lt;&gt;"",Tbl_ResidentData[[#This Row],[PRN Med Started]]&lt;=NOW(),Tbl_ResidentData[[#This Row],[PRN Med Started]]&lt;=AT$4,OR(Tbl_ResidentData[[#This Row],[PRN Med Discontinued]]&gt;AT$4,ISBLANK(Tbl_ResidentData[[#This Row],[PRN Med Discontinued]])))</f>
        <v>0</v>
      </c>
      <c r="BS157" s="121" t="b">
        <f ca="1">AND(Tbl_ResidentData[[#This Row],[PRN Med Started]]&lt;&gt;"",Tbl_ResidentData[[#This Row],[PRN Med Started]]&lt;=NOW(),Tbl_ResidentData[[#This Row],[PRN Med Started]]&lt;=AU$4,OR(Tbl_ResidentData[[#This Row],[PRN Med Discontinued]]&gt;AU$4,ISBLANK(Tbl_ResidentData[[#This Row],[PRN Med Discontinued]])))</f>
        <v>0</v>
      </c>
      <c r="BT157" s="121" t="b">
        <f ca="1">AND(Tbl_ResidentData[[#This Row],[PRN Med Started]]&lt;&gt;"",Tbl_ResidentData[[#This Row],[PRN Med Started]]&lt;=NOW(),Tbl_ResidentData[[#This Row],[PRN Med Started]]&lt;=AV$4,OR(Tbl_ResidentData[[#This Row],[PRN Med Discontinued]]&gt;AV$4,ISBLANK(Tbl_ResidentData[[#This Row],[PRN Med Discontinued]])))</f>
        <v>0</v>
      </c>
      <c r="BU157" s="121" t="b">
        <f ca="1">AND(Tbl_ResidentData[[#This Row],[PRN Med Started]]&lt;&gt;"",Tbl_ResidentData[[#This Row],[PRN Med Started]]&lt;=NOW(),Tbl_ResidentData[[#This Row],[PRN Med Started]]&lt;=AW$4,OR(Tbl_ResidentData[[#This Row],[PRN Med Discontinued]]&gt;AW$4,ISBLANK(Tbl_ResidentData[[#This Row],[PRN Med Discontinued]])))</f>
        <v>0</v>
      </c>
      <c r="BV157" s="121" t="b">
        <f ca="1">AND(Tbl_ResidentData[[#This Row],[PRN Med Started]]&lt;&gt;"",Tbl_ResidentData[[#This Row],[PRN Med Started]]&lt;=NOW(),Tbl_ResidentData[[#This Row],[PRN Med Started]]&lt;=AX$4,OR(Tbl_ResidentData[[#This Row],[PRN Med Discontinued]]&gt;AX$4,ISBLANK(Tbl_ResidentData[[#This Row],[PRN Med Discontinued]])))</f>
        <v>0</v>
      </c>
      <c r="BW157" s="121" t="b">
        <f ca="1">AND(Tbl_ResidentData[[#This Row],[PRN Med Started]]&lt;&gt;"",Tbl_ResidentData[[#This Row],[PRN Med Started]]&lt;=NOW(),Tbl_ResidentData[[#This Row],[PRN Med Started]]&lt;=AY$4,OR(Tbl_ResidentData[[#This Row],[PRN Med Discontinued]]&gt;AY$4,ISBLANK(Tbl_ResidentData[[#This Row],[PRN Med Discontinued]])))</f>
        <v>0</v>
      </c>
      <c r="BX157" s="121" t="b">
        <f ca="1">AND(Tbl_ResidentData[[#This Row],[PRN Med Started]]&lt;&gt;"",Tbl_ResidentData[[#This Row],[PRN Med Started]]&lt;=NOW(),Tbl_ResidentData[[#This Row],[PRN Med Started]]&lt;=AZ$4,OR(Tbl_ResidentData[[#This Row],[PRN Med Discontinued]]&gt;AZ$4,ISBLANK(Tbl_ResidentData[[#This Row],[PRN Med Discontinued]])))</f>
        <v>0</v>
      </c>
      <c r="BY157" s="121" t="b">
        <f ca="1">AND(Tbl_ResidentData[[#This Row],[PRN Med Started]]&lt;&gt;"",Tbl_ResidentData[[#This Row],[PRN Med Started]]&lt;=NOW(),Tbl_ResidentData[[#This Row],[PRN Med Started]]&lt;=BA$4,OR(Tbl_ResidentData[[#This Row],[PRN Med Discontinued]]&gt;BA$4,ISBLANK(Tbl_ResidentData[[#This Row],[PRN Med Discontinued]])))</f>
        <v>0</v>
      </c>
      <c r="BZ157" s="121" t="b">
        <f ca="1">AND(Tbl_ResidentData[[#This Row],[PRN Med Started]]&lt;&gt;"",Tbl_ResidentData[[#This Row],[PRN Med Started]]&lt;=NOW(),Tbl_ResidentData[[#This Row],[PRN Med Started]]&lt;=BB$4,OR(Tbl_ResidentData[[#This Row],[PRN Med Discontinued]]&gt;BB$4,ISBLANK(Tbl_ResidentData[[#This Row],[PRN Med Discontinued]])))</f>
        <v>0</v>
      </c>
      <c r="CA157" s="121" t="b">
        <f ca="1">AND(Tbl_ResidentData[[#This Row],[PRN Med Started]]&lt;&gt;"",Tbl_ResidentData[[#This Row],[PRN Med Started]]&lt;=NOW(),Tbl_ResidentData[[#This Row],[PRN Med Started]]&lt;=BC$4,OR(Tbl_ResidentData[[#This Row],[PRN Med Discontinued]]&gt;BC$4,ISBLANK(Tbl_ResidentData[[#This Row],[PRN Med Discontinued]])))</f>
        <v>0</v>
      </c>
      <c r="CB157" s="121" t="b">
        <f ca="1">AND(Tbl_ResidentData[[#This Row],[PRN Med Started]]&lt;&gt;"",Tbl_ResidentData[[#This Row],[PRN Med Started]]&lt;=NOW(),Tbl_ResidentData[[#This Row],[PRN Med Started]]&lt;=BD$4,OR(Tbl_ResidentData[[#This Row],[PRN Med Discontinued]]&gt;BD$4,ISBLANK(Tbl_ResidentData[[#This Row],[PRN Med Discontinued]])))</f>
        <v>0</v>
      </c>
      <c r="CC157" s="121" t="b">
        <f ca="1">AND(Tbl_ResidentData[[#This Row],[PRN Med Started]]&lt;&gt;"",Tbl_ResidentData[[#This Row],[PRN Med Started]]&lt;=NOW(),Tbl_ResidentData[[#This Row],[PRN Med Started]]&lt;=BE$4,OR(Tbl_ResidentData[[#This Row],[PRN Med Discontinued]]&gt;BE$4,ISBLANK(Tbl_ResidentData[[#This Row],[PRN Med Discontinued]])))</f>
        <v>0</v>
      </c>
      <c r="CD157" s="121" t="b">
        <f ca="1">AND(Tbl_ResidentData[[#This Row],[PRN Med Started]]&lt;&gt;"",Tbl_ResidentData[[#This Row],[PRN Med Started]]&lt;=NOW(),Tbl_ResidentData[[#This Row],[PRN Med Started]]&lt;=BF$4,OR(Tbl_ResidentData[[#This Row],[PRN Med Discontinued]]&gt;BF$4,ISBLANK(Tbl_ResidentData[[#This Row],[PRN Med Discontinued]])))</f>
        <v>0</v>
      </c>
      <c r="CE157" s="121" t="b">
        <f ca="1">AND(Tbl_ResidentData[[#This Row],[PRN Med Started]]&lt;&gt;"",Tbl_ResidentData[[#This Row],[PRN Med Started]]&lt;=NOW(),Tbl_ResidentData[[#This Row],[PRN Med Started]]&lt;=BG$4,OR(Tbl_ResidentData[[#This Row],[PRN Med Discontinued]]&gt;BG$4,ISBLANK(Tbl_ResidentData[[#This Row],[PRN Med Discontinued]])))</f>
        <v>0</v>
      </c>
      <c r="CF157" s="121" t="b">
        <f ca="1">AND(Tbl_ResidentData[[#This Row],[PRN Med Started]]&lt;&gt;"",Tbl_ResidentData[[#This Row],[PRN Med Started]]&lt;=NOW(),Tbl_ResidentData[[#This Row],[PRN Med Started]]&lt;=BH$4,OR(Tbl_ResidentData[[#This Row],[PRN Med Discontinued]]&gt;BH$4,ISBLANK(Tbl_ResidentData[[#This Row],[PRN Med Discontinued]])))</f>
        <v>0</v>
      </c>
      <c r="CG157" s="121" t="b">
        <f ca="1">AND(Tbl_ResidentData[[#This Row],[PRN Med Started]]&lt;&gt;"",Tbl_ResidentData[[#This Row],[PRN Med Started]]&lt;=NOW(),Tbl_ResidentData[[#This Row],[PRN Med Started]]&lt;=BI$4,OR(Tbl_ResidentData[[#This Row],[PRN Med Discontinued]]&gt;BI$4,ISBLANK(Tbl_ResidentData[[#This Row],[PRN Med Discontinued]])))</f>
        <v>0</v>
      </c>
      <c r="CH157" s="121" t="b">
        <f ca="1">AND(Tbl_ResidentData[[#This Row],[PRN Med Started]]&lt;&gt;"",Tbl_ResidentData[[#This Row],[PRN Med Started]]&lt;=NOW(),Tbl_ResidentData[[#This Row],[PRN Med Started]]&lt;=BJ$4,OR(Tbl_ResidentData[[#This Row],[PRN Med Discontinued]]&gt;BJ$4,ISBLANK(Tbl_ResidentData[[#This Row],[PRN Med Discontinued]])))</f>
        <v>0</v>
      </c>
      <c r="CI157" s="121" t="b">
        <f ca="1">AND(Tbl_ResidentData[[#This Row],[PRN Med Started]]&lt;&gt;"",Tbl_ResidentData[[#This Row],[PRN Med Started]]&lt;=NOW(),Tbl_ResidentData[[#This Row],[PRN Med Started]]&lt;=BK$4,OR(Tbl_ResidentData[[#This Row],[PRN Med Discontinued]]&gt;BK$4,ISBLANK(Tbl_ResidentData[[#This Row],[PRN Med Discontinued]])))</f>
        <v>0</v>
      </c>
      <c r="CJ157" s="121" t="b">
        <f ca="1">AND(Tbl_ResidentData[[#This Row],[PRN Med Started]]&lt;&gt;"",Tbl_ResidentData[[#This Row],[PRN Med Started]]&lt;=NOW(),Tbl_ResidentData[[#This Row],[PRN Med Started]]&lt;=BL$4,OR(Tbl_ResidentData[[#This Row],[PRN Med Discontinued]]&gt;BL$4,ISBLANK(Tbl_ResidentData[[#This Row],[PRN Med Discontinued]])))</f>
        <v>0</v>
      </c>
      <c r="CK157" s="121" t="b">
        <f ca="1">AND(Tbl_ResidentData[[#This Row],[PRN Med Started]]&lt;&gt;"",Tbl_ResidentData[[#This Row],[PRN Med Started]]&lt;=NOW(),Tbl_ResidentData[[#This Row],[PRN Med Started]]&lt;=BM$4,OR(Tbl_ResidentData[[#This Row],[PRN Med Discontinued]]&gt;BM$4,ISBLANK(Tbl_ResidentData[[#This Row],[PRN Med Discontinued]])))</f>
        <v>0</v>
      </c>
      <c r="CL157" s="121" t="b">
        <f ca="1">AND(Tbl_ResidentData[[#This Row],[PRN Med Started]]&lt;&gt;"",Tbl_ResidentData[[#This Row],[PRN Med Started]]&lt;=NOW(),Tbl_ResidentData[[#This Row],[PRN Med Started]]&lt;=BN$4,OR(Tbl_ResidentData[[#This Row],[PRN Med Discontinued]]&gt;BN$4,ISBLANK(Tbl_ResidentData[[#This Row],[PRN Med Discontinued]])))</f>
        <v>0</v>
      </c>
      <c r="CM157" s="121" t="b">
        <f ca="1">AND(Tbl_ResidentData[[#This Row],[PRN Med Started]]&lt;&gt;"",Tbl_ResidentData[[#This Row],[PRN Med Started]]&lt;=NOW(),Tbl_ResidentData[[#This Row],[PRN Med Started]]&lt;=BO$4,OR(Tbl_ResidentData[[#This Row],[PRN Med Discontinued]]&gt;BO$4,ISBLANK(Tbl_ResidentData[[#This Row],[PRN Med Discontinued]])))</f>
        <v>0</v>
      </c>
      <c r="CN157" s="122" t="b">
        <f ca="1">AND(Tbl_ResidentData[[#This Row],[PRN Med Started]]&lt;&gt;"",Tbl_ResidentData[[#This Row],[PRN Med Started]]&lt;=NOW(),Tbl_ResidentData[[#This Row],[PRN Med Started]]&lt;=BP$4,OR(Tbl_ResidentData[[#This Row],[PRN Med Discontinued]]&gt;BP$4,ISBLANK(Tbl_ResidentData[[#This Row],[PRN Med Discontinued]])))</f>
        <v>0</v>
      </c>
      <c r="CO157" s="120">
        <f ca="1">IF(OR(Tbl_ResidentData[[#This Row],[S1]]=TRUE,Tbl_ResidentData[[#This Row],[P1]]=TRUE),1,0)</f>
        <v>0</v>
      </c>
      <c r="CP157" s="121">
        <f ca="1">IF(OR(Tbl_ResidentData[[#This Row],[S2]]=TRUE,Tbl_ResidentData[[#This Row],[P2]]=TRUE),1,0)</f>
        <v>0</v>
      </c>
      <c r="CQ157" s="121">
        <f ca="1">IF(OR(Tbl_ResidentData[[#This Row],[S3]]=TRUE,Tbl_ResidentData[[#This Row],[P3]]=TRUE),1,0)</f>
        <v>0</v>
      </c>
      <c r="CR157" s="120">
        <f ca="1">IF(OR(Tbl_ResidentData[[#This Row],[S4]]=TRUE,Tbl_ResidentData[[#This Row],[P4]]=TRUE),1,0)</f>
        <v>0</v>
      </c>
      <c r="CS157" s="120">
        <f ca="1">IF(OR(Tbl_ResidentData[[#This Row],[S5]]=TRUE,Tbl_ResidentData[[#This Row],[P5]]=TRUE),1,0)</f>
        <v>0</v>
      </c>
      <c r="CT157" s="120">
        <f ca="1">IF(OR(Tbl_ResidentData[[#This Row],[S6]]=TRUE,Tbl_ResidentData[[#This Row],[P6]]=TRUE),1,0)</f>
        <v>0</v>
      </c>
      <c r="CU157" s="120">
        <f ca="1">IF(OR(Tbl_ResidentData[[#This Row],[S7]]=TRUE,Tbl_ResidentData[[#This Row],[P7]]=TRUE),1,0)</f>
        <v>0</v>
      </c>
      <c r="CV157" s="120">
        <f ca="1">IF(OR(Tbl_ResidentData[[#This Row],[S8]]=TRUE,Tbl_ResidentData[[#This Row],[P8]]=TRUE),1,0)</f>
        <v>0</v>
      </c>
      <c r="CW157" s="120">
        <f ca="1">IF(OR(Tbl_ResidentData[[#This Row],[S9]]=TRUE,Tbl_ResidentData[[#This Row],[P9]]=TRUE),1,0)</f>
        <v>0</v>
      </c>
      <c r="CX157" s="120">
        <f ca="1">IF(OR(Tbl_ResidentData[[#This Row],[S10]]=TRUE,Tbl_ResidentData[[#This Row],[P10]]=TRUE),1,0)</f>
        <v>0</v>
      </c>
      <c r="CY157" s="120">
        <f ca="1">IF(OR(Tbl_ResidentData[[#This Row],[S11]]=TRUE,Tbl_ResidentData[[#This Row],[P11]]=TRUE),1,0)</f>
        <v>0</v>
      </c>
      <c r="CZ157" s="120">
        <f ca="1">IF(OR(Tbl_ResidentData[[#This Row],[S12]]=TRUE,Tbl_ResidentData[[#This Row],[P12]]=TRUE),1,0)</f>
        <v>0</v>
      </c>
      <c r="DA157" s="120">
        <f ca="1">IF(OR(Tbl_ResidentData[[#This Row],[S13]]=TRUE,Tbl_ResidentData[[#This Row],[P13]]=TRUE),1,0)</f>
        <v>0</v>
      </c>
      <c r="DB157" s="120">
        <f ca="1">IF(OR(Tbl_ResidentData[[#This Row],[S14]]=TRUE,Tbl_ResidentData[[#This Row],[P14]]=TRUE),1,0)</f>
        <v>0</v>
      </c>
      <c r="DC157" s="120">
        <f ca="1">IF(OR(Tbl_ResidentData[[#This Row],[S15]]=TRUE,Tbl_ResidentData[[#This Row],[P15]]=TRUE),1,0)</f>
        <v>0</v>
      </c>
      <c r="DD157" s="120">
        <f ca="1">IF(OR(Tbl_ResidentData[[#This Row],[S16]]=TRUE,Tbl_ResidentData[[#This Row],[P16]]=TRUE),1,0)</f>
        <v>0</v>
      </c>
      <c r="DE157" s="120">
        <f ca="1">IF(OR(Tbl_ResidentData[[#This Row],[S17]]=TRUE,Tbl_ResidentData[[#This Row],[P17]]=TRUE),1,0)</f>
        <v>0</v>
      </c>
      <c r="DF157" s="120">
        <f ca="1">IF(OR(Tbl_ResidentData[[#This Row],[S18]]=TRUE,Tbl_ResidentData[[#This Row],[P18]]=TRUE),1,0)</f>
        <v>0</v>
      </c>
      <c r="DG157" s="120">
        <f ca="1">IF(OR(Tbl_ResidentData[[#This Row],[S19]]=TRUE,Tbl_ResidentData[[#This Row],[P19]]=TRUE),1,0)</f>
        <v>0</v>
      </c>
      <c r="DH157" s="120">
        <f ca="1">IF(OR(Tbl_ResidentData[[#This Row],[S20]]=TRUE,Tbl_ResidentData[[#This Row],[P20]]=TRUE),1,0)</f>
        <v>0</v>
      </c>
      <c r="DI157" s="120">
        <f ca="1">IF(OR(Tbl_ResidentData[[#This Row],[S21]]=TRUE,Tbl_ResidentData[[#This Row],[P21]]=TRUE),1,0)</f>
        <v>0</v>
      </c>
      <c r="DJ157" s="120">
        <f ca="1">IF(OR(Tbl_ResidentData[[#This Row],[S22]]=TRUE,Tbl_ResidentData[[#This Row],[P22]]=TRUE),1,0)</f>
        <v>0</v>
      </c>
      <c r="DK157" s="120">
        <f ca="1">IF(OR(Tbl_ResidentData[[#This Row],[S23]]=TRUE,Tbl_ResidentData[[#This Row],[P23]]=TRUE),1,0)</f>
        <v>0</v>
      </c>
      <c r="DL157" s="120">
        <f ca="1">IF(OR(Tbl_ResidentData[[#This Row],[S24]]=TRUE,Tbl_ResidentData[[#This Row],[P24]]=TRUE),1,0)</f>
        <v>0</v>
      </c>
      <c r="DM157" s="123" t="str">
        <f ca="1">IFERROR(INDEX($CO$4:$DL$4,MATCH(TRUE,INDEX((Tbl_ResidentData[[#This Row],[Over1]:[Over24]]&lt;&gt;0),0),0)),"")</f>
        <v/>
      </c>
      <c r="DN157" s="133" t="str">
        <f>IFERROR(INDEX(Tbl_PDSAData[Last DRT],MATCH(Tbl_ResidentData[Resident Name '[last, first']],Tbl_PDSAData[Resident Name (last, first)],0)),"")</f>
        <v/>
      </c>
      <c r="DO157" s="222" t="str">
        <f>IFERROR(INDEX(Tbl_PDSAData[Last MR],MATCH(Tbl_ResidentData[Resident Name '[last, first']],Tbl_PDSAData[Resident Name (last, first)],0)),"")</f>
        <v/>
      </c>
    </row>
    <row r="158" spans="1:119" x14ac:dyDescent="0.25">
      <c r="A158" s="179"/>
      <c r="B158" s="180"/>
      <c r="C158" s="180"/>
      <c r="D158" s="218"/>
      <c r="E158" s="179"/>
      <c r="F158" s="179"/>
      <c r="G158" s="181"/>
      <c r="H158" s="375"/>
      <c r="I158" s="185"/>
      <c r="J158" s="387"/>
      <c r="K158" s="178"/>
      <c r="L158" s="388"/>
      <c r="M158" s="185"/>
      <c r="N158" s="386"/>
      <c r="O158" s="178"/>
      <c r="P158" s="388"/>
      <c r="Q158" s="394"/>
      <c r="R158" s="388"/>
      <c r="S158" s="131" t="str">
        <f>IF(ISBLANK(Tbl_ResidentData[[#This Row],[Discharge '[mmm-yyyy']]]),IF(ISBLANK(Tbl_ResidentData[[#This Row],[Enrollment '[mmm-yyyy']]]),"","In Care Home"),"Discharged")</f>
        <v/>
      </c>
      <c r="T158" s="119" t="str">
        <f>IF(ISBLANK(Tbl_ResidentData[[#This Row],[Diagnosis (RAI)]]),IF(ISBLANK(Tbl_ResidentData[[#This Row],[Resident Name '[last, first']]]),"",0),IF(Tbl_ResidentData[[#This Row],[Diagnosis (RAI)]]="Other (see clinical notes)",0,1))</f>
        <v/>
      </c>
      <c r="U158" s="120" t="str">
        <f ca="1">IF(U$4&gt;NOW(),"-",IF(ISBLANK(Tbl_ResidentData[[#This Row],[Enrollment '[mmm-yyyy']]]),"-",AND((Tbl_ResidentData[[#This Row],[Enrollment '[mmm-yyyy']]]&lt;=U$4),IF(ISBLANK(Tbl_ResidentData[[#This Row],[Discharge '[mmm-yyyy']]]),TRUE,(Tbl_ResidentData[[#This Row],[Discharge '[mmm-yyyy']]]&gt;=U$4)))))</f>
        <v>-</v>
      </c>
      <c r="V158" s="121" t="str">
        <f ca="1">IF(V$4&gt;NOW(),"-",IF(ISBLANK(Tbl_ResidentData[[#This Row],[Enrollment '[mmm-yyyy']]]),"-",AND((Tbl_ResidentData[[#This Row],[Enrollment '[mmm-yyyy']]]&lt;=V$4),IF(ISBLANK(Tbl_ResidentData[[#This Row],[Discharge '[mmm-yyyy']]]),TRUE,(Tbl_ResidentData[[#This Row],[Discharge '[mmm-yyyy']]]&gt;=V$4)))))</f>
        <v>-</v>
      </c>
      <c r="W158" s="121" t="str">
        <f ca="1">IF(W$4&gt;NOW(),"-",IF(ISBLANK(Tbl_ResidentData[[#This Row],[Enrollment '[mmm-yyyy']]]),"-",AND((Tbl_ResidentData[[#This Row],[Enrollment '[mmm-yyyy']]]&lt;=W$4),IF(ISBLANK(Tbl_ResidentData[[#This Row],[Discharge '[mmm-yyyy']]]),TRUE,(Tbl_ResidentData[[#This Row],[Discharge '[mmm-yyyy']]]&gt;=W$4)))))</f>
        <v>-</v>
      </c>
      <c r="X158" s="121" t="str">
        <f ca="1">IF(X$4&gt;NOW(),"-",IF(ISBLANK(Tbl_ResidentData[[#This Row],[Enrollment '[mmm-yyyy']]]),"-",AND((Tbl_ResidentData[[#This Row],[Enrollment '[mmm-yyyy']]]&lt;=X$4),IF(ISBLANK(Tbl_ResidentData[[#This Row],[Discharge '[mmm-yyyy']]]),TRUE,(Tbl_ResidentData[[#This Row],[Discharge '[mmm-yyyy']]]&gt;=X$4)))))</f>
        <v>-</v>
      </c>
      <c r="Y158" s="121" t="str">
        <f ca="1">IF(Y$4&gt;NOW(),"-",IF(ISBLANK(Tbl_ResidentData[[#This Row],[Enrollment '[mmm-yyyy']]]),"-",AND((Tbl_ResidentData[[#This Row],[Enrollment '[mmm-yyyy']]]&lt;=Y$4),IF(ISBLANK(Tbl_ResidentData[[#This Row],[Discharge '[mmm-yyyy']]]),TRUE,(Tbl_ResidentData[[#This Row],[Discharge '[mmm-yyyy']]]&gt;=Y$4)))))</f>
        <v>-</v>
      </c>
      <c r="Z158" s="121" t="str">
        <f ca="1">IF(Z$4&gt;NOW(),"-",IF(ISBLANK(Tbl_ResidentData[[#This Row],[Enrollment '[mmm-yyyy']]]),"-",AND((Tbl_ResidentData[[#This Row],[Enrollment '[mmm-yyyy']]]&lt;=Z$4),IF(ISBLANK(Tbl_ResidentData[[#This Row],[Discharge '[mmm-yyyy']]]),TRUE,(Tbl_ResidentData[[#This Row],[Discharge '[mmm-yyyy']]]&gt;=Z$4)))))</f>
        <v>-</v>
      </c>
      <c r="AA158" s="121" t="str">
        <f ca="1">IF(AA$4&gt;NOW(),"-",IF(ISBLANK(Tbl_ResidentData[[#This Row],[Enrollment '[mmm-yyyy']]]),"-",AND((Tbl_ResidentData[[#This Row],[Enrollment '[mmm-yyyy']]]&lt;=AA$4),IF(ISBLANK(Tbl_ResidentData[[#This Row],[Discharge '[mmm-yyyy']]]),TRUE,(Tbl_ResidentData[[#This Row],[Discharge '[mmm-yyyy']]]&gt;=AA$4)))))</f>
        <v>-</v>
      </c>
      <c r="AB158" s="121" t="str">
        <f ca="1">IF(AB$4&gt;NOW(),"-",IF(ISBLANK(Tbl_ResidentData[[#This Row],[Enrollment '[mmm-yyyy']]]),"-",AND((Tbl_ResidentData[[#This Row],[Enrollment '[mmm-yyyy']]]&lt;=AB$4),IF(ISBLANK(Tbl_ResidentData[[#This Row],[Discharge '[mmm-yyyy']]]),TRUE,(Tbl_ResidentData[[#This Row],[Discharge '[mmm-yyyy']]]&gt;=AB$4)))))</f>
        <v>-</v>
      </c>
      <c r="AC158" s="121" t="str">
        <f ca="1">IF(AC$4&gt;NOW(),"-",IF(ISBLANK(Tbl_ResidentData[[#This Row],[Enrollment '[mmm-yyyy']]]),"-",AND((Tbl_ResidentData[[#This Row],[Enrollment '[mmm-yyyy']]]&lt;=AC$4),IF(ISBLANK(Tbl_ResidentData[[#This Row],[Discharge '[mmm-yyyy']]]),TRUE,(Tbl_ResidentData[[#This Row],[Discharge '[mmm-yyyy']]]&gt;=AC$4)))))</f>
        <v>-</v>
      </c>
      <c r="AD158" s="121" t="str">
        <f ca="1">IF(AD$4&gt;NOW(),"-",IF(ISBLANK(Tbl_ResidentData[[#This Row],[Enrollment '[mmm-yyyy']]]),"-",AND((Tbl_ResidentData[[#This Row],[Enrollment '[mmm-yyyy']]]&lt;=AD$4),IF(ISBLANK(Tbl_ResidentData[[#This Row],[Discharge '[mmm-yyyy']]]),TRUE,(Tbl_ResidentData[[#This Row],[Discharge '[mmm-yyyy']]]&gt;=AD$4)))))</f>
        <v>-</v>
      </c>
      <c r="AE158" s="121" t="str">
        <f ca="1">IF(AE$4&gt;NOW(),"-",IF(ISBLANK(Tbl_ResidentData[[#This Row],[Enrollment '[mmm-yyyy']]]),"-",AND((Tbl_ResidentData[[#This Row],[Enrollment '[mmm-yyyy']]]&lt;=AE$4),IF(ISBLANK(Tbl_ResidentData[[#This Row],[Discharge '[mmm-yyyy']]]),TRUE,(Tbl_ResidentData[[#This Row],[Discharge '[mmm-yyyy']]]&gt;=AE$4)))))</f>
        <v>-</v>
      </c>
      <c r="AF158" s="121" t="str">
        <f ca="1">IF(AF$4&gt;NOW(),"-",IF(ISBLANK(Tbl_ResidentData[[#This Row],[Enrollment '[mmm-yyyy']]]),"-",AND((Tbl_ResidentData[[#This Row],[Enrollment '[mmm-yyyy']]]&lt;=AF$4),IF(ISBLANK(Tbl_ResidentData[[#This Row],[Discharge '[mmm-yyyy']]]),TRUE,(Tbl_ResidentData[[#This Row],[Discharge '[mmm-yyyy']]]&gt;=AF$4)))))</f>
        <v>-</v>
      </c>
      <c r="AG158" s="121" t="str">
        <f ca="1">IF(AG$4&gt;NOW(),"-",IF(ISBLANK(Tbl_ResidentData[[#This Row],[Enrollment '[mmm-yyyy']]]),"-",AND((Tbl_ResidentData[[#This Row],[Enrollment '[mmm-yyyy']]]&lt;=AG$4),IF(ISBLANK(Tbl_ResidentData[[#This Row],[Discharge '[mmm-yyyy']]]),TRUE,(Tbl_ResidentData[[#This Row],[Discharge '[mmm-yyyy']]]&gt;=AG$4)))))</f>
        <v>-</v>
      </c>
      <c r="AH158" s="121" t="str">
        <f ca="1">IF(AH$4&gt;NOW(),"-",IF(ISBLANK(Tbl_ResidentData[[#This Row],[Enrollment '[mmm-yyyy']]]),"-",AND((Tbl_ResidentData[[#This Row],[Enrollment '[mmm-yyyy']]]&lt;=AH$4),IF(ISBLANK(Tbl_ResidentData[[#This Row],[Discharge '[mmm-yyyy']]]),TRUE,(Tbl_ResidentData[[#This Row],[Discharge '[mmm-yyyy']]]&gt;=AH$4)))))</f>
        <v>-</v>
      </c>
      <c r="AI158" s="121" t="str">
        <f ca="1">IF(AI$4&gt;NOW(),"-",IF(ISBLANK(Tbl_ResidentData[[#This Row],[Enrollment '[mmm-yyyy']]]),"-",AND((Tbl_ResidentData[[#This Row],[Enrollment '[mmm-yyyy']]]&lt;=AI$4),IF(ISBLANK(Tbl_ResidentData[[#This Row],[Discharge '[mmm-yyyy']]]),TRUE,(Tbl_ResidentData[[#This Row],[Discharge '[mmm-yyyy']]]&gt;=AI$4)))))</f>
        <v>-</v>
      </c>
      <c r="AJ158" s="121" t="str">
        <f ca="1">IF(AJ$4&gt;NOW(),"-",IF(ISBLANK(Tbl_ResidentData[[#This Row],[Enrollment '[mmm-yyyy']]]),"-",AND((Tbl_ResidentData[[#This Row],[Enrollment '[mmm-yyyy']]]&lt;=AJ$4),IF(ISBLANK(Tbl_ResidentData[[#This Row],[Discharge '[mmm-yyyy']]]),TRUE,(Tbl_ResidentData[[#This Row],[Discharge '[mmm-yyyy']]]&gt;=AJ$4)))))</f>
        <v>-</v>
      </c>
      <c r="AK158" s="121" t="str">
        <f ca="1">IF(AK$4&gt;NOW(),"-",IF(ISBLANK(Tbl_ResidentData[[#This Row],[Enrollment '[mmm-yyyy']]]),"-",AND((Tbl_ResidentData[[#This Row],[Enrollment '[mmm-yyyy']]]&lt;=AK$4),IF(ISBLANK(Tbl_ResidentData[[#This Row],[Discharge '[mmm-yyyy']]]),TRUE,(Tbl_ResidentData[[#This Row],[Discharge '[mmm-yyyy']]]&gt;=AK$4)))))</f>
        <v>-</v>
      </c>
      <c r="AL158" s="121" t="str">
        <f ca="1">IF(AL$4&gt;NOW(),"-",IF(ISBLANK(Tbl_ResidentData[[#This Row],[Enrollment '[mmm-yyyy']]]),"-",AND((Tbl_ResidentData[[#This Row],[Enrollment '[mmm-yyyy']]]&lt;=AL$4),IF(ISBLANK(Tbl_ResidentData[[#This Row],[Discharge '[mmm-yyyy']]]),TRUE,(Tbl_ResidentData[[#This Row],[Discharge '[mmm-yyyy']]]&gt;=AL$4)))))</f>
        <v>-</v>
      </c>
      <c r="AM158" s="121" t="str">
        <f ca="1">IF(AM$4&gt;NOW(),"-",IF(ISBLANK(Tbl_ResidentData[[#This Row],[Enrollment '[mmm-yyyy']]]),"-",AND((Tbl_ResidentData[[#This Row],[Enrollment '[mmm-yyyy']]]&lt;=AM$4),IF(ISBLANK(Tbl_ResidentData[[#This Row],[Discharge '[mmm-yyyy']]]),TRUE,(Tbl_ResidentData[[#This Row],[Discharge '[mmm-yyyy']]]&gt;=AM$4)))))</f>
        <v>-</v>
      </c>
      <c r="AN158" s="121" t="str">
        <f ca="1">IF(AN$4&gt;NOW(),"-",IF(ISBLANK(Tbl_ResidentData[[#This Row],[Enrollment '[mmm-yyyy']]]),"-",AND((Tbl_ResidentData[[#This Row],[Enrollment '[mmm-yyyy']]]&lt;=AN$4),IF(ISBLANK(Tbl_ResidentData[[#This Row],[Discharge '[mmm-yyyy']]]),TRUE,(Tbl_ResidentData[[#This Row],[Discharge '[mmm-yyyy']]]&gt;=AN$4)))))</f>
        <v>-</v>
      </c>
      <c r="AO158" s="121" t="str">
        <f ca="1">IF(AO$4&gt;NOW(),"-",IF(ISBLANK(Tbl_ResidentData[[#This Row],[Enrollment '[mmm-yyyy']]]),"-",AND((Tbl_ResidentData[[#This Row],[Enrollment '[mmm-yyyy']]]&lt;=AO$4),IF(ISBLANK(Tbl_ResidentData[[#This Row],[Discharge '[mmm-yyyy']]]),TRUE,(Tbl_ResidentData[[#This Row],[Discharge '[mmm-yyyy']]]&gt;=AO$4)))))</f>
        <v>-</v>
      </c>
      <c r="AP158" s="121" t="str">
        <f ca="1">IF(AP$4&gt;NOW(),"-",IF(ISBLANK(Tbl_ResidentData[[#This Row],[Enrollment '[mmm-yyyy']]]),"-",AND((Tbl_ResidentData[[#This Row],[Enrollment '[mmm-yyyy']]]&lt;=AP$4),IF(ISBLANK(Tbl_ResidentData[[#This Row],[Discharge '[mmm-yyyy']]]),TRUE,(Tbl_ResidentData[[#This Row],[Discharge '[mmm-yyyy']]]&gt;=AP$4)))))</f>
        <v>-</v>
      </c>
      <c r="AQ158" s="121" t="str">
        <f ca="1">IF(AQ$4&gt;NOW(),"-",IF(ISBLANK(Tbl_ResidentData[[#This Row],[Enrollment '[mmm-yyyy']]]),"-",AND((Tbl_ResidentData[[#This Row],[Enrollment '[mmm-yyyy']]]&lt;=AQ$4),IF(ISBLANK(Tbl_ResidentData[[#This Row],[Discharge '[mmm-yyyy']]]),TRUE,(Tbl_ResidentData[[#This Row],[Discharge '[mmm-yyyy']]]&gt;=AQ$4)))))</f>
        <v>-</v>
      </c>
      <c r="AR158" s="122" t="str">
        <f ca="1">IF(AR$4&gt;NOW(),"-",IF(ISBLANK(Tbl_ResidentData[[#This Row],[Enrollment '[mmm-yyyy']]]),"-",AND((Tbl_ResidentData[[#This Row],[Enrollment '[mmm-yyyy']]]&lt;=AR$4),IF(ISBLANK(Tbl_ResidentData[[#This Row],[Discharge '[mmm-yyyy']]]),TRUE,(Tbl_ResidentData[[#This Row],[Discharge '[mmm-yyyy']]]&gt;=AR$4)))))</f>
        <v>-</v>
      </c>
      <c r="AS15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8" s="120" t="b">
        <f ca="1">AND(Tbl_ResidentData[[#This Row],[PRN Med Started]]&lt;&gt;"",Tbl_ResidentData[[#This Row],[PRN Med Started]]&lt;=NOW(),Tbl_ResidentData[[#This Row],[PRN Med Started]]&lt;=AS$4,OR(Tbl_ResidentData[[#This Row],[PRN Med Discontinued]]&gt;AS$4,ISBLANK(Tbl_ResidentData[[#This Row],[PRN Med Discontinued]])))</f>
        <v>0</v>
      </c>
      <c r="BR158" s="121" t="b">
        <f ca="1">AND(Tbl_ResidentData[[#This Row],[PRN Med Started]]&lt;&gt;"",Tbl_ResidentData[[#This Row],[PRN Med Started]]&lt;=NOW(),Tbl_ResidentData[[#This Row],[PRN Med Started]]&lt;=AT$4,OR(Tbl_ResidentData[[#This Row],[PRN Med Discontinued]]&gt;AT$4,ISBLANK(Tbl_ResidentData[[#This Row],[PRN Med Discontinued]])))</f>
        <v>0</v>
      </c>
      <c r="BS158" s="121" t="b">
        <f ca="1">AND(Tbl_ResidentData[[#This Row],[PRN Med Started]]&lt;&gt;"",Tbl_ResidentData[[#This Row],[PRN Med Started]]&lt;=NOW(),Tbl_ResidentData[[#This Row],[PRN Med Started]]&lt;=AU$4,OR(Tbl_ResidentData[[#This Row],[PRN Med Discontinued]]&gt;AU$4,ISBLANK(Tbl_ResidentData[[#This Row],[PRN Med Discontinued]])))</f>
        <v>0</v>
      </c>
      <c r="BT158" s="121" t="b">
        <f ca="1">AND(Tbl_ResidentData[[#This Row],[PRN Med Started]]&lt;&gt;"",Tbl_ResidentData[[#This Row],[PRN Med Started]]&lt;=NOW(),Tbl_ResidentData[[#This Row],[PRN Med Started]]&lt;=AV$4,OR(Tbl_ResidentData[[#This Row],[PRN Med Discontinued]]&gt;AV$4,ISBLANK(Tbl_ResidentData[[#This Row],[PRN Med Discontinued]])))</f>
        <v>0</v>
      </c>
      <c r="BU158" s="121" t="b">
        <f ca="1">AND(Tbl_ResidentData[[#This Row],[PRN Med Started]]&lt;&gt;"",Tbl_ResidentData[[#This Row],[PRN Med Started]]&lt;=NOW(),Tbl_ResidentData[[#This Row],[PRN Med Started]]&lt;=AW$4,OR(Tbl_ResidentData[[#This Row],[PRN Med Discontinued]]&gt;AW$4,ISBLANK(Tbl_ResidentData[[#This Row],[PRN Med Discontinued]])))</f>
        <v>0</v>
      </c>
      <c r="BV158" s="121" t="b">
        <f ca="1">AND(Tbl_ResidentData[[#This Row],[PRN Med Started]]&lt;&gt;"",Tbl_ResidentData[[#This Row],[PRN Med Started]]&lt;=NOW(),Tbl_ResidentData[[#This Row],[PRN Med Started]]&lt;=AX$4,OR(Tbl_ResidentData[[#This Row],[PRN Med Discontinued]]&gt;AX$4,ISBLANK(Tbl_ResidentData[[#This Row],[PRN Med Discontinued]])))</f>
        <v>0</v>
      </c>
      <c r="BW158" s="121" t="b">
        <f ca="1">AND(Tbl_ResidentData[[#This Row],[PRN Med Started]]&lt;&gt;"",Tbl_ResidentData[[#This Row],[PRN Med Started]]&lt;=NOW(),Tbl_ResidentData[[#This Row],[PRN Med Started]]&lt;=AY$4,OR(Tbl_ResidentData[[#This Row],[PRN Med Discontinued]]&gt;AY$4,ISBLANK(Tbl_ResidentData[[#This Row],[PRN Med Discontinued]])))</f>
        <v>0</v>
      </c>
      <c r="BX158" s="121" t="b">
        <f ca="1">AND(Tbl_ResidentData[[#This Row],[PRN Med Started]]&lt;&gt;"",Tbl_ResidentData[[#This Row],[PRN Med Started]]&lt;=NOW(),Tbl_ResidentData[[#This Row],[PRN Med Started]]&lt;=AZ$4,OR(Tbl_ResidentData[[#This Row],[PRN Med Discontinued]]&gt;AZ$4,ISBLANK(Tbl_ResidentData[[#This Row],[PRN Med Discontinued]])))</f>
        <v>0</v>
      </c>
      <c r="BY158" s="121" t="b">
        <f ca="1">AND(Tbl_ResidentData[[#This Row],[PRN Med Started]]&lt;&gt;"",Tbl_ResidentData[[#This Row],[PRN Med Started]]&lt;=NOW(),Tbl_ResidentData[[#This Row],[PRN Med Started]]&lt;=BA$4,OR(Tbl_ResidentData[[#This Row],[PRN Med Discontinued]]&gt;BA$4,ISBLANK(Tbl_ResidentData[[#This Row],[PRN Med Discontinued]])))</f>
        <v>0</v>
      </c>
      <c r="BZ158" s="121" t="b">
        <f ca="1">AND(Tbl_ResidentData[[#This Row],[PRN Med Started]]&lt;&gt;"",Tbl_ResidentData[[#This Row],[PRN Med Started]]&lt;=NOW(),Tbl_ResidentData[[#This Row],[PRN Med Started]]&lt;=BB$4,OR(Tbl_ResidentData[[#This Row],[PRN Med Discontinued]]&gt;BB$4,ISBLANK(Tbl_ResidentData[[#This Row],[PRN Med Discontinued]])))</f>
        <v>0</v>
      </c>
      <c r="CA158" s="121" t="b">
        <f ca="1">AND(Tbl_ResidentData[[#This Row],[PRN Med Started]]&lt;&gt;"",Tbl_ResidentData[[#This Row],[PRN Med Started]]&lt;=NOW(),Tbl_ResidentData[[#This Row],[PRN Med Started]]&lt;=BC$4,OR(Tbl_ResidentData[[#This Row],[PRN Med Discontinued]]&gt;BC$4,ISBLANK(Tbl_ResidentData[[#This Row],[PRN Med Discontinued]])))</f>
        <v>0</v>
      </c>
      <c r="CB158" s="121" t="b">
        <f ca="1">AND(Tbl_ResidentData[[#This Row],[PRN Med Started]]&lt;&gt;"",Tbl_ResidentData[[#This Row],[PRN Med Started]]&lt;=NOW(),Tbl_ResidentData[[#This Row],[PRN Med Started]]&lt;=BD$4,OR(Tbl_ResidentData[[#This Row],[PRN Med Discontinued]]&gt;BD$4,ISBLANK(Tbl_ResidentData[[#This Row],[PRN Med Discontinued]])))</f>
        <v>0</v>
      </c>
      <c r="CC158" s="121" t="b">
        <f ca="1">AND(Tbl_ResidentData[[#This Row],[PRN Med Started]]&lt;&gt;"",Tbl_ResidentData[[#This Row],[PRN Med Started]]&lt;=NOW(),Tbl_ResidentData[[#This Row],[PRN Med Started]]&lt;=BE$4,OR(Tbl_ResidentData[[#This Row],[PRN Med Discontinued]]&gt;BE$4,ISBLANK(Tbl_ResidentData[[#This Row],[PRN Med Discontinued]])))</f>
        <v>0</v>
      </c>
      <c r="CD158" s="121" t="b">
        <f ca="1">AND(Tbl_ResidentData[[#This Row],[PRN Med Started]]&lt;&gt;"",Tbl_ResidentData[[#This Row],[PRN Med Started]]&lt;=NOW(),Tbl_ResidentData[[#This Row],[PRN Med Started]]&lt;=BF$4,OR(Tbl_ResidentData[[#This Row],[PRN Med Discontinued]]&gt;BF$4,ISBLANK(Tbl_ResidentData[[#This Row],[PRN Med Discontinued]])))</f>
        <v>0</v>
      </c>
      <c r="CE158" s="121" t="b">
        <f ca="1">AND(Tbl_ResidentData[[#This Row],[PRN Med Started]]&lt;&gt;"",Tbl_ResidentData[[#This Row],[PRN Med Started]]&lt;=NOW(),Tbl_ResidentData[[#This Row],[PRN Med Started]]&lt;=BG$4,OR(Tbl_ResidentData[[#This Row],[PRN Med Discontinued]]&gt;BG$4,ISBLANK(Tbl_ResidentData[[#This Row],[PRN Med Discontinued]])))</f>
        <v>0</v>
      </c>
      <c r="CF158" s="121" t="b">
        <f ca="1">AND(Tbl_ResidentData[[#This Row],[PRN Med Started]]&lt;&gt;"",Tbl_ResidentData[[#This Row],[PRN Med Started]]&lt;=NOW(),Tbl_ResidentData[[#This Row],[PRN Med Started]]&lt;=BH$4,OR(Tbl_ResidentData[[#This Row],[PRN Med Discontinued]]&gt;BH$4,ISBLANK(Tbl_ResidentData[[#This Row],[PRN Med Discontinued]])))</f>
        <v>0</v>
      </c>
      <c r="CG158" s="121" t="b">
        <f ca="1">AND(Tbl_ResidentData[[#This Row],[PRN Med Started]]&lt;&gt;"",Tbl_ResidentData[[#This Row],[PRN Med Started]]&lt;=NOW(),Tbl_ResidentData[[#This Row],[PRN Med Started]]&lt;=BI$4,OR(Tbl_ResidentData[[#This Row],[PRN Med Discontinued]]&gt;BI$4,ISBLANK(Tbl_ResidentData[[#This Row],[PRN Med Discontinued]])))</f>
        <v>0</v>
      </c>
      <c r="CH158" s="121" t="b">
        <f ca="1">AND(Tbl_ResidentData[[#This Row],[PRN Med Started]]&lt;&gt;"",Tbl_ResidentData[[#This Row],[PRN Med Started]]&lt;=NOW(),Tbl_ResidentData[[#This Row],[PRN Med Started]]&lt;=BJ$4,OR(Tbl_ResidentData[[#This Row],[PRN Med Discontinued]]&gt;BJ$4,ISBLANK(Tbl_ResidentData[[#This Row],[PRN Med Discontinued]])))</f>
        <v>0</v>
      </c>
      <c r="CI158" s="121" t="b">
        <f ca="1">AND(Tbl_ResidentData[[#This Row],[PRN Med Started]]&lt;&gt;"",Tbl_ResidentData[[#This Row],[PRN Med Started]]&lt;=NOW(),Tbl_ResidentData[[#This Row],[PRN Med Started]]&lt;=BK$4,OR(Tbl_ResidentData[[#This Row],[PRN Med Discontinued]]&gt;BK$4,ISBLANK(Tbl_ResidentData[[#This Row],[PRN Med Discontinued]])))</f>
        <v>0</v>
      </c>
      <c r="CJ158" s="121" t="b">
        <f ca="1">AND(Tbl_ResidentData[[#This Row],[PRN Med Started]]&lt;&gt;"",Tbl_ResidentData[[#This Row],[PRN Med Started]]&lt;=NOW(),Tbl_ResidentData[[#This Row],[PRN Med Started]]&lt;=BL$4,OR(Tbl_ResidentData[[#This Row],[PRN Med Discontinued]]&gt;BL$4,ISBLANK(Tbl_ResidentData[[#This Row],[PRN Med Discontinued]])))</f>
        <v>0</v>
      </c>
      <c r="CK158" s="121" t="b">
        <f ca="1">AND(Tbl_ResidentData[[#This Row],[PRN Med Started]]&lt;&gt;"",Tbl_ResidentData[[#This Row],[PRN Med Started]]&lt;=NOW(),Tbl_ResidentData[[#This Row],[PRN Med Started]]&lt;=BM$4,OR(Tbl_ResidentData[[#This Row],[PRN Med Discontinued]]&gt;BM$4,ISBLANK(Tbl_ResidentData[[#This Row],[PRN Med Discontinued]])))</f>
        <v>0</v>
      </c>
      <c r="CL158" s="121" t="b">
        <f ca="1">AND(Tbl_ResidentData[[#This Row],[PRN Med Started]]&lt;&gt;"",Tbl_ResidentData[[#This Row],[PRN Med Started]]&lt;=NOW(),Tbl_ResidentData[[#This Row],[PRN Med Started]]&lt;=BN$4,OR(Tbl_ResidentData[[#This Row],[PRN Med Discontinued]]&gt;BN$4,ISBLANK(Tbl_ResidentData[[#This Row],[PRN Med Discontinued]])))</f>
        <v>0</v>
      </c>
      <c r="CM158" s="121" t="b">
        <f ca="1">AND(Tbl_ResidentData[[#This Row],[PRN Med Started]]&lt;&gt;"",Tbl_ResidentData[[#This Row],[PRN Med Started]]&lt;=NOW(),Tbl_ResidentData[[#This Row],[PRN Med Started]]&lt;=BO$4,OR(Tbl_ResidentData[[#This Row],[PRN Med Discontinued]]&gt;BO$4,ISBLANK(Tbl_ResidentData[[#This Row],[PRN Med Discontinued]])))</f>
        <v>0</v>
      </c>
      <c r="CN158" s="122" t="b">
        <f ca="1">AND(Tbl_ResidentData[[#This Row],[PRN Med Started]]&lt;&gt;"",Tbl_ResidentData[[#This Row],[PRN Med Started]]&lt;=NOW(),Tbl_ResidentData[[#This Row],[PRN Med Started]]&lt;=BP$4,OR(Tbl_ResidentData[[#This Row],[PRN Med Discontinued]]&gt;BP$4,ISBLANK(Tbl_ResidentData[[#This Row],[PRN Med Discontinued]])))</f>
        <v>0</v>
      </c>
      <c r="CO158" s="120">
        <f ca="1">IF(OR(Tbl_ResidentData[[#This Row],[S1]]=TRUE,Tbl_ResidentData[[#This Row],[P1]]=TRUE),1,0)</f>
        <v>0</v>
      </c>
      <c r="CP158" s="121">
        <f ca="1">IF(OR(Tbl_ResidentData[[#This Row],[S2]]=TRUE,Tbl_ResidentData[[#This Row],[P2]]=TRUE),1,0)</f>
        <v>0</v>
      </c>
      <c r="CQ158" s="121">
        <f ca="1">IF(OR(Tbl_ResidentData[[#This Row],[S3]]=TRUE,Tbl_ResidentData[[#This Row],[P3]]=TRUE),1,0)</f>
        <v>0</v>
      </c>
      <c r="CR158" s="120">
        <f ca="1">IF(OR(Tbl_ResidentData[[#This Row],[S4]]=TRUE,Tbl_ResidentData[[#This Row],[P4]]=TRUE),1,0)</f>
        <v>0</v>
      </c>
      <c r="CS158" s="120">
        <f ca="1">IF(OR(Tbl_ResidentData[[#This Row],[S5]]=TRUE,Tbl_ResidentData[[#This Row],[P5]]=TRUE),1,0)</f>
        <v>0</v>
      </c>
      <c r="CT158" s="120">
        <f ca="1">IF(OR(Tbl_ResidentData[[#This Row],[S6]]=TRUE,Tbl_ResidentData[[#This Row],[P6]]=TRUE),1,0)</f>
        <v>0</v>
      </c>
      <c r="CU158" s="120">
        <f ca="1">IF(OR(Tbl_ResidentData[[#This Row],[S7]]=TRUE,Tbl_ResidentData[[#This Row],[P7]]=TRUE),1,0)</f>
        <v>0</v>
      </c>
      <c r="CV158" s="120">
        <f ca="1">IF(OR(Tbl_ResidentData[[#This Row],[S8]]=TRUE,Tbl_ResidentData[[#This Row],[P8]]=TRUE),1,0)</f>
        <v>0</v>
      </c>
      <c r="CW158" s="120">
        <f ca="1">IF(OR(Tbl_ResidentData[[#This Row],[S9]]=TRUE,Tbl_ResidentData[[#This Row],[P9]]=TRUE),1,0)</f>
        <v>0</v>
      </c>
      <c r="CX158" s="120">
        <f ca="1">IF(OR(Tbl_ResidentData[[#This Row],[S10]]=TRUE,Tbl_ResidentData[[#This Row],[P10]]=TRUE),1,0)</f>
        <v>0</v>
      </c>
      <c r="CY158" s="120">
        <f ca="1">IF(OR(Tbl_ResidentData[[#This Row],[S11]]=TRUE,Tbl_ResidentData[[#This Row],[P11]]=TRUE),1,0)</f>
        <v>0</v>
      </c>
      <c r="CZ158" s="120">
        <f ca="1">IF(OR(Tbl_ResidentData[[#This Row],[S12]]=TRUE,Tbl_ResidentData[[#This Row],[P12]]=TRUE),1,0)</f>
        <v>0</v>
      </c>
      <c r="DA158" s="120">
        <f ca="1">IF(OR(Tbl_ResidentData[[#This Row],[S13]]=TRUE,Tbl_ResidentData[[#This Row],[P13]]=TRUE),1,0)</f>
        <v>0</v>
      </c>
      <c r="DB158" s="120">
        <f ca="1">IF(OR(Tbl_ResidentData[[#This Row],[S14]]=TRUE,Tbl_ResidentData[[#This Row],[P14]]=TRUE),1,0)</f>
        <v>0</v>
      </c>
      <c r="DC158" s="120">
        <f ca="1">IF(OR(Tbl_ResidentData[[#This Row],[S15]]=TRUE,Tbl_ResidentData[[#This Row],[P15]]=TRUE),1,0)</f>
        <v>0</v>
      </c>
      <c r="DD158" s="120">
        <f ca="1">IF(OR(Tbl_ResidentData[[#This Row],[S16]]=TRUE,Tbl_ResidentData[[#This Row],[P16]]=TRUE),1,0)</f>
        <v>0</v>
      </c>
      <c r="DE158" s="120">
        <f ca="1">IF(OR(Tbl_ResidentData[[#This Row],[S17]]=TRUE,Tbl_ResidentData[[#This Row],[P17]]=TRUE),1,0)</f>
        <v>0</v>
      </c>
      <c r="DF158" s="120">
        <f ca="1">IF(OR(Tbl_ResidentData[[#This Row],[S18]]=TRUE,Tbl_ResidentData[[#This Row],[P18]]=TRUE),1,0)</f>
        <v>0</v>
      </c>
      <c r="DG158" s="120">
        <f ca="1">IF(OR(Tbl_ResidentData[[#This Row],[S19]]=TRUE,Tbl_ResidentData[[#This Row],[P19]]=TRUE),1,0)</f>
        <v>0</v>
      </c>
      <c r="DH158" s="120">
        <f ca="1">IF(OR(Tbl_ResidentData[[#This Row],[S20]]=TRUE,Tbl_ResidentData[[#This Row],[P20]]=TRUE),1,0)</f>
        <v>0</v>
      </c>
      <c r="DI158" s="120">
        <f ca="1">IF(OR(Tbl_ResidentData[[#This Row],[S21]]=TRUE,Tbl_ResidentData[[#This Row],[P21]]=TRUE),1,0)</f>
        <v>0</v>
      </c>
      <c r="DJ158" s="120">
        <f ca="1">IF(OR(Tbl_ResidentData[[#This Row],[S22]]=TRUE,Tbl_ResidentData[[#This Row],[P22]]=TRUE),1,0)</f>
        <v>0</v>
      </c>
      <c r="DK158" s="120">
        <f ca="1">IF(OR(Tbl_ResidentData[[#This Row],[S23]]=TRUE,Tbl_ResidentData[[#This Row],[P23]]=TRUE),1,0)</f>
        <v>0</v>
      </c>
      <c r="DL158" s="120">
        <f ca="1">IF(OR(Tbl_ResidentData[[#This Row],[S24]]=TRUE,Tbl_ResidentData[[#This Row],[P24]]=TRUE),1,0)</f>
        <v>0</v>
      </c>
      <c r="DM158" s="123" t="str">
        <f ca="1">IFERROR(INDEX($CO$4:$DL$4,MATCH(TRUE,INDEX((Tbl_ResidentData[[#This Row],[Over1]:[Over24]]&lt;&gt;0),0),0)),"")</f>
        <v/>
      </c>
      <c r="DN158" s="133" t="str">
        <f>IFERROR(INDEX(Tbl_PDSAData[Last DRT],MATCH(Tbl_ResidentData[Resident Name '[last, first']],Tbl_PDSAData[Resident Name (last, first)],0)),"")</f>
        <v/>
      </c>
      <c r="DO158" s="222" t="str">
        <f>IFERROR(INDEX(Tbl_PDSAData[Last MR],MATCH(Tbl_ResidentData[Resident Name '[last, first']],Tbl_PDSAData[Resident Name (last, first)],0)),"")</f>
        <v/>
      </c>
    </row>
    <row r="159" spans="1:119" x14ac:dyDescent="0.25">
      <c r="A159" s="179"/>
      <c r="B159" s="180"/>
      <c r="C159" s="180"/>
      <c r="D159" s="218"/>
      <c r="E159" s="179"/>
      <c r="F159" s="179"/>
      <c r="G159" s="181"/>
      <c r="H159" s="182"/>
      <c r="I159" s="185"/>
      <c r="J159" s="387"/>
      <c r="K159" s="178"/>
      <c r="L159" s="388"/>
      <c r="M159" s="185"/>
      <c r="N159" s="386"/>
      <c r="O159" s="178"/>
      <c r="P159" s="388"/>
      <c r="Q159" s="395"/>
      <c r="R159" s="396"/>
      <c r="S159" s="131" t="str">
        <f>IF(ISBLANK(Tbl_ResidentData[[#This Row],[Discharge '[mmm-yyyy']]]),IF(ISBLANK(Tbl_ResidentData[[#This Row],[Enrollment '[mmm-yyyy']]]),"","In Care Home"),"Discharged")</f>
        <v/>
      </c>
      <c r="T159" s="119" t="str">
        <f>IF(ISBLANK(Tbl_ResidentData[[#This Row],[Diagnosis (RAI)]]),IF(ISBLANK(Tbl_ResidentData[[#This Row],[Resident Name '[last, first']]]),"",0),IF(Tbl_ResidentData[[#This Row],[Diagnosis (RAI)]]="Other (see clinical notes)",0,1))</f>
        <v/>
      </c>
      <c r="U159" s="120" t="str">
        <f ca="1">IF(U$4&gt;NOW(),"-",IF(ISBLANK(Tbl_ResidentData[[#This Row],[Enrollment '[mmm-yyyy']]]),"-",AND((Tbl_ResidentData[[#This Row],[Enrollment '[mmm-yyyy']]]&lt;=U$4),IF(ISBLANK(Tbl_ResidentData[[#This Row],[Discharge '[mmm-yyyy']]]),TRUE,(Tbl_ResidentData[[#This Row],[Discharge '[mmm-yyyy']]]&gt;=U$4)))))</f>
        <v>-</v>
      </c>
      <c r="V159" s="121" t="str">
        <f ca="1">IF(V$4&gt;NOW(),"-",IF(ISBLANK(Tbl_ResidentData[[#This Row],[Enrollment '[mmm-yyyy']]]),"-",AND((Tbl_ResidentData[[#This Row],[Enrollment '[mmm-yyyy']]]&lt;=V$4),IF(ISBLANK(Tbl_ResidentData[[#This Row],[Discharge '[mmm-yyyy']]]),TRUE,(Tbl_ResidentData[[#This Row],[Discharge '[mmm-yyyy']]]&gt;=V$4)))))</f>
        <v>-</v>
      </c>
      <c r="W159" s="121" t="str">
        <f ca="1">IF(W$4&gt;NOW(),"-",IF(ISBLANK(Tbl_ResidentData[[#This Row],[Enrollment '[mmm-yyyy']]]),"-",AND((Tbl_ResidentData[[#This Row],[Enrollment '[mmm-yyyy']]]&lt;=W$4),IF(ISBLANK(Tbl_ResidentData[[#This Row],[Discharge '[mmm-yyyy']]]),TRUE,(Tbl_ResidentData[[#This Row],[Discharge '[mmm-yyyy']]]&gt;=W$4)))))</f>
        <v>-</v>
      </c>
      <c r="X159" s="121" t="str">
        <f ca="1">IF(X$4&gt;NOW(),"-",IF(ISBLANK(Tbl_ResidentData[[#This Row],[Enrollment '[mmm-yyyy']]]),"-",AND((Tbl_ResidentData[[#This Row],[Enrollment '[mmm-yyyy']]]&lt;=X$4),IF(ISBLANK(Tbl_ResidentData[[#This Row],[Discharge '[mmm-yyyy']]]),TRUE,(Tbl_ResidentData[[#This Row],[Discharge '[mmm-yyyy']]]&gt;=X$4)))))</f>
        <v>-</v>
      </c>
      <c r="Y159" s="121" t="str">
        <f ca="1">IF(Y$4&gt;NOW(),"-",IF(ISBLANK(Tbl_ResidentData[[#This Row],[Enrollment '[mmm-yyyy']]]),"-",AND((Tbl_ResidentData[[#This Row],[Enrollment '[mmm-yyyy']]]&lt;=Y$4),IF(ISBLANK(Tbl_ResidentData[[#This Row],[Discharge '[mmm-yyyy']]]),TRUE,(Tbl_ResidentData[[#This Row],[Discharge '[mmm-yyyy']]]&gt;=Y$4)))))</f>
        <v>-</v>
      </c>
      <c r="Z159" s="121" t="str">
        <f ca="1">IF(Z$4&gt;NOW(),"-",IF(ISBLANK(Tbl_ResidentData[[#This Row],[Enrollment '[mmm-yyyy']]]),"-",AND((Tbl_ResidentData[[#This Row],[Enrollment '[mmm-yyyy']]]&lt;=Z$4),IF(ISBLANK(Tbl_ResidentData[[#This Row],[Discharge '[mmm-yyyy']]]),TRUE,(Tbl_ResidentData[[#This Row],[Discharge '[mmm-yyyy']]]&gt;=Z$4)))))</f>
        <v>-</v>
      </c>
      <c r="AA159" s="121" t="str">
        <f ca="1">IF(AA$4&gt;NOW(),"-",IF(ISBLANK(Tbl_ResidentData[[#This Row],[Enrollment '[mmm-yyyy']]]),"-",AND((Tbl_ResidentData[[#This Row],[Enrollment '[mmm-yyyy']]]&lt;=AA$4),IF(ISBLANK(Tbl_ResidentData[[#This Row],[Discharge '[mmm-yyyy']]]),TRUE,(Tbl_ResidentData[[#This Row],[Discharge '[mmm-yyyy']]]&gt;=AA$4)))))</f>
        <v>-</v>
      </c>
      <c r="AB159" s="121" t="str">
        <f ca="1">IF(AB$4&gt;NOW(),"-",IF(ISBLANK(Tbl_ResidentData[[#This Row],[Enrollment '[mmm-yyyy']]]),"-",AND((Tbl_ResidentData[[#This Row],[Enrollment '[mmm-yyyy']]]&lt;=AB$4),IF(ISBLANK(Tbl_ResidentData[[#This Row],[Discharge '[mmm-yyyy']]]),TRUE,(Tbl_ResidentData[[#This Row],[Discharge '[mmm-yyyy']]]&gt;=AB$4)))))</f>
        <v>-</v>
      </c>
      <c r="AC159" s="121" t="str">
        <f ca="1">IF(AC$4&gt;NOW(),"-",IF(ISBLANK(Tbl_ResidentData[[#This Row],[Enrollment '[mmm-yyyy']]]),"-",AND((Tbl_ResidentData[[#This Row],[Enrollment '[mmm-yyyy']]]&lt;=AC$4),IF(ISBLANK(Tbl_ResidentData[[#This Row],[Discharge '[mmm-yyyy']]]),TRUE,(Tbl_ResidentData[[#This Row],[Discharge '[mmm-yyyy']]]&gt;=AC$4)))))</f>
        <v>-</v>
      </c>
      <c r="AD159" s="121" t="str">
        <f ca="1">IF(AD$4&gt;NOW(),"-",IF(ISBLANK(Tbl_ResidentData[[#This Row],[Enrollment '[mmm-yyyy']]]),"-",AND((Tbl_ResidentData[[#This Row],[Enrollment '[mmm-yyyy']]]&lt;=AD$4),IF(ISBLANK(Tbl_ResidentData[[#This Row],[Discharge '[mmm-yyyy']]]),TRUE,(Tbl_ResidentData[[#This Row],[Discharge '[mmm-yyyy']]]&gt;=AD$4)))))</f>
        <v>-</v>
      </c>
      <c r="AE159" s="121" t="str">
        <f ca="1">IF(AE$4&gt;NOW(),"-",IF(ISBLANK(Tbl_ResidentData[[#This Row],[Enrollment '[mmm-yyyy']]]),"-",AND((Tbl_ResidentData[[#This Row],[Enrollment '[mmm-yyyy']]]&lt;=AE$4),IF(ISBLANK(Tbl_ResidentData[[#This Row],[Discharge '[mmm-yyyy']]]),TRUE,(Tbl_ResidentData[[#This Row],[Discharge '[mmm-yyyy']]]&gt;=AE$4)))))</f>
        <v>-</v>
      </c>
      <c r="AF159" s="121" t="str">
        <f ca="1">IF(AF$4&gt;NOW(),"-",IF(ISBLANK(Tbl_ResidentData[[#This Row],[Enrollment '[mmm-yyyy']]]),"-",AND((Tbl_ResidentData[[#This Row],[Enrollment '[mmm-yyyy']]]&lt;=AF$4),IF(ISBLANK(Tbl_ResidentData[[#This Row],[Discharge '[mmm-yyyy']]]),TRUE,(Tbl_ResidentData[[#This Row],[Discharge '[mmm-yyyy']]]&gt;=AF$4)))))</f>
        <v>-</v>
      </c>
      <c r="AG159" s="121" t="str">
        <f ca="1">IF(AG$4&gt;NOW(),"-",IF(ISBLANK(Tbl_ResidentData[[#This Row],[Enrollment '[mmm-yyyy']]]),"-",AND((Tbl_ResidentData[[#This Row],[Enrollment '[mmm-yyyy']]]&lt;=AG$4),IF(ISBLANK(Tbl_ResidentData[[#This Row],[Discharge '[mmm-yyyy']]]),TRUE,(Tbl_ResidentData[[#This Row],[Discharge '[mmm-yyyy']]]&gt;=AG$4)))))</f>
        <v>-</v>
      </c>
      <c r="AH159" s="121" t="str">
        <f ca="1">IF(AH$4&gt;NOW(),"-",IF(ISBLANK(Tbl_ResidentData[[#This Row],[Enrollment '[mmm-yyyy']]]),"-",AND((Tbl_ResidentData[[#This Row],[Enrollment '[mmm-yyyy']]]&lt;=AH$4),IF(ISBLANK(Tbl_ResidentData[[#This Row],[Discharge '[mmm-yyyy']]]),TRUE,(Tbl_ResidentData[[#This Row],[Discharge '[mmm-yyyy']]]&gt;=AH$4)))))</f>
        <v>-</v>
      </c>
      <c r="AI159" s="121" t="str">
        <f ca="1">IF(AI$4&gt;NOW(),"-",IF(ISBLANK(Tbl_ResidentData[[#This Row],[Enrollment '[mmm-yyyy']]]),"-",AND((Tbl_ResidentData[[#This Row],[Enrollment '[mmm-yyyy']]]&lt;=AI$4),IF(ISBLANK(Tbl_ResidentData[[#This Row],[Discharge '[mmm-yyyy']]]),TRUE,(Tbl_ResidentData[[#This Row],[Discharge '[mmm-yyyy']]]&gt;=AI$4)))))</f>
        <v>-</v>
      </c>
      <c r="AJ159" s="121" t="str">
        <f ca="1">IF(AJ$4&gt;NOW(),"-",IF(ISBLANK(Tbl_ResidentData[[#This Row],[Enrollment '[mmm-yyyy']]]),"-",AND((Tbl_ResidentData[[#This Row],[Enrollment '[mmm-yyyy']]]&lt;=AJ$4),IF(ISBLANK(Tbl_ResidentData[[#This Row],[Discharge '[mmm-yyyy']]]),TRUE,(Tbl_ResidentData[[#This Row],[Discharge '[mmm-yyyy']]]&gt;=AJ$4)))))</f>
        <v>-</v>
      </c>
      <c r="AK159" s="121" t="str">
        <f ca="1">IF(AK$4&gt;NOW(),"-",IF(ISBLANK(Tbl_ResidentData[[#This Row],[Enrollment '[mmm-yyyy']]]),"-",AND((Tbl_ResidentData[[#This Row],[Enrollment '[mmm-yyyy']]]&lt;=AK$4),IF(ISBLANK(Tbl_ResidentData[[#This Row],[Discharge '[mmm-yyyy']]]),TRUE,(Tbl_ResidentData[[#This Row],[Discharge '[mmm-yyyy']]]&gt;=AK$4)))))</f>
        <v>-</v>
      </c>
      <c r="AL159" s="121" t="str">
        <f ca="1">IF(AL$4&gt;NOW(),"-",IF(ISBLANK(Tbl_ResidentData[[#This Row],[Enrollment '[mmm-yyyy']]]),"-",AND((Tbl_ResidentData[[#This Row],[Enrollment '[mmm-yyyy']]]&lt;=AL$4),IF(ISBLANK(Tbl_ResidentData[[#This Row],[Discharge '[mmm-yyyy']]]),TRUE,(Tbl_ResidentData[[#This Row],[Discharge '[mmm-yyyy']]]&gt;=AL$4)))))</f>
        <v>-</v>
      </c>
      <c r="AM159" s="121" t="str">
        <f ca="1">IF(AM$4&gt;NOW(),"-",IF(ISBLANK(Tbl_ResidentData[[#This Row],[Enrollment '[mmm-yyyy']]]),"-",AND((Tbl_ResidentData[[#This Row],[Enrollment '[mmm-yyyy']]]&lt;=AM$4),IF(ISBLANK(Tbl_ResidentData[[#This Row],[Discharge '[mmm-yyyy']]]),TRUE,(Tbl_ResidentData[[#This Row],[Discharge '[mmm-yyyy']]]&gt;=AM$4)))))</f>
        <v>-</v>
      </c>
      <c r="AN159" s="121" t="str">
        <f ca="1">IF(AN$4&gt;NOW(),"-",IF(ISBLANK(Tbl_ResidentData[[#This Row],[Enrollment '[mmm-yyyy']]]),"-",AND((Tbl_ResidentData[[#This Row],[Enrollment '[mmm-yyyy']]]&lt;=AN$4),IF(ISBLANK(Tbl_ResidentData[[#This Row],[Discharge '[mmm-yyyy']]]),TRUE,(Tbl_ResidentData[[#This Row],[Discharge '[mmm-yyyy']]]&gt;=AN$4)))))</f>
        <v>-</v>
      </c>
      <c r="AO159" s="121" t="str">
        <f ca="1">IF(AO$4&gt;NOW(),"-",IF(ISBLANK(Tbl_ResidentData[[#This Row],[Enrollment '[mmm-yyyy']]]),"-",AND((Tbl_ResidentData[[#This Row],[Enrollment '[mmm-yyyy']]]&lt;=AO$4),IF(ISBLANK(Tbl_ResidentData[[#This Row],[Discharge '[mmm-yyyy']]]),TRUE,(Tbl_ResidentData[[#This Row],[Discharge '[mmm-yyyy']]]&gt;=AO$4)))))</f>
        <v>-</v>
      </c>
      <c r="AP159" s="121" t="str">
        <f ca="1">IF(AP$4&gt;NOW(),"-",IF(ISBLANK(Tbl_ResidentData[[#This Row],[Enrollment '[mmm-yyyy']]]),"-",AND((Tbl_ResidentData[[#This Row],[Enrollment '[mmm-yyyy']]]&lt;=AP$4),IF(ISBLANK(Tbl_ResidentData[[#This Row],[Discharge '[mmm-yyyy']]]),TRUE,(Tbl_ResidentData[[#This Row],[Discharge '[mmm-yyyy']]]&gt;=AP$4)))))</f>
        <v>-</v>
      </c>
      <c r="AQ159" s="121" t="str">
        <f ca="1">IF(AQ$4&gt;NOW(),"-",IF(ISBLANK(Tbl_ResidentData[[#This Row],[Enrollment '[mmm-yyyy']]]),"-",AND((Tbl_ResidentData[[#This Row],[Enrollment '[mmm-yyyy']]]&lt;=AQ$4),IF(ISBLANK(Tbl_ResidentData[[#This Row],[Discharge '[mmm-yyyy']]]),TRUE,(Tbl_ResidentData[[#This Row],[Discharge '[mmm-yyyy']]]&gt;=AQ$4)))))</f>
        <v>-</v>
      </c>
      <c r="AR159" s="122" t="str">
        <f ca="1">IF(AR$4&gt;NOW(),"-",IF(ISBLANK(Tbl_ResidentData[[#This Row],[Enrollment '[mmm-yyyy']]]),"-",AND((Tbl_ResidentData[[#This Row],[Enrollment '[mmm-yyyy']]]&lt;=AR$4),IF(ISBLANK(Tbl_ResidentData[[#This Row],[Discharge '[mmm-yyyy']]]),TRUE,(Tbl_ResidentData[[#This Row],[Discharge '[mmm-yyyy']]]&gt;=AR$4)))))</f>
        <v>-</v>
      </c>
      <c r="AS15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9" s="120" t="b">
        <f ca="1">AND(Tbl_ResidentData[[#This Row],[PRN Med Started]]&lt;&gt;"",Tbl_ResidentData[[#This Row],[PRN Med Started]]&lt;=NOW(),Tbl_ResidentData[[#This Row],[PRN Med Started]]&lt;=AS$4,OR(Tbl_ResidentData[[#This Row],[PRN Med Discontinued]]&gt;AS$4,ISBLANK(Tbl_ResidentData[[#This Row],[PRN Med Discontinued]])))</f>
        <v>0</v>
      </c>
      <c r="BR159" s="121" t="b">
        <f ca="1">AND(Tbl_ResidentData[[#This Row],[PRN Med Started]]&lt;&gt;"",Tbl_ResidentData[[#This Row],[PRN Med Started]]&lt;=NOW(),Tbl_ResidentData[[#This Row],[PRN Med Started]]&lt;=AT$4,OR(Tbl_ResidentData[[#This Row],[PRN Med Discontinued]]&gt;AT$4,ISBLANK(Tbl_ResidentData[[#This Row],[PRN Med Discontinued]])))</f>
        <v>0</v>
      </c>
      <c r="BS159" s="121" t="b">
        <f ca="1">AND(Tbl_ResidentData[[#This Row],[PRN Med Started]]&lt;&gt;"",Tbl_ResidentData[[#This Row],[PRN Med Started]]&lt;=NOW(),Tbl_ResidentData[[#This Row],[PRN Med Started]]&lt;=AU$4,OR(Tbl_ResidentData[[#This Row],[PRN Med Discontinued]]&gt;AU$4,ISBLANK(Tbl_ResidentData[[#This Row],[PRN Med Discontinued]])))</f>
        <v>0</v>
      </c>
      <c r="BT159" s="121" t="b">
        <f ca="1">AND(Tbl_ResidentData[[#This Row],[PRN Med Started]]&lt;&gt;"",Tbl_ResidentData[[#This Row],[PRN Med Started]]&lt;=NOW(),Tbl_ResidentData[[#This Row],[PRN Med Started]]&lt;=AV$4,OR(Tbl_ResidentData[[#This Row],[PRN Med Discontinued]]&gt;AV$4,ISBLANK(Tbl_ResidentData[[#This Row],[PRN Med Discontinued]])))</f>
        <v>0</v>
      </c>
      <c r="BU159" s="121" t="b">
        <f ca="1">AND(Tbl_ResidentData[[#This Row],[PRN Med Started]]&lt;&gt;"",Tbl_ResidentData[[#This Row],[PRN Med Started]]&lt;=NOW(),Tbl_ResidentData[[#This Row],[PRN Med Started]]&lt;=AW$4,OR(Tbl_ResidentData[[#This Row],[PRN Med Discontinued]]&gt;AW$4,ISBLANK(Tbl_ResidentData[[#This Row],[PRN Med Discontinued]])))</f>
        <v>0</v>
      </c>
      <c r="BV159" s="121" t="b">
        <f ca="1">AND(Tbl_ResidentData[[#This Row],[PRN Med Started]]&lt;&gt;"",Tbl_ResidentData[[#This Row],[PRN Med Started]]&lt;=NOW(),Tbl_ResidentData[[#This Row],[PRN Med Started]]&lt;=AX$4,OR(Tbl_ResidentData[[#This Row],[PRN Med Discontinued]]&gt;AX$4,ISBLANK(Tbl_ResidentData[[#This Row],[PRN Med Discontinued]])))</f>
        <v>0</v>
      </c>
      <c r="BW159" s="121" t="b">
        <f ca="1">AND(Tbl_ResidentData[[#This Row],[PRN Med Started]]&lt;&gt;"",Tbl_ResidentData[[#This Row],[PRN Med Started]]&lt;=NOW(),Tbl_ResidentData[[#This Row],[PRN Med Started]]&lt;=AY$4,OR(Tbl_ResidentData[[#This Row],[PRN Med Discontinued]]&gt;AY$4,ISBLANK(Tbl_ResidentData[[#This Row],[PRN Med Discontinued]])))</f>
        <v>0</v>
      </c>
      <c r="BX159" s="121" t="b">
        <f ca="1">AND(Tbl_ResidentData[[#This Row],[PRN Med Started]]&lt;&gt;"",Tbl_ResidentData[[#This Row],[PRN Med Started]]&lt;=NOW(),Tbl_ResidentData[[#This Row],[PRN Med Started]]&lt;=AZ$4,OR(Tbl_ResidentData[[#This Row],[PRN Med Discontinued]]&gt;AZ$4,ISBLANK(Tbl_ResidentData[[#This Row],[PRN Med Discontinued]])))</f>
        <v>0</v>
      </c>
      <c r="BY159" s="121" t="b">
        <f ca="1">AND(Tbl_ResidentData[[#This Row],[PRN Med Started]]&lt;&gt;"",Tbl_ResidentData[[#This Row],[PRN Med Started]]&lt;=NOW(),Tbl_ResidentData[[#This Row],[PRN Med Started]]&lt;=BA$4,OR(Tbl_ResidentData[[#This Row],[PRN Med Discontinued]]&gt;BA$4,ISBLANK(Tbl_ResidentData[[#This Row],[PRN Med Discontinued]])))</f>
        <v>0</v>
      </c>
      <c r="BZ159" s="121" t="b">
        <f ca="1">AND(Tbl_ResidentData[[#This Row],[PRN Med Started]]&lt;&gt;"",Tbl_ResidentData[[#This Row],[PRN Med Started]]&lt;=NOW(),Tbl_ResidentData[[#This Row],[PRN Med Started]]&lt;=BB$4,OR(Tbl_ResidentData[[#This Row],[PRN Med Discontinued]]&gt;BB$4,ISBLANK(Tbl_ResidentData[[#This Row],[PRN Med Discontinued]])))</f>
        <v>0</v>
      </c>
      <c r="CA159" s="121" t="b">
        <f ca="1">AND(Tbl_ResidentData[[#This Row],[PRN Med Started]]&lt;&gt;"",Tbl_ResidentData[[#This Row],[PRN Med Started]]&lt;=NOW(),Tbl_ResidentData[[#This Row],[PRN Med Started]]&lt;=BC$4,OR(Tbl_ResidentData[[#This Row],[PRN Med Discontinued]]&gt;BC$4,ISBLANK(Tbl_ResidentData[[#This Row],[PRN Med Discontinued]])))</f>
        <v>0</v>
      </c>
      <c r="CB159" s="121" t="b">
        <f ca="1">AND(Tbl_ResidentData[[#This Row],[PRN Med Started]]&lt;&gt;"",Tbl_ResidentData[[#This Row],[PRN Med Started]]&lt;=NOW(),Tbl_ResidentData[[#This Row],[PRN Med Started]]&lt;=BD$4,OR(Tbl_ResidentData[[#This Row],[PRN Med Discontinued]]&gt;BD$4,ISBLANK(Tbl_ResidentData[[#This Row],[PRN Med Discontinued]])))</f>
        <v>0</v>
      </c>
      <c r="CC159" s="121" t="b">
        <f ca="1">AND(Tbl_ResidentData[[#This Row],[PRN Med Started]]&lt;&gt;"",Tbl_ResidentData[[#This Row],[PRN Med Started]]&lt;=NOW(),Tbl_ResidentData[[#This Row],[PRN Med Started]]&lt;=BE$4,OR(Tbl_ResidentData[[#This Row],[PRN Med Discontinued]]&gt;BE$4,ISBLANK(Tbl_ResidentData[[#This Row],[PRN Med Discontinued]])))</f>
        <v>0</v>
      </c>
      <c r="CD159" s="121" t="b">
        <f ca="1">AND(Tbl_ResidentData[[#This Row],[PRN Med Started]]&lt;&gt;"",Tbl_ResidentData[[#This Row],[PRN Med Started]]&lt;=NOW(),Tbl_ResidentData[[#This Row],[PRN Med Started]]&lt;=BF$4,OR(Tbl_ResidentData[[#This Row],[PRN Med Discontinued]]&gt;BF$4,ISBLANK(Tbl_ResidentData[[#This Row],[PRN Med Discontinued]])))</f>
        <v>0</v>
      </c>
      <c r="CE159" s="121" t="b">
        <f ca="1">AND(Tbl_ResidentData[[#This Row],[PRN Med Started]]&lt;&gt;"",Tbl_ResidentData[[#This Row],[PRN Med Started]]&lt;=NOW(),Tbl_ResidentData[[#This Row],[PRN Med Started]]&lt;=BG$4,OR(Tbl_ResidentData[[#This Row],[PRN Med Discontinued]]&gt;BG$4,ISBLANK(Tbl_ResidentData[[#This Row],[PRN Med Discontinued]])))</f>
        <v>0</v>
      </c>
      <c r="CF159" s="121" t="b">
        <f ca="1">AND(Tbl_ResidentData[[#This Row],[PRN Med Started]]&lt;&gt;"",Tbl_ResidentData[[#This Row],[PRN Med Started]]&lt;=NOW(),Tbl_ResidentData[[#This Row],[PRN Med Started]]&lt;=BH$4,OR(Tbl_ResidentData[[#This Row],[PRN Med Discontinued]]&gt;BH$4,ISBLANK(Tbl_ResidentData[[#This Row],[PRN Med Discontinued]])))</f>
        <v>0</v>
      </c>
      <c r="CG159" s="121" t="b">
        <f ca="1">AND(Tbl_ResidentData[[#This Row],[PRN Med Started]]&lt;&gt;"",Tbl_ResidentData[[#This Row],[PRN Med Started]]&lt;=NOW(),Tbl_ResidentData[[#This Row],[PRN Med Started]]&lt;=BI$4,OR(Tbl_ResidentData[[#This Row],[PRN Med Discontinued]]&gt;BI$4,ISBLANK(Tbl_ResidentData[[#This Row],[PRN Med Discontinued]])))</f>
        <v>0</v>
      </c>
      <c r="CH159" s="121" t="b">
        <f ca="1">AND(Tbl_ResidentData[[#This Row],[PRN Med Started]]&lt;&gt;"",Tbl_ResidentData[[#This Row],[PRN Med Started]]&lt;=NOW(),Tbl_ResidentData[[#This Row],[PRN Med Started]]&lt;=BJ$4,OR(Tbl_ResidentData[[#This Row],[PRN Med Discontinued]]&gt;BJ$4,ISBLANK(Tbl_ResidentData[[#This Row],[PRN Med Discontinued]])))</f>
        <v>0</v>
      </c>
      <c r="CI159" s="121" t="b">
        <f ca="1">AND(Tbl_ResidentData[[#This Row],[PRN Med Started]]&lt;&gt;"",Tbl_ResidentData[[#This Row],[PRN Med Started]]&lt;=NOW(),Tbl_ResidentData[[#This Row],[PRN Med Started]]&lt;=BK$4,OR(Tbl_ResidentData[[#This Row],[PRN Med Discontinued]]&gt;BK$4,ISBLANK(Tbl_ResidentData[[#This Row],[PRN Med Discontinued]])))</f>
        <v>0</v>
      </c>
      <c r="CJ159" s="121" t="b">
        <f ca="1">AND(Tbl_ResidentData[[#This Row],[PRN Med Started]]&lt;&gt;"",Tbl_ResidentData[[#This Row],[PRN Med Started]]&lt;=NOW(),Tbl_ResidentData[[#This Row],[PRN Med Started]]&lt;=BL$4,OR(Tbl_ResidentData[[#This Row],[PRN Med Discontinued]]&gt;BL$4,ISBLANK(Tbl_ResidentData[[#This Row],[PRN Med Discontinued]])))</f>
        <v>0</v>
      </c>
      <c r="CK159" s="121" t="b">
        <f ca="1">AND(Tbl_ResidentData[[#This Row],[PRN Med Started]]&lt;&gt;"",Tbl_ResidentData[[#This Row],[PRN Med Started]]&lt;=NOW(),Tbl_ResidentData[[#This Row],[PRN Med Started]]&lt;=BM$4,OR(Tbl_ResidentData[[#This Row],[PRN Med Discontinued]]&gt;BM$4,ISBLANK(Tbl_ResidentData[[#This Row],[PRN Med Discontinued]])))</f>
        <v>0</v>
      </c>
      <c r="CL159" s="121" t="b">
        <f ca="1">AND(Tbl_ResidentData[[#This Row],[PRN Med Started]]&lt;&gt;"",Tbl_ResidentData[[#This Row],[PRN Med Started]]&lt;=NOW(),Tbl_ResidentData[[#This Row],[PRN Med Started]]&lt;=BN$4,OR(Tbl_ResidentData[[#This Row],[PRN Med Discontinued]]&gt;BN$4,ISBLANK(Tbl_ResidentData[[#This Row],[PRN Med Discontinued]])))</f>
        <v>0</v>
      </c>
      <c r="CM159" s="121" t="b">
        <f ca="1">AND(Tbl_ResidentData[[#This Row],[PRN Med Started]]&lt;&gt;"",Tbl_ResidentData[[#This Row],[PRN Med Started]]&lt;=NOW(),Tbl_ResidentData[[#This Row],[PRN Med Started]]&lt;=BO$4,OR(Tbl_ResidentData[[#This Row],[PRN Med Discontinued]]&gt;BO$4,ISBLANK(Tbl_ResidentData[[#This Row],[PRN Med Discontinued]])))</f>
        <v>0</v>
      </c>
      <c r="CN159" s="122" t="b">
        <f ca="1">AND(Tbl_ResidentData[[#This Row],[PRN Med Started]]&lt;&gt;"",Tbl_ResidentData[[#This Row],[PRN Med Started]]&lt;=NOW(),Tbl_ResidentData[[#This Row],[PRN Med Started]]&lt;=BP$4,OR(Tbl_ResidentData[[#This Row],[PRN Med Discontinued]]&gt;BP$4,ISBLANK(Tbl_ResidentData[[#This Row],[PRN Med Discontinued]])))</f>
        <v>0</v>
      </c>
      <c r="CO159" s="120">
        <f ca="1">IF(OR(Tbl_ResidentData[[#This Row],[S1]]=TRUE,Tbl_ResidentData[[#This Row],[P1]]=TRUE),1,0)</f>
        <v>0</v>
      </c>
      <c r="CP159" s="121">
        <f ca="1">IF(OR(Tbl_ResidentData[[#This Row],[S2]]=TRUE,Tbl_ResidentData[[#This Row],[P2]]=TRUE),1,0)</f>
        <v>0</v>
      </c>
      <c r="CQ159" s="121">
        <f ca="1">IF(OR(Tbl_ResidentData[[#This Row],[S3]]=TRUE,Tbl_ResidentData[[#This Row],[P3]]=TRUE),1,0)</f>
        <v>0</v>
      </c>
      <c r="CR159" s="120">
        <f ca="1">IF(OR(Tbl_ResidentData[[#This Row],[S4]]=TRUE,Tbl_ResidentData[[#This Row],[P4]]=TRUE),1,0)</f>
        <v>0</v>
      </c>
      <c r="CS159" s="120">
        <f ca="1">IF(OR(Tbl_ResidentData[[#This Row],[S5]]=TRUE,Tbl_ResidentData[[#This Row],[P5]]=TRUE),1,0)</f>
        <v>0</v>
      </c>
      <c r="CT159" s="120">
        <f ca="1">IF(OR(Tbl_ResidentData[[#This Row],[S6]]=TRUE,Tbl_ResidentData[[#This Row],[P6]]=TRUE),1,0)</f>
        <v>0</v>
      </c>
      <c r="CU159" s="120">
        <f ca="1">IF(OR(Tbl_ResidentData[[#This Row],[S7]]=TRUE,Tbl_ResidentData[[#This Row],[P7]]=TRUE),1,0)</f>
        <v>0</v>
      </c>
      <c r="CV159" s="120">
        <f ca="1">IF(OR(Tbl_ResidentData[[#This Row],[S8]]=TRUE,Tbl_ResidentData[[#This Row],[P8]]=TRUE),1,0)</f>
        <v>0</v>
      </c>
      <c r="CW159" s="120">
        <f ca="1">IF(OR(Tbl_ResidentData[[#This Row],[S9]]=TRUE,Tbl_ResidentData[[#This Row],[P9]]=TRUE),1,0)</f>
        <v>0</v>
      </c>
      <c r="CX159" s="120">
        <f ca="1">IF(OR(Tbl_ResidentData[[#This Row],[S10]]=TRUE,Tbl_ResidentData[[#This Row],[P10]]=TRUE),1,0)</f>
        <v>0</v>
      </c>
      <c r="CY159" s="120">
        <f ca="1">IF(OR(Tbl_ResidentData[[#This Row],[S11]]=TRUE,Tbl_ResidentData[[#This Row],[P11]]=TRUE),1,0)</f>
        <v>0</v>
      </c>
      <c r="CZ159" s="120">
        <f ca="1">IF(OR(Tbl_ResidentData[[#This Row],[S12]]=TRUE,Tbl_ResidentData[[#This Row],[P12]]=TRUE),1,0)</f>
        <v>0</v>
      </c>
      <c r="DA159" s="120">
        <f ca="1">IF(OR(Tbl_ResidentData[[#This Row],[S13]]=TRUE,Tbl_ResidentData[[#This Row],[P13]]=TRUE),1,0)</f>
        <v>0</v>
      </c>
      <c r="DB159" s="120">
        <f ca="1">IF(OR(Tbl_ResidentData[[#This Row],[S14]]=TRUE,Tbl_ResidentData[[#This Row],[P14]]=TRUE),1,0)</f>
        <v>0</v>
      </c>
      <c r="DC159" s="120">
        <f ca="1">IF(OR(Tbl_ResidentData[[#This Row],[S15]]=TRUE,Tbl_ResidentData[[#This Row],[P15]]=TRUE),1,0)</f>
        <v>0</v>
      </c>
      <c r="DD159" s="120">
        <f ca="1">IF(OR(Tbl_ResidentData[[#This Row],[S16]]=TRUE,Tbl_ResidentData[[#This Row],[P16]]=TRUE),1,0)</f>
        <v>0</v>
      </c>
      <c r="DE159" s="120">
        <f ca="1">IF(OR(Tbl_ResidentData[[#This Row],[S17]]=TRUE,Tbl_ResidentData[[#This Row],[P17]]=TRUE),1,0)</f>
        <v>0</v>
      </c>
      <c r="DF159" s="120">
        <f ca="1">IF(OR(Tbl_ResidentData[[#This Row],[S18]]=TRUE,Tbl_ResidentData[[#This Row],[P18]]=TRUE),1,0)</f>
        <v>0</v>
      </c>
      <c r="DG159" s="120">
        <f ca="1">IF(OR(Tbl_ResidentData[[#This Row],[S19]]=TRUE,Tbl_ResidentData[[#This Row],[P19]]=TRUE),1,0)</f>
        <v>0</v>
      </c>
      <c r="DH159" s="120">
        <f ca="1">IF(OR(Tbl_ResidentData[[#This Row],[S20]]=TRUE,Tbl_ResidentData[[#This Row],[P20]]=TRUE),1,0)</f>
        <v>0</v>
      </c>
      <c r="DI159" s="120">
        <f ca="1">IF(OR(Tbl_ResidentData[[#This Row],[S21]]=TRUE,Tbl_ResidentData[[#This Row],[P21]]=TRUE),1,0)</f>
        <v>0</v>
      </c>
      <c r="DJ159" s="120">
        <f ca="1">IF(OR(Tbl_ResidentData[[#This Row],[S22]]=TRUE,Tbl_ResidentData[[#This Row],[P22]]=TRUE),1,0)</f>
        <v>0</v>
      </c>
      <c r="DK159" s="120">
        <f ca="1">IF(OR(Tbl_ResidentData[[#This Row],[S23]]=TRUE,Tbl_ResidentData[[#This Row],[P23]]=TRUE),1,0)</f>
        <v>0</v>
      </c>
      <c r="DL159" s="120">
        <f ca="1">IF(OR(Tbl_ResidentData[[#This Row],[S24]]=TRUE,Tbl_ResidentData[[#This Row],[P24]]=TRUE),1,0)</f>
        <v>0</v>
      </c>
      <c r="DM159" s="123" t="str">
        <f ca="1">IFERROR(INDEX($CO$4:$DL$4,MATCH(TRUE,INDEX((Tbl_ResidentData[[#This Row],[Over1]:[Over24]]&lt;&gt;0),0),0)),"")</f>
        <v/>
      </c>
      <c r="DN159" s="133" t="str">
        <f>IFERROR(INDEX(Tbl_PDSAData[Last DRT],MATCH(Tbl_ResidentData[Resident Name '[last, first']],Tbl_PDSAData[Resident Name (last, first)],0)),"")</f>
        <v/>
      </c>
      <c r="DO159" s="222" t="str">
        <f>IFERROR(INDEX(Tbl_PDSAData[Last MR],MATCH(Tbl_ResidentData[Resident Name '[last, first']],Tbl_PDSAData[Resident Name (last, first)],0)),"")</f>
        <v/>
      </c>
    </row>
    <row r="160" spans="1:119" x14ac:dyDescent="0.25">
      <c r="A160" s="179"/>
      <c r="B160" s="180"/>
      <c r="C160" s="180"/>
      <c r="D160" s="217"/>
      <c r="E160" s="179"/>
      <c r="F160" s="179"/>
      <c r="G160" s="181"/>
      <c r="H160" s="375"/>
      <c r="I160" s="185"/>
      <c r="J160" s="387"/>
      <c r="K160" s="178"/>
      <c r="L160" s="388"/>
      <c r="M160" s="185"/>
      <c r="N160" s="386"/>
      <c r="O160" s="178"/>
      <c r="P160" s="388"/>
      <c r="Q160" s="394"/>
      <c r="R160" s="388"/>
      <c r="S160" s="131" t="str">
        <f>IF(ISBLANK(Tbl_ResidentData[[#This Row],[Discharge '[mmm-yyyy']]]),IF(ISBLANK(Tbl_ResidentData[[#This Row],[Enrollment '[mmm-yyyy']]]),"","In Care Home"),"Discharged")</f>
        <v/>
      </c>
      <c r="T160" s="119" t="str">
        <f>IF(ISBLANK(Tbl_ResidentData[[#This Row],[Diagnosis (RAI)]]),IF(ISBLANK(Tbl_ResidentData[[#This Row],[Resident Name '[last, first']]]),"",0),IF(Tbl_ResidentData[[#This Row],[Diagnosis (RAI)]]="Other (see clinical notes)",0,1))</f>
        <v/>
      </c>
      <c r="U160" s="120" t="str">
        <f ca="1">IF(U$4&gt;NOW(),"-",IF(ISBLANK(Tbl_ResidentData[[#This Row],[Enrollment '[mmm-yyyy']]]),"-",AND((Tbl_ResidentData[[#This Row],[Enrollment '[mmm-yyyy']]]&lt;=U$4),IF(ISBLANK(Tbl_ResidentData[[#This Row],[Discharge '[mmm-yyyy']]]),TRUE,(Tbl_ResidentData[[#This Row],[Discharge '[mmm-yyyy']]]&gt;=U$4)))))</f>
        <v>-</v>
      </c>
      <c r="V160" s="121" t="str">
        <f ca="1">IF(V$4&gt;NOW(),"-",IF(ISBLANK(Tbl_ResidentData[[#This Row],[Enrollment '[mmm-yyyy']]]),"-",AND((Tbl_ResidentData[[#This Row],[Enrollment '[mmm-yyyy']]]&lt;=V$4),IF(ISBLANK(Tbl_ResidentData[[#This Row],[Discharge '[mmm-yyyy']]]),TRUE,(Tbl_ResidentData[[#This Row],[Discharge '[mmm-yyyy']]]&gt;=V$4)))))</f>
        <v>-</v>
      </c>
      <c r="W160" s="121" t="str">
        <f ca="1">IF(W$4&gt;NOW(),"-",IF(ISBLANK(Tbl_ResidentData[[#This Row],[Enrollment '[mmm-yyyy']]]),"-",AND((Tbl_ResidentData[[#This Row],[Enrollment '[mmm-yyyy']]]&lt;=W$4),IF(ISBLANK(Tbl_ResidentData[[#This Row],[Discharge '[mmm-yyyy']]]),TRUE,(Tbl_ResidentData[[#This Row],[Discharge '[mmm-yyyy']]]&gt;=W$4)))))</f>
        <v>-</v>
      </c>
      <c r="X160" s="121" t="str">
        <f ca="1">IF(X$4&gt;NOW(),"-",IF(ISBLANK(Tbl_ResidentData[[#This Row],[Enrollment '[mmm-yyyy']]]),"-",AND((Tbl_ResidentData[[#This Row],[Enrollment '[mmm-yyyy']]]&lt;=X$4),IF(ISBLANK(Tbl_ResidentData[[#This Row],[Discharge '[mmm-yyyy']]]),TRUE,(Tbl_ResidentData[[#This Row],[Discharge '[mmm-yyyy']]]&gt;=X$4)))))</f>
        <v>-</v>
      </c>
      <c r="Y160" s="121" t="str">
        <f ca="1">IF(Y$4&gt;NOW(),"-",IF(ISBLANK(Tbl_ResidentData[[#This Row],[Enrollment '[mmm-yyyy']]]),"-",AND((Tbl_ResidentData[[#This Row],[Enrollment '[mmm-yyyy']]]&lt;=Y$4),IF(ISBLANK(Tbl_ResidentData[[#This Row],[Discharge '[mmm-yyyy']]]),TRUE,(Tbl_ResidentData[[#This Row],[Discharge '[mmm-yyyy']]]&gt;=Y$4)))))</f>
        <v>-</v>
      </c>
      <c r="Z160" s="121" t="str">
        <f ca="1">IF(Z$4&gt;NOW(),"-",IF(ISBLANK(Tbl_ResidentData[[#This Row],[Enrollment '[mmm-yyyy']]]),"-",AND((Tbl_ResidentData[[#This Row],[Enrollment '[mmm-yyyy']]]&lt;=Z$4),IF(ISBLANK(Tbl_ResidentData[[#This Row],[Discharge '[mmm-yyyy']]]),TRUE,(Tbl_ResidentData[[#This Row],[Discharge '[mmm-yyyy']]]&gt;=Z$4)))))</f>
        <v>-</v>
      </c>
      <c r="AA160" s="121" t="str">
        <f ca="1">IF(AA$4&gt;NOW(),"-",IF(ISBLANK(Tbl_ResidentData[[#This Row],[Enrollment '[mmm-yyyy']]]),"-",AND((Tbl_ResidentData[[#This Row],[Enrollment '[mmm-yyyy']]]&lt;=AA$4),IF(ISBLANK(Tbl_ResidentData[[#This Row],[Discharge '[mmm-yyyy']]]),TRUE,(Tbl_ResidentData[[#This Row],[Discharge '[mmm-yyyy']]]&gt;=AA$4)))))</f>
        <v>-</v>
      </c>
      <c r="AB160" s="121" t="str">
        <f ca="1">IF(AB$4&gt;NOW(),"-",IF(ISBLANK(Tbl_ResidentData[[#This Row],[Enrollment '[mmm-yyyy']]]),"-",AND((Tbl_ResidentData[[#This Row],[Enrollment '[mmm-yyyy']]]&lt;=AB$4),IF(ISBLANK(Tbl_ResidentData[[#This Row],[Discharge '[mmm-yyyy']]]),TRUE,(Tbl_ResidentData[[#This Row],[Discharge '[mmm-yyyy']]]&gt;=AB$4)))))</f>
        <v>-</v>
      </c>
      <c r="AC160" s="121" t="str">
        <f ca="1">IF(AC$4&gt;NOW(),"-",IF(ISBLANK(Tbl_ResidentData[[#This Row],[Enrollment '[mmm-yyyy']]]),"-",AND((Tbl_ResidentData[[#This Row],[Enrollment '[mmm-yyyy']]]&lt;=AC$4),IF(ISBLANK(Tbl_ResidentData[[#This Row],[Discharge '[mmm-yyyy']]]),TRUE,(Tbl_ResidentData[[#This Row],[Discharge '[mmm-yyyy']]]&gt;=AC$4)))))</f>
        <v>-</v>
      </c>
      <c r="AD160" s="121" t="str">
        <f ca="1">IF(AD$4&gt;NOW(),"-",IF(ISBLANK(Tbl_ResidentData[[#This Row],[Enrollment '[mmm-yyyy']]]),"-",AND((Tbl_ResidentData[[#This Row],[Enrollment '[mmm-yyyy']]]&lt;=AD$4),IF(ISBLANK(Tbl_ResidentData[[#This Row],[Discharge '[mmm-yyyy']]]),TRUE,(Tbl_ResidentData[[#This Row],[Discharge '[mmm-yyyy']]]&gt;=AD$4)))))</f>
        <v>-</v>
      </c>
      <c r="AE160" s="121" t="str">
        <f ca="1">IF(AE$4&gt;NOW(),"-",IF(ISBLANK(Tbl_ResidentData[[#This Row],[Enrollment '[mmm-yyyy']]]),"-",AND((Tbl_ResidentData[[#This Row],[Enrollment '[mmm-yyyy']]]&lt;=AE$4),IF(ISBLANK(Tbl_ResidentData[[#This Row],[Discharge '[mmm-yyyy']]]),TRUE,(Tbl_ResidentData[[#This Row],[Discharge '[mmm-yyyy']]]&gt;=AE$4)))))</f>
        <v>-</v>
      </c>
      <c r="AF160" s="121" t="str">
        <f ca="1">IF(AF$4&gt;NOW(),"-",IF(ISBLANK(Tbl_ResidentData[[#This Row],[Enrollment '[mmm-yyyy']]]),"-",AND((Tbl_ResidentData[[#This Row],[Enrollment '[mmm-yyyy']]]&lt;=AF$4),IF(ISBLANK(Tbl_ResidentData[[#This Row],[Discharge '[mmm-yyyy']]]),TRUE,(Tbl_ResidentData[[#This Row],[Discharge '[mmm-yyyy']]]&gt;=AF$4)))))</f>
        <v>-</v>
      </c>
      <c r="AG160" s="121" t="str">
        <f ca="1">IF(AG$4&gt;NOW(),"-",IF(ISBLANK(Tbl_ResidentData[[#This Row],[Enrollment '[mmm-yyyy']]]),"-",AND((Tbl_ResidentData[[#This Row],[Enrollment '[mmm-yyyy']]]&lt;=AG$4),IF(ISBLANK(Tbl_ResidentData[[#This Row],[Discharge '[mmm-yyyy']]]),TRUE,(Tbl_ResidentData[[#This Row],[Discharge '[mmm-yyyy']]]&gt;=AG$4)))))</f>
        <v>-</v>
      </c>
      <c r="AH160" s="121" t="str">
        <f ca="1">IF(AH$4&gt;NOW(),"-",IF(ISBLANK(Tbl_ResidentData[[#This Row],[Enrollment '[mmm-yyyy']]]),"-",AND((Tbl_ResidentData[[#This Row],[Enrollment '[mmm-yyyy']]]&lt;=AH$4),IF(ISBLANK(Tbl_ResidentData[[#This Row],[Discharge '[mmm-yyyy']]]),TRUE,(Tbl_ResidentData[[#This Row],[Discharge '[mmm-yyyy']]]&gt;=AH$4)))))</f>
        <v>-</v>
      </c>
      <c r="AI160" s="121" t="str">
        <f ca="1">IF(AI$4&gt;NOW(),"-",IF(ISBLANK(Tbl_ResidentData[[#This Row],[Enrollment '[mmm-yyyy']]]),"-",AND((Tbl_ResidentData[[#This Row],[Enrollment '[mmm-yyyy']]]&lt;=AI$4),IF(ISBLANK(Tbl_ResidentData[[#This Row],[Discharge '[mmm-yyyy']]]),TRUE,(Tbl_ResidentData[[#This Row],[Discharge '[mmm-yyyy']]]&gt;=AI$4)))))</f>
        <v>-</v>
      </c>
      <c r="AJ160" s="121" t="str">
        <f ca="1">IF(AJ$4&gt;NOW(),"-",IF(ISBLANK(Tbl_ResidentData[[#This Row],[Enrollment '[mmm-yyyy']]]),"-",AND((Tbl_ResidentData[[#This Row],[Enrollment '[mmm-yyyy']]]&lt;=AJ$4),IF(ISBLANK(Tbl_ResidentData[[#This Row],[Discharge '[mmm-yyyy']]]),TRUE,(Tbl_ResidentData[[#This Row],[Discharge '[mmm-yyyy']]]&gt;=AJ$4)))))</f>
        <v>-</v>
      </c>
      <c r="AK160" s="121" t="str">
        <f ca="1">IF(AK$4&gt;NOW(),"-",IF(ISBLANK(Tbl_ResidentData[[#This Row],[Enrollment '[mmm-yyyy']]]),"-",AND((Tbl_ResidentData[[#This Row],[Enrollment '[mmm-yyyy']]]&lt;=AK$4),IF(ISBLANK(Tbl_ResidentData[[#This Row],[Discharge '[mmm-yyyy']]]),TRUE,(Tbl_ResidentData[[#This Row],[Discharge '[mmm-yyyy']]]&gt;=AK$4)))))</f>
        <v>-</v>
      </c>
      <c r="AL160" s="121" t="str">
        <f ca="1">IF(AL$4&gt;NOW(),"-",IF(ISBLANK(Tbl_ResidentData[[#This Row],[Enrollment '[mmm-yyyy']]]),"-",AND((Tbl_ResidentData[[#This Row],[Enrollment '[mmm-yyyy']]]&lt;=AL$4),IF(ISBLANK(Tbl_ResidentData[[#This Row],[Discharge '[mmm-yyyy']]]),TRUE,(Tbl_ResidentData[[#This Row],[Discharge '[mmm-yyyy']]]&gt;=AL$4)))))</f>
        <v>-</v>
      </c>
      <c r="AM160" s="121" t="str">
        <f ca="1">IF(AM$4&gt;NOW(),"-",IF(ISBLANK(Tbl_ResidentData[[#This Row],[Enrollment '[mmm-yyyy']]]),"-",AND((Tbl_ResidentData[[#This Row],[Enrollment '[mmm-yyyy']]]&lt;=AM$4),IF(ISBLANK(Tbl_ResidentData[[#This Row],[Discharge '[mmm-yyyy']]]),TRUE,(Tbl_ResidentData[[#This Row],[Discharge '[mmm-yyyy']]]&gt;=AM$4)))))</f>
        <v>-</v>
      </c>
      <c r="AN160" s="121" t="str">
        <f ca="1">IF(AN$4&gt;NOW(),"-",IF(ISBLANK(Tbl_ResidentData[[#This Row],[Enrollment '[mmm-yyyy']]]),"-",AND((Tbl_ResidentData[[#This Row],[Enrollment '[mmm-yyyy']]]&lt;=AN$4),IF(ISBLANK(Tbl_ResidentData[[#This Row],[Discharge '[mmm-yyyy']]]),TRUE,(Tbl_ResidentData[[#This Row],[Discharge '[mmm-yyyy']]]&gt;=AN$4)))))</f>
        <v>-</v>
      </c>
      <c r="AO160" s="121" t="str">
        <f ca="1">IF(AO$4&gt;NOW(),"-",IF(ISBLANK(Tbl_ResidentData[[#This Row],[Enrollment '[mmm-yyyy']]]),"-",AND((Tbl_ResidentData[[#This Row],[Enrollment '[mmm-yyyy']]]&lt;=AO$4),IF(ISBLANK(Tbl_ResidentData[[#This Row],[Discharge '[mmm-yyyy']]]),TRUE,(Tbl_ResidentData[[#This Row],[Discharge '[mmm-yyyy']]]&gt;=AO$4)))))</f>
        <v>-</v>
      </c>
      <c r="AP160" s="121" t="str">
        <f ca="1">IF(AP$4&gt;NOW(),"-",IF(ISBLANK(Tbl_ResidentData[[#This Row],[Enrollment '[mmm-yyyy']]]),"-",AND((Tbl_ResidentData[[#This Row],[Enrollment '[mmm-yyyy']]]&lt;=AP$4),IF(ISBLANK(Tbl_ResidentData[[#This Row],[Discharge '[mmm-yyyy']]]),TRUE,(Tbl_ResidentData[[#This Row],[Discharge '[mmm-yyyy']]]&gt;=AP$4)))))</f>
        <v>-</v>
      </c>
      <c r="AQ160" s="121" t="str">
        <f ca="1">IF(AQ$4&gt;NOW(),"-",IF(ISBLANK(Tbl_ResidentData[[#This Row],[Enrollment '[mmm-yyyy']]]),"-",AND((Tbl_ResidentData[[#This Row],[Enrollment '[mmm-yyyy']]]&lt;=AQ$4),IF(ISBLANK(Tbl_ResidentData[[#This Row],[Discharge '[mmm-yyyy']]]),TRUE,(Tbl_ResidentData[[#This Row],[Discharge '[mmm-yyyy']]]&gt;=AQ$4)))))</f>
        <v>-</v>
      </c>
      <c r="AR160" s="122" t="str">
        <f ca="1">IF(AR$4&gt;NOW(),"-",IF(ISBLANK(Tbl_ResidentData[[#This Row],[Enrollment '[mmm-yyyy']]]),"-",AND((Tbl_ResidentData[[#This Row],[Enrollment '[mmm-yyyy']]]&lt;=AR$4),IF(ISBLANK(Tbl_ResidentData[[#This Row],[Discharge '[mmm-yyyy']]]),TRUE,(Tbl_ResidentData[[#This Row],[Discharge '[mmm-yyyy']]]&gt;=AR$4)))))</f>
        <v>-</v>
      </c>
      <c r="AS16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0" s="120" t="b">
        <f ca="1">AND(Tbl_ResidentData[[#This Row],[PRN Med Started]]&lt;&gt;"",Tbl_ResidentData[[#This Row],[PRN Med Started]]&lt;=NOW(),Tbl_ResidentData[[#This Row],[PRN Med Started]]&lt;=AS$4,OR(Tbl_ResidentData[[#This Row],[PRN Med Discontinued]]&gt;AS$4,ISBLANK(Tbl_ResidentData[[#This Row],[PRN Med Discontinued]])))</f>
        <v>0</v>
      </c>
      <c r="BR160" s="121" t="b">
        <f ca="1">AND(Tbl_ResidentData[[#This Row],[PRN Med Started]]&lt;&gt;"",Tbl_ResidentData[[#This Row],[PRN Med Started]]&lt;=NOW(),Tbl_ResidentData[[#This Row],[PRN Med Started]]&lt;=AT$4,OR(Tbl_ResidentData[[#This Row],[PRN Med Discontinued]]&gt;AT$4,ISBLANK(Tbl_ResidentData[[#This Row],[PRN Med Discontinued]])))</f>
        <v>0</v>
      </c>
      <c r="BS160" s="121" t="b">
        <f ca="1">AND(Tbl_ResidentData[[#This Row],[PRN Med Started]]&lt;&gt;"",Tbl_ResidentData[[#This Row],[PRN Med Started]]&lt;=NOW(),Tbl_ResidentData[[#This Row],[PRN Med Started]]&lt;=AU$4,OR(Tbl_ResidentData[[#This Row],[PRN Med Discontinued]]&gt;AU$4,ISBLANK(Tbl_ResidentData[[#This Row],[PRN Med Discontinued]])))</f>
        <v>0</v>
      </c>
      <c r="BT160" s="121" t="b">
        <f ca="1">AND(Tbl_ResidentData[[#This Row],[PRN Med Started]]&lt;&gt;"",Tbl_ResidentData[[#This Row],[PRN Med Started]]&lt;=NOW(),Tbl_ResidentData[[#This Row],[PRN Med Started]]&lt;=AV$4,OR(Tbl_ResidentData[[#This Row],[PRN Med Discontinued]]&gt;AV$4,ISBLANK(Tbl_ResidentData[[#This Row],[PRN Med Discontinued]])))</f>
        <v>0</v>
      </c>
      <c r="BU160" s="121" t="b">
        <f ca="1">AND(Tbl_ResidentData[[#This Row],[PRN Med Started]]&lt;&gt;"",Tbl_ResidentData[[#This Row],[PRN Med Started]]&lt;=NOW(),Tbl_ResidentData[[#This Row],[PRN Med Started]]&lt;=AW$4,OR(Tbl_ResidentData[[#This Row],[PRN Med Discontinued]]&gt;AW$4,ISBLANK(Tbl_ResidentData[[#This Row],[PRN Med Discontinued]])))</f>
        <v>0</v>
      </c>
      <c r="BV160" s="121" t="b">
        <f ca="1">AND(Tbl_ResidentData[[#This Row],[PRN Med Started]]&lt;&gt;"",Tbl_ResidentData[[#This Row],[PRN Med Started]]&lt;=NOW(),Tbl_ResidentData[[#This Row],[PRN Med Started]]&lt;=AX$4,OR(Tbl_ResidentData[[#This Row],[PRN Med Discontinued]]&gt;AX$4,ISBLANK(Tbl_ResidentData[[#This Row],[PRN Med Discontinued]])))</f>
        <v>0</v>
      </c>
      <c r="BW160" s="121" t="b">
        <f ca="1">AND(Tbl_ResidentData[[#This Row],[PRN Med Started]]&lt;&gt;"",Tbl_ResidentData[[#This Row],[PRN Med Started]]&lt;=NOW(),Tbl_ResidentData[[#This Row],[PRN Med Started]]&lt;=AY$4,OR(Tbl_ResidentData[[#This Row],[PRN Med Discontinued]]&gt;AY$4,ISBLANK(Tbl_ResidentData[[#This Row],[PRN Med Discontinued]])))</f>
        <v>0</v>
      </c>
      <c r="BX160" s="121" t="b">
        <f ca="1">AND(Tbl_ResidentData[[#This Row],[PRN Med Started]]&lt;&gt;"",Tbl_ResidentData[[#This Row],[PRN Med Started]]&lt;=NOW(),Tbl_ResidentData[[#This Row],[PRN Med Started]]&lt;=AZ$4,OR(Tbl_ResidentData[[#This Row],[PRN Med Discontinued]]&gt;AZ$4,ISBLANK(Tbl_ResidentData[[#This Row],[PRN Med Discontinued]])))</f>
        <v>0</v>
      </c>
      <c r="BY160" s="121" t="b">
        <f ca="1">AND(Tbl_ResidentData[[#This Row],[PRN Med Started]]&lt;&gt;"",Tbl_ResidentData[[#This Row],[PRN Med Started]]&lt;=NOW(),Tbl_ResidentData[[#This Row],[PRN Med Started]]&lt;=BA$4,OR(Tbl_ResidentData[[#This Row],[PRN Med Discontinued]]&gt;BA$4,ISBLANK(Tbl_ResidentData[[#This Row],[PRN Med Discontinued]])))</f>
        <v>0</v>
      </c>
      <c r="BZ160" s="121" t="b">
        <f ca="1">AND(Tbl_ResidentData[[#This Row],[PRN Med Started]]&lt;&gt;"",Tbl_ResidentData[[#This Row],[PRN Med Started]]&lt;=NOW(),Tbl_ResidentData[[#This Row],[PRN Med Started]]&lt;=BB$4,OR(Tbl_ResidentData[[#This Row],[PRN Med Discontinued]]&gt;BB$4,ISBLANK(Tbl_ResidentData[[#This Row],[PRN Med Discontinued]])))</f>
        <v>0</v>
      </c>
      <c r="CA160" s="121" t="b">
        <f ca="1">AND(Tbl_ResidentData[[#This Row],[PRN Med Started]]&lt;&gt;"",Tbl_ResidentData[[#This Row],[PRN Med Started]]&lt;=NOW(),Tbl_ResidentData[[#This Row],[PRN Med Started]]&lt;=BC$4,OR(Tbl_ResidentData[[#This Row],[PRN Med Discontinued]]&gt;BC$4,ISBLANK(Tbl_ResidentData[[#This Row],[PRN Med Discontinued]])))</f>
        <v>0</v>
      </c>
      <c r="CB160" s="121" t="b">
        <f ca="1">AND(Tbl_ResidentData[[#This Row],[PRN Med Started]]&lt;&gt;"",Tbl_ResidentData[[#This Row],[PRN Med Started]]&lt;=NOW(),Tbl_ResidentData[[#This Row],[PRN Med Started]]&lt;=BD$4,OR(Tbl_ResidentData[[#This Row],[PRN Med Discontinued]]&gt;BD$4,ISBLANK(Tbl_ResidentData[[#This Row],[PRN Med Discontinued]])))</f>
        <v>0</v>
      </c>
      <c r="CC160" s="121" t="b">
        <f ca="1">AND(Tbl_ResidentData[[#This Row],[PRN Med Started]]&lt;&gt;"",Tbl_ResidentData[[#This Row],[PRN Med Started]]&lt;=NOW(),Tbl_ResidentData[[#This Row],[PRN Med Started]]&lt;=BE$4,OR(Tbl_ResidentData[[#This Row],[PRN Med Discontinued]]&gt;BE$4,ISBLANK(Tbl_ResidentData[[#This Row],[PRN Med Discontinued]])))</f>
        <v>0</v>
      </c>
      <c r="CD160" s="121" t="b">
        <f ca="1">AND(Tbl_ResidentData[[#This Row],[PRN Med Started]]&lt;&gt;"",Tbl_ResidentData[[#This Row],[PRN Med Started]]&lt;=NOW(),Tbl_ResidentData[[#This Row],[PRN Med Started]]&lt;=BF$4,OR(Tbl_ResidentData[[#This Row],[PRN Med Discontinued]]&gt;BF$4,ISBLANK(Tbl_ResidentData[[#This Row],[PRN Med Discontinued]])))</f>
        <v>0</v>
      </c>
      <c r="CE160" s="121" t="b">
        <f ca="1">AND(Tbl_ResidentData[[#This Row],[PRN Med Started]]&lt;&gt;"",Tbl_ResidentData[[#This Row],[PRN Med Started]]&lt;=NOW(),Tbl_ResidentData[[#This Row],[PRN Med Started]]&lt;=BG$4,OR(Tbl_ResidentData[[#This Row],[PRN Med Discontinued]]&gt;BG$4,ISBLANK(Tbl_ResidentData[[#This Row],[PRN Med Discontinued]])))</f>
        <v>0</v>
      </c>
      <c r="CF160" s="121" t="b">
        <f ca="1">AND(Tbl_ResidentData[[#This Row],[PRN Med Started]]&lt;&gt;"",Tbl_ResidentData[[#This Row],[PRN Med Started]]&lt;=NOW(),Tbl_ResidentData[[#This Row],[PRN Med Started]]&lt;=BH$4,OR(Tbl_ResidentData[[#This Row],[PRN Med Discontinued]]&gt;BH$4,ISBLANK(Tbl_ResidentData[[#This Row],[PRN Med Discontinued]])))</f>
        <v>0</v>
      </c>
      <c r="CG160" s="121" t="b">
        <f ca="1">AND(Tbl_ResidentData[[#This Row],[PRN Med Started]]&lt;&gt;"",Tbl_ResidentData[[#This Row],[PRN Med Started]]&lt;=NOW(),Tbl_ResidentData[[#This Row],[PRN Med Started]]&lt;=BI$4,OR(Tbl_ResidentData[[#This Row],[PRN Med Discontinued]]&gt;BI$4,ISBLANK(Tbl_ResidentData[[#This Row],[PRN Med Discontinued]])))</f>
        <v>0</v>
      </c>
      <c r="CH160" s="121" t="b">
        <f ca="1">AND(Tbl_ResidentData[[#This Row],[PRN Med Started]]&lt;&gt;"",Tbl_ResidentData[[#This Row],[PRN Med Started]]&lt;=NOW(),Tbl_ResidentData[[#This Row],[PRN Med Started]]&lt;=BJ$4,OR(Tbl_ResidentData[[#This Row],[PRN Med Discontinued]]&gt;BJ$4,ISBLANK(Tbl_ResidentData[[#This Row],[PRN Med Discontinued]])))</f>
        <v>0</v>
      </c>
      <c r="CI160" s="121" t="b">
        <f ca="1">AND(Tbl_ResidentData[[#This Row],[PRN Med Started]]&lt;&gt;"",Tbl_ResidentData[[#This Row],[PRN Med Started]]&lt;=NOW(),Tbl_ResidentData[[#This Row],[PRN Med Started]]&lt;=BK$4,OR(Tbl_ResidentData[[#This Row],[PRN Med Discontinued]]&gt;BK$4,ISBLANK(Tbl_ResidentData[[#This Row],[PRN Med Discontinued]])))</f>
        <v>0</v>
      </c>
      <c r="CJ160" s="121" t="b">
        <f ca="1">AND(Tbl_ResidentData[[#This Row],[PRN Med Started]]&lt;&gt;"",Tbl_ResidentData[[#This Row],[PRN Med Started]]&lt;=NOW(),Tbl_ResidentData[[#This Row],[PRN Med Started]]&lt;=BL$4,OR(Tbl_ResidentData[[#This Row],[PRN Med Discontinued]]&gt;BL$4,ISBLANK(Tbl_ResidentData[[#This Row],[PRN Med Discontinued]])))</f>
        <v>0</v>
      </c>
      <c r="CK160" s="121" t="b">
        <f ca="1">AND(Tbl_ResidentData[[#This Row],[PRN Med Started]]&lt;&gt;"",Tbl_ResidentData[[#This Row],[PRN Med Started]]&lt;=NOW(),Tbl_ResidentData[[#This Row],[PRN Med Started]]&lt;=BM$4,OR(Tbl_ResidentData[[#This Row],[PRN Med Discontinued]]&gt;BM$4,ISBLANK(Tbl_ResidentData[[#This Row],[PRN Med Discontinued]])))</f>
        <v>0</v>
      </c>
      <c r="CL160" s="121" t="b">
        <f ca="1">AND(Tbl_ResidentData[[#This Row],[PRN Med Started]]&lt;&gt;"",Tbl_ResidentData[[#This Row],[PRN Med Started]]&lt;=NOW(),Tbl_ResidentData[[#This Row],[PRN Med Started]]&lt;=BN$4,OR(Tbl_ResidentData[[#This Row],[PRN Med Discontinued]]&gt;BN$4,ISBLANK(Tbl_ResidentData[[#This Row],[PRN Med Discontinued]])))</f>
        <v>0</v>
      </c>
      <c r="CM160" s="121" t="b">
        <f ca="1">AND(Tbl_ResidentData[[#This Row],[PRN Med Started]]&lt;&gt;"",Tbl_ResidentData[[#This Row],[PRN Med Started]]&lt;=NOW(),Tbl_ResidentData[[#This Row],[PRN Med Started]]&lt;=BO$4,OR(Tbl_ResidentData[[#This Row],[PRN Med Discontinued]]&gt;BO$4,ISBLANK(Tbl_ResidentData[[#This Row],[PRN Med Discontinued]])))</f>
        <v>0</v>
      </c>
      <c r="CN160" s="122" t="b">
        <f ca="1">AND(Tbl_ResidentData[[#This Row],[PRN Med Started]]&lt;&gt;"",Tbl_ResidentData[[#This Row],[PRN Med Started]]&lt;=NOW(),Tbl_ResidentData[[#This Row],[PRN Med Started]]&lt;=BP$4,OR(Tbl_ResidentData[[#This Row],[PRN Med Discontinued]]&gt;BP$4,ISBLANK(Tbl_ResidentData[[#This Row],[PRN Med Discontinued]])))</f>
        <v>0</v>
      </c>
      <c r="CO160" s="120">
        <f ca="1">IF(OR(Tbl_ResidentData[[#This Row],[S1]]=TRUE,Tbl_ResidentData[[#This Row],[P1]]=TRUE),1,0)</f>
        <v>0</v>
      </c>
      <c r="CP160" s="121">
        <f ca="1">IF(OR(Tbl_ResidentData[[#This Row],[S2]]=TRUE,Tbl_ResidentData[[#This Row],[P2]]=TRUE),1,0)</f>
        <v>0</v>
      </c>
      <c r="CQ160" s="121">
        <f ca="1">IF(OR(Tbl_ResidentData[[#This Row],[S3]]=TRUE,Tbl_ResidentData[[#This Row],[P3]]=TRUE),1,0)</f>
        <v>0</v>
      </c>
      <c r="CR160" s="120">
        <f ca="1">IF(OR(Tbl_ResidentData[[#This Row],[S4]]=TRUE,Tbl_ResidentData[[#This Row],[P4]]=TRUE),1,0)</f>
        <v>0</v>
      </c>
      <c r="CS160" s="120">
        <f ca="1">IF(OR(Tbl_ResidentData[[#This Row],[S5]]=TRUE,Tbl_ResidentData[[#This Row],[P5]]=TRUE),1,0)</f>
        <v>0</v>
      </c>
      <c r="CT160" s="120">
        <f ca="1">IF(OR(Tbl_ResidentData[[#This Row],[S6]]=TRUE,Tbl_ResidentData[[#This Row],[P6]]=TRUE),1,0)</f>
        <v>0</v>
      </c>
      <c r="CU160" s="120">
        <f ca="1">IF(OR(Tbl_ResidentData[[#This Row],[S7]]=TRUE,Tbl_ResidentData[[#This Row],[P7]]=TRUE),1,0)</f>
        <v>0</v>
      </c>
      <c r="CV160" s="120">
        <f ca="1">IF(OR(Tbl_ResidentData[[#This Row],[S8]]=TRUE,Tbl_ResidentData[[#This Row],[P8]]=TRUE),1,0)</f>
        <v>0</v>
      </c>
      <c r="CW160" s="120">
        <f ca="1">IF(OR(Tbl_ResidentData[[#This Row],[S9]]=TRUE,Tbl_ResidentData[[#This Row],[P9]]=TRUE),1,0)</f>
        <v>0</v>
      </c>
      <c r="CX160" s="120">
        <f ca="1">IF(OR(Tbl_ResidentData[[#This Row],[S10]]=TRUE,Tbl_ResidentData[[#This Row],[P10]]=TRUE),1,0)</f>
        <v>0</v>
      </c>
      <c r="CY160" s="120">
        <f ca="1">IF(OR(Tbl_ResidentData[[#This Row],[S11]]=TRUE,Tbl_ResidentData[[#This Row],[P11]]=TRUE),1,0)</f>
        <v>0</v>
      </c>
      <c r="CZ160" s="120">
        <f ca="1">IF(OR(Tbl_ResidentData[[#This Row],[S12]]=TRUE,Tbl_ResidentData[[#This Row],[P12]]=TRUE),1,0)</f>
        <v>0</v>
      </c>
      <c r="DA160" s="120">
        <f ca="1">IF(OR(Tbl_ResidentData[[#This Row],[S13]]=TRUE,Tbl_ResidentData[[#This Row],[P13]]=TRUE),1,0)</f>
        <v>0</v>
      </c>
      <c r="DB160" s="120">
        <f ca="1">IF(OR(Tbl_ResidentData[[#This Row],[S14]]=TRUE,Tbl_ResidentData[[#This Row],[P14]]=TRUE),1,0)</f>
        <v>0</v>
      </c>
      <c r="DC160" s="120">
        <f ca="1">IF(OR(Tbl_ResidentData[[#This Row],[S15]]=TRUE,Tbl_ResidentData[[#This Row],[P15]]=TRUE),1,0)</f>
        <v>0</v>
      </c>
      <c r="DD160" s="120">
        <f ca="1">IF(OR(Tbl_ResidentData[[#This Row],[S16]]=TRUE,Tbl_ResidentData[[#This Row],[P16]]=TRUE),1,0)</f>
        <v>0</v>
      </c>
      <c r="DE160" s="120">
        <f ca="1">IF(OR(Tbl_ResidentData[[#This Row],[S17]]=TRUE,Tbl_ResidentData[[#This Row],[P17]]=TRUE),1,0)</f>
        <v>0</v>
      </c>
      <c r="DF160" s="120">
        <f ca="1">IF(OR(Tbl_ResidentData[[#This Row],[S18]]=TRUE,Tbl_ResidentData[[#This Row],[P18]]=TRUE),1,0)</f>
        <v>0</v>
      </c>
      <c r="DG160" s="120">
        <f ca="1">IF(OR(Tbl_ResidentData[[#This Row],[S19]]=TRUE,Tbl_ResidentData[[#This Row],[P19]]=TRUE),1,0)</f>
        <v>0</v>
      </c>
      <c r="DH160" s="120">
        <f ca="1">IF(OR(Tbl_ResidentData[[#This Row],[S20]]=TRUE,Tbl_ResidentData[[#This Row],[P20]]=TRUE),1,0)</f>
        <v>0</v>
      </c>
      <c r="DI160" s="120">
        <f ca="1">IF(OR(Tbl_ResidentData[[#This Row],[S21]]=TRUE,Tbl_ResidentData[[#This Row],[P21]]=TRUE),1,0)</f>
        <v>0</v>
      </c>
      <c r="DJ160" s="120">
        <f ca="1">IF(OR(Tbl_ResidentData[[#This Row],[S22]]=TRUE,Tbl_ResidentData[[#This Row],[P22]]=TRUE),1,0)</f>
        <v>0</v>
      </c>
      <c r="DK160" s="120">
        <f ca="1">IF(OR(Tbl_ResidentData[[#This Row],[S23]]=TRUE,Tbl_ResidentData[[#This Row],[P23]]=TRUE),1,0)</f>
        <v>0</v>
      </c>
      <c r="DL160" s="120">
        <f ca="1">IF(OR(Tbl_ResidentData[[#This Row],[S24]]=TRUE,Tbl_ResidentData[[#This Row],[P24]]=TRUE),1,0)</f>
        <v>0</v>
      </c>
      <c r="DM160" s="123" t="str">
        <f ca="1">IFERROR(INDEX($CO$4:$DL$4,MATCH(TRUE,INDEX((Tbl_ResidentData[[#This Row],[Over1]:[Over24]]&lt;&gt;0),0),0)),"")</f>
        <v/>
      </c>
      <c r="DN160" s="133" t="str">
        <f>IFERROR(INDEX(Tbl_PDSAData[Last DRT],MATCH(Tbl_ResidentData[Resident Name '[last, first']],Tbl_PDSAData[Resident Name (last, first)],0)),"")</f>
        <v/>
      </c>
      <c r="DO160" s="222" t="str">
        <f>IFERROR(INDEX(Tbl_PDSAData[Last MR],MATCH(Tbl_ResidentData[Resident Name '[last, first']],Tbl_PDSAData[Resident Name (last, first)],0)),"")</f>
        <v/>
      </c>
    </row>
    <row r="161" spans="1:119" x14ac:dyDescent="0.25">
      <c r="A161" s="179"/>
      <c r="B161" s="180"/>
      <c r="C161" s="180"/>
      <c r="D161" s="218"/>
      <c r="E161" s="179"/>
      <c r="F161" s="179"/>
      <c r="G161" s="181"/>
      <c r="H161" s="375"/>
      <c r="I161" s="185"/>
      <c r="J161" s="387"/>
      <c r="K161" s="178"/>
      <c r="L161" s="388"/>
      <c r="M161" s="185"/>
      <c r="N161" s="386"/>
      <c r="O161" s="178"/>
      <c r="P161" s="388"/>
      <c r="Q161" s="395"/>
      <c r="R161" s="396"/>
      <c r="S161" s="131" t="str">
        <f>IF(ISBLANK(Tbl_ResidentData[[#This Row],[Discharge '[mmm-yyyy']]]),IF(ISBLANK(Tbl_ResidentData[[#This Row],[Enrollment '[mmm-yyyy']]]),"","In Care Home"),"Discharged")</f>
        <v/>
      </c>
      <c r="T161" s="119" t="str">
        <f>IF(ISBLANK(Tbl_ResidentData[[#This Row],[Diagnosis (RAI)]]),IF(ISBLANK(Tbl_ResidentData[[#This Row],[Resident Name '[last, first']]]),"",0),IF(Tbl_ResidentData[[#This Row],[Diagnosis (RAI)]]="Other (see clinical notes)",0,1))</f>
        <v/>
      </c>
      <c r="U161" s="120" t="str">
        <f ca="1">IF(U$4&gt;NOW(),"-",IF(ISBLANK(Tbl_ResidentData[[#This Row],[Enrollment '[mmm-yyyy']]]),"-",AND((Tbl_ResidentData[[#This Row],[Enrollment '[mmm-yyyy']]]&lt;=U$4),IF(ISBLANK(Tbl_ResidentData[[#This Row],[Discharge '[mmm-yyyy']]]),TRUE,(Tbl_ResidentData[[#This Row],[Discharge '[mmm-yyyy']]]&gt;=U$4)))))</f>
        <v>-</v>
      </c>
      <c r="V161" s="121" t="str">
        <f ca="1">IF(V$4&gt;NOW(),"-",IF(ISBLANK(Tbl_ResidentData[[#This Row],[Enrollment '[mmm-yyyy']]]),"-",AND((Tbl_ResidentData[[#This Row],[Enrollment '[mmm-yyyy']]]&lt;=V$4),IF(ISBLANK(Tbl_ResidentData[[#This Row],[Discharge '[mmm-yyyy']]]),TRUE,(Tbl_ResidentData[[#This Row],[Discharge '[mmm-yyyy']]]&gt;=V$4)))))</f>
        <v>-</v>
      </c>
      <c r="W161" s="121" t="str">
        <f ca="1">IF(W$4&gt;NOW(),"-",IF(ISBLANK(Tbl_ResidentData[[#This Row],[Enrollment '[mmm-yyyy']]]),"-",AND((Tbl_ResidentData[[#This Row],[Enrollment '[mmm-yyyy']]]&lt;=W$4),IF(ISBLANK(Tbl_ResidentData[[#This Row],[Discharge '[mmm-yyyy']]]),TRUE,(Tbl_ResidentData[[#This Row],[Discharge '[mmm-yyyy']]]&gt;=W$4)))))</f>
        <v>-</v>
      </c>
      <c r="X161" s="121" t="str">
        <f ca="1">IF(X$4&gt;NOW(),"-",IF(ISBLANK(Tbl_ResidentData[[#This Row],[Enrollment '[mmm-yyyy']]]),"-",AND((Tbl_ResidentData[[#This Row],[Enrollment '[mmm-yyyy']]]&lt;=X$4),IF(ISBLANK(Tbl_ResidentData[[#This Row],[Discharge '[mmm-yyyy']]]),TRUE,(Tbl_ResidentData[[#This Row],[Discharge '[mmm-yyyy']]]&gt;=X$4)))))</f>
        <v>-</v>
      </c>
      <c r="Y161" s="121" t="str">
        <f ca="1">IF(Y$4&gt;NOW(),"-",IF(ISBLANK(Tbl_ResidentData[[#This Row],[Enrollment '[mmm-yyyy']]]),"-",AND((Tbl_ResidentData[[#This Row],[Enrollment '[mmm-yyyy']]]&lt;=Y$4),IF(ISBLANK(Tbl_ResidentData[[#This Row],[Discharge '[mmm-yyyy']]]),TRUE,(Tbl_ResidentData[[#This Row],[Discharge '[mmm-yyyy']]]&gt;=Y$4)))))</f>
        <v>-</v>
      </c>
      <c r="Z161" s="121" t="str">
        <f ca="1">IF(Z$4&gt;NOW(),"-",IF(ISBLANK(Tbl_ResidentData[[#This Row],[Enrollment '[mmm-yyyy']]]),"-",AND((Tbl_ResidentData[[#This Row],[Enrollment '[mmm-yyyy']]]&lt;=Z$4),IF(ISBLANK(Tbl_ResidentData[[#This Row],[Discharge '[mmm-yyyy']]]),TRUE,(Tbl_ResidentData[[#This Row],[Discharge '[mmm-yyyy']]]&gt;=Z$4)))))</f>
        <v>-</v>
      </c>
      <c r="AA161" s="121" t="str">
        <f ca="1">IF(AA$4&gt;NOW(),"-",IF(ISBLANK(Tbl_ResidentData[[#This Row],[Enrollment '[mmm-yyyy']]]),"-",AND((Tbl_ResidentData[[#This Row],[Enrollment '[mmm-yyyy']]]&lt;=AA$4),IF(ISBLANK(Tbl_ResidentData[[#This Row],[Discharge '[mmm-yyyy']]]),TRUE,(Tbl_ResidentData[[#This Row],[Discharge '[mmm-yyyy']]]&gt;=AA$4)))))</f>
        <v>-</v>
      </c>
      <c r="AB161" s="121" t="str">
        <f ca="1">IF(AB$4&gt;NOW(),"-",IF(ISBLANK(Tbl_ResidentData[[#This Row],[Enrollment '[mmm-yyyy']]]),"-",AND((Tbl_ResidentData[[#This Row],[Enrollment '[mmm-yyyy']]]&lt;=AB$4),IF(ISBLANK(Tbl_ResidentData[[#This Row],[Discharge '[mmm-yyyy']]]),TRUE,(Tbl_ResidentData[[#This Row],[Discharge '[mmm-yyyy']]]&gt;=AB$4)))))</f>
        <v>-</v>
      </c>
      <c r="AC161" s="121" t="str">
        <f ca="1">IF(AC$4&gt;NOW(),"-",IF(ISBLANK(Tbl_ResidentData[[#This Row],[Enrollment '[mmm-yyyy']]]),"-",AND((Tbl_ResidentData[[#This Row],[Enrollment '[mmm-yyyy']]]&lt;=AC$4),IF(ISBLANK(Tbl_ResidentData[[#This Row],[Discharge '[mmm-yyyy']]]),TRUE,(Tbl_ResidentData[[#This Row],[Discharge '[mmm-yyyy']]]&gt;=AC$4)))))</f>
        <v>-</v>
      </c>
      <c r="AD161" s="121" t="str">
        <f ca="1">IF(AD$4&gt;NOW(),"-",IF(ISBLANK(Tbl_ResidentData[[#This Row],[Enrollment '[mmm-yyyy']]]),"-",AND((Tbl_ResidentData[[#This Row],[Enrollment '[mmm-yyyy']]]&lt;=AD$4),IF(ISBLANK(Tbl_ResidentData[[#This Row],[Discharge '[mmm-yyyy']]]),TRUE,(Tbl_ResidentData[[#This Row],[Discharge '[mmm-yyyy']]]&gt;=AD$4)))))</f>
        <v>-</v>
      </c>
      <c r="AE161" s="121" t="str">
        <f ca="1">IF(AE$4&gt;NOW(),"-",IF(ISBLANK(Tbl_ResidentData[[#This Row],[Enrollment '[mmm-yyyy']]]),"-",AND((Tbl_ResidentData[[#This Row],[Enrollment '[mmm-yyyy']]]&lt;=AE$4),IF(ISBLANK(Tbl_ResidentData[[#This Row],[Discharge '[mmm-yyyy']]]),TRUE,(Tbl_ResidentData[[#This Row],[Discharge '[mmm-yyyy']]]&gt;=AE$4)))))</f>
        <v>-</v>
      </c>
      <c r="AF161" s="121" t="str">
        <f ca="1">IF(AF$4&gt;NOW(),"-",IF(ISBLANK(Tbl_ResidentData[[#This Row],[Enrollment '[mmm-yyyy']]]),"-",AND((Tbl_ResidentData[[#This Row],[Enrollment '[mmm-yyyy']]]&lt;=AF$4),IF(ISBLANK(Tbl_ResidentData[[#This Row],[Discharge '[mmm-yyyy']]]),TRUE,(Tbl_ResidentData[[#This Row],[Discharge '[mmm-yyyy']]]&gt;=AF$4)))))</f>
        <v>-</v>
      </c>
      <c r="AG161" s="121" t="str">
        <f ca="1">IF(AG$4&gt;NOW(),"-",IF(ISBLANK(Tbl_ResidentData[[#This Row],[Enrollment '[mmm-yyyy']]]),"-",AND((Tbl_ResidentData[[#This Row],[Enrollment '[mmm-yyyy']]]&lt;=AG$4),IF(ISBLANK(Tbl_ResidentData[[#This Row],[Discharge '[mmm-yyyy']]]),TRUE,(Tbl_ResidentData[[#This Row],[Discharge '[mmm-yyyy']]]&gt;=AG$4)))))</f>
        <v>-</v>
      </c>
      <c r="AH161" s="121" t="str">
        <f ca="1">IF(AH$4&gt;NOW(),"-",IF(ISBLANK(Tbl_ResidentData[[#This Row],[Enrollment '[mmm-yyyy']]]),"-",AND((Tbl_ResidentData[[#This Row],[Enrollment '[mmm-yyyy']]]&lt;=AH$4),IF(ISBLANK(Tbl_ResidentData[[#This Row],[Discharge '[mmm-yyyy']]]),TRUE,(Tbl_ResidentData[[#This Row],[Discharge '[mmm-yyyy']]]&gt;=AH$4)))))</f>
        <v>-</v>
      </c>
      <c r="AI161" s="121" t="str">
        <f ca="1">IF(AI$4&gt;NOW(),"-",IF(ISBLANK(Tbl_ResidentData[[#This Row],[Enrollment '[mmm-yyyy']]]),"-",AND((Tbl_ResidentData[[#This Row],[Enrollment '[mmm-yyyy']]]&lt;=AI$4),IF(ISBLANK(Tbl_ResidentData[[#This Row],[Discharge '[mmm-yyyy']]]),TRUE,(Tbl_ResidentData[[#This Row],[Discharge '[mmm-yyyy']]]&gt;=AI$4)))))</f>
        <v>-</v>
      </c>
      <c r="AJ161" s="121" t="str">
        <f ca="1">IF(AJ$4&gt;NOW(),"-",IF(ISBLANK(Tbl_ResidentData[[#This Row],[Enrollment '[mmm-yyyy']]]),"-",AND((Tbl_ResidentData[[#This Row],[Enrollment '[mmm-yyyy']]]&lt;=AJ$4),IF(ISBLANK(Tbl_ResidentData[[#This Row],[Discharge '[mmm-yyyy']]]),TRUE,(Tbl_ResidentData[[#This Row],[Discharge '[mmm-yyyy']]]&gt;=AJ$4)))))</f>
        <v>-</v>
      </c>
      <c r="AK161" s="121" t="str">
        <f ca="1">IF(AK$4&gt;NOW(),"-",IF(ISBLANK(Tbl_ResidentData[[#This Row],[Enrollment '[mmm-yyyy']]]),"-",AND((Tbl_ResidentData[[#This Row],[Enrollment '[mmm-yyyy']]]&lt;=AK$4),IF(ISBLANK(Tbl_ResidentData[[#This Row],[Discharge '[mmm-yyyy']]]),TRUE,(Tbl_ResidentData[[#This Row],[Discharge '[mmm-yyyy']]]&gt;=AK$4)))))</f>
        <v>-</v>
      </c>
      <c r="AL161" s="121" t="str">
        <f ca="1">IF(AL$4&gt;NOW(),"-",IF(ISBLANK(Tbl_ResidentData[[#This Row],[Enrollment '[mmm-yyyy']]]),"-",AND((Tbl_ResidentData[[#This Row],[Enrollment '[mmm-yyyy']]]&lt;=AL$4),IF(ISBLANK(Tbl_ResidentData[[#This Row],[Discharge '[mmm-yyyy']]]),TRUE,(Tbl_ResidentData[[#This Row],[Discharge '[mmm-yyyy']]]&gt;=AL$4)))))</f>
        <v>-</v>
      </c>
      <c r="AM161" s="121" t="str">
        <f ca="1">IF(AM$4&gt;NOW(),"-",IF(ISBLANK(Tbl_ResidentData[[#This Row],[Enrollment '[mmm-yyyy']]]),"-",AND((Tbl_ResidentData[[#This Row],[Enrollment '[mmm-yyyy']]]&lt;=AM$4),IF(ISBLANK(Tbl_ResidentData[[#This Row],[Discharge '[mmm-yyyy']]]),TRUE,(Tbl_ResidentData[[#This Row],[Discharge '[mmm-yyyy']]]&gt;=AM$4)))))</f>
        <v>-</v>
      </c>
      <c r="AN161" s="121" t="str">
        <f ca="1">IF(AN$4&gt;NOW(),"-",IF(ISBLANK(Tbl_ResidentData[[#This Row],[Enrollment '[mmm-yyyy']]]),"-",AND((Tbl_ResidentData[[#This Row],[Enrollment '[mmm-yyyy']]]&lt;=AN$4),IF(ISBLANK(Tbl_ResidentData[[#This Row],[Discharge '[mmm-yyyy']]]),TRUE,(Tbl_ResidentData[[#This Row],[Discharge '[mmm-yyyy']]]&gt;=AN$4)))))</f>
        <v>-</v>
      </c>
      <c r="AO161" s="121" t="str">
        <f ca="1">IF(AO$4&gt;NOW(),"-",IF(ISBLANK(Tbl_ResidentData[[#This Row],[Enrollment '[mmm-yyyy']]]),"-",AND((Tbl_ResidentData[[#This Row],[Enrollment '[mmm-yyyy']]]&lt;=AO$4),IF(ISBLANK(Tbl_ResidentData[[#This Row],[Discharge '[mmm-yyyy']]]),TRUE,(Tbl_ResidentData[[#This Row],[Discharge '[mmm-yyyy']]]&gt;=AO$4)))))</f>
        <v>-</v>
      </c>
      <c r="AP161" s="121" t="str">
        <f ca="1">IF(AP$4&gt;NOW(),"-",IF(ISBLANK(Tbl_ResidentData[[#This Row],[Enrollment '[mmm-yyyy']]]),"-",AND((Tbl_ResidentData[[#This Row],[Enrollment '[mmm-yyyy']]]&lt;=AP$4),IF(ISBLANK(Tbl_ResidentData[[#This Row],[Discharge '[mmm-yyyy']]]),TRUE,(Tbl_ResidentData[[#This Row],[Discharge '[mmm-yyyy']]]&gt;=AP$4)))))</f>
        <v>-</v>
      </c>
      <c r="AQ161" s="121" t="str">
        <f ca="1">IF(AQ$4&gt;NOW(),"-",IF(ISBLANK(Tbl_ResidentData[[#This Row],[Enrollment '[mmm-yyyy']]]),"-",AND((Tbl_ResidentData[[#This Row],[Enrollment '[mmm-yyyy']]]&lt;=AQ$4),IF(ISBLANK(Tbl_ResidentData[[#This Row],[Discharge '[mmm-yyyy']]]),TRUE,(Tbl_ResidentData[[#This Row],[Discharge '[mmm-yyyy']]]&gt;=AQ$4)))))</f>
        <v>-</v>
      </c>
      <c r="AR161" s="122" t="str">
        <f ca="1">IF(AR$4&gt;NOW(),"-",IF(ISBLANK(Tbl_ResidentData[[#This Row],[Enrollment '[mmm-yyyy']]]),"-",AND((Tbl_ResidentData[[#This Row],[Enrollment '[mmm-yyyy']]]&lt;=AR$4),IF(ISBLANK(Tbl_ResidentData[[#This Row],[Discharge '[mmm-yyyy']]]),TRUE,(Tbl_ResidentData[[#This Row],[Discharge '[mmm-yyyy']]]&gt;=AR$4)))))</f>
        <v>-</v>
      </c>
      <c r="AS16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1" s="120" t="b">
        <f ca="1">AND(Tbl_ResidentData[[#This Row],[PRN Med Started]]&lt;&gt;"",Tbl_ResidentData[[#This Row],[PRN Med Started]]&lt;=NOW(),Tbl_ResidentData[[#This Row],[PRN Med Started]]&lt;=AS$4,OR(Tbl_ResidentData[[#This Row],[PRN Med Discontinued]]&gt;AS$4,ISBLANK(Tbl_ResidentData[[#This Row],[PRN Med Discontinued]])))</f>
        <v>0</v>
      </c>
      <c r="BR161" s="121" t="b">
        <f ca="1">AND(Tbl_ResidentData[[#This Row],[PRN Med Started]]&lt;&gt;"",Tbl_ResidentData[[#This Row],[PRN Med Started]]&lt;=NOW(),Tbl_ResidentData[[#This Row],[PRN Med Started]]&lt;=AT$4,OR(Tbl_ResidentData[[#This Row],[PRN Med Discontinued]]&gt;AT$4,ISBLANK(Tbl_ResidentData[[#This Row],[PRN Med Discontinued]])))</f>
        <v>0</v>
      </c>
      <c r="BS161" s="121" t="b">
        <f ca="1">AND(Tbl_ResidentData[[#This Row],[PRN Med Started]]&lt;&gt;"",Tbl_ResidentData[[#This Row],[PRN Med Started]]&lt;=NOW(),Tbl_ResidentData[[#This Row],[PRN Med Started]]&lt;=AU$4,OR(Tbl_ResidentData[[#This Row],[PRN Med Discontinued]]&gt;AU$4,ISBLANK(Tbl_ResidentData[[#This Row],[PRN Med Discontinued]])))</f>
        <v>0</v>
      </c>
      <c r="BT161" s="121" t="b">
        <f ca="1">AND(Tbl_ResidentData[[#This Row],[PRN Med Started]]&lt;&gt;"",Tbl_ResidentData[[#This Row],[PRN Med Started]]&lt;=NOW(),Tbl_ResidentData[[#This Row],[PRN Med Started]]&lt;=AV$4,OR(Tbl_ResidentData[[#This Row],[PRN Med Discontinued]]&gt;AV$4,ISBLANK(Tbl_ResidentData[[#This Row],[PRN Med Discontinued]])))</f>
        <v>0</v>
      </c>
      <c r="BU161" s="121" t="b">
        <f ca="1">AND(Tbl_ResidentData[[#This Row],[PRN Med Started]]&lt;&gt;"",Tbl_ResidentData[[#This Row],[PRN Med Started]]&lt;=NOW(),Tbl_ResidentData[[#This Row],[PRN Med Started]]&lt;=AW$4,OR(Tbl_ResidentData[[#This Row],[PRN Med Discontinued]]&gt;AW$4,ISBLANK(Tbl_ResidentData[[#This Row],[PRN Med Discontinued]])))</f>
        <v>0</v>
      </c>
      <c r="BV161" s="121" t="b">
        <f ca="1">AND(Tbl_ResidentData[[#This Row],[PRN Med Started]]&lt;&gt;"",Tbl_ResidentData[[#This Row],[PRN Med Started]]&lt;=NOW(),Tbl_ResidentData[[#This Row],[PRN Med Started]]&lt;=AX$4,OR(Tbl_ResidentData[[#This Row],[PRN Med Discontinued]]&gt;AX$4,ISBLANK(Tbl_ResidentData[[#This Row],[PRN Med Discontinued]])))</f>
        <v>0</v>
      </c>
      <c r="BW161" s="121" t="b">
        <f ca="1">AND(Tbl_ResidentData[[#This Row],[PRN Med Started]]&lt;&gt;"",Tbl_ResidentData[[#This Row],[PRN Med Started]]&lt;=NOW(),Tbl_ResidentData[[#This Row],[PRN Med Started]]&lt;=AY$4,OR(Tbl_ResidentData[[#This Row],[PRN Med Discontinued]]&gt;AY$4,ISBLANK(Tbl_ResidentData[[#This Row],[PRN Med Discontinued]])))</f>
        <v>0</v>
      </c>
      <c r="BX161" s="121" t="b">
        <f ca="1">AND(Tbl_ResidentData[[#This Row],[PRN Med Started]]&lt;&gt;"",Tbl_ResidentData[[#This Row],[PRN Med Started]]&lt;=NOW(),Tbl_ResidentData[[#This Row],[PRN Med Started]]&lt;=AZ$4,OR(Tbl_ResidentData[[#This Row],[PRN Med Discontinued]]&gt;AZ$4,ISBLANK(Tbl_ResidentData[[#This Row],[PRN Med Discontinued]])))</f>
        <v>0</v>
      </c>
      <c r="BY161" s="121" t="b">
        <f ca="1">AND(Tbl_ResidentData[[#This Row],[PRN Med Started]]&lt;&gt;"",Tbl_ResidentData[[#This Row],[PRN Med Started]]&lt;=NOW(),Tbl_ResidentData[[#This Row],[PRN Med Started]]&lt;=BA$4,OR(Tbl_ResidentData[[#This Row],[PRN Med Discontinued]]&gt;BA$4,ISBLANK(Tbl_ResidentData[[#This Row],[PRN Med Discontinued]])))</f>
        <v>0</v>
      </c>
      <c r="BZ161" s="121" t="b">
        <f ca="1">AND(Tbl_ResidentData[[#This Row],[PRN Med Started]]&lt;&gt;"",Tbl_ResidentData[[#This Row],[PRN Med Started]]&lt;=NOW(),Tbl_ResidentData[[#This Row],[PRN Med Started]]&lt;=BB$4,OR(Tbl_ResidentData[[#This Row],[PRN Med Discontinued]]&gt;BB$4,ISBLANK(Tbl_ResidentData[[#This Row],[PRN Med Discontinued]])))</f>
        <v>0</v>
      </c>
      <c r="CA161" s="121" t="b">
        <f ca="1">AND(Tbl_ResidentData[[#This Row],[PRN Med Started]]&lt;&gt;"",Tbl_ResidentData[[#This Row],[PRN Med Started]]&lt;=NOW(),Tbl_ResidentData[[#This Row],[PRN Med Started]]&lt;=BC$4,OR(Tbl_ResidentData[[#This Row],[PRN Med Discontinued]]&gt;BC$4,ISBLANK(Tbl_ResidentData[[#This Row],[PRN Med Discontinued]])))</f>
        <v>0</v>
      </c>
      <c r="CB161" s="121" t="b">
        <f ca="1">AND(Tbl_ResidentData[[#This Row],[PRN Med Started]]&lt;&gt;"",Tbl_ResidentData[[#This Row],[PRN Med Started]]&lt;=NOW(),Tbl_ResidentData[[#This Row],[PRN Med Started]]&lt;=BD$4,OR(Tbl_ResidentData[[#This Row],[PRN Med Discontinued]]&gt;BD$4,ISBLANK(Tbl_ResidentData[[#This Row],[PRN Med Discontinued]])))</f>
        <v>0</v>
      </c>
      <c r="CC161" s="121" t="b">
        <f ca="1">AND(Tbl_ResidentData[[#This Row],[PRN Med Started]]&lt;&gt;"",Tbl_ResidentData[[#This Row],[PRN Med Started]]&lt;=NOW(),Tbl_ResidentData[[#This Row],[PRN Med Started]]&lt;=BE$4,OR(Tbl_ResidentData[[#This Row],[PRN Med Discontinued]]&gt;BE$4,ISBLANK(Tbl_ResidentData[[#This Row],[PRN Med Discontinued]])))</f>
        <v>0</v>
      </c>
      <c r="CD161" s="121" t="b">
        <f ca="1">AND(Tbl_ResidentData[[#This Row],[PRN Med Started]]&lt;&gt;"",Tbl_ResidentData[[#This Row],[PRN Med Started]]&lt;=NOW(),Tbl_ResidentData[[#This Row],[PRN Med Started]]&lt;=BF$4,OR(Tbl_ResidentData[[#This Row],[PRN Med Discontinued]]&gt;BF$4,ISBLANK(Tbl_ResidentData[[#This Row],[PRN Med Discontinued]])))</f>
        <v>0</v>
      </c>
      <c r="CE161" s="121" t="b">
        <f ca="1">AND(Tbl_ResidentData[[#This Row],[PRN Med Started]]&lt;&gt;"",Tbl_ResidentData[[#This Row],[PRN Med Started]]&lt;=NOW(),Tbl_ResidentData[[#This Row],[PRN Med Started]]&lt;=BG$4,OR(Tbl_ResidentData[[#This Row],[PRN Med Discontinued]]&gt;BG$4,ISBLANK(Tbl_ResidentData[[#This Row],[PRN Med Discontinued]])))</f>
        <v>0</v>
      </c>
      <c r="CF161" s="121" t="b">
        <f ca="1">AND(Tbl_ResidentData[[#This Row],[PRN Med Started]]&lt;&gt;"",Tbl_ResidentData[[#This Row],[PRN Med Started]]&lt;=NOW(),Tbl_ResidentData[[#This Row],[PRN Med Started]]&lt;=BH$4,OR(Tbl_ResidentData[[#This Row],[PRN Med Discontinued]]&gt;BH$4,ISBLANK(Tbl_ResidentData[[#This Row],[PRN Med Discontinued]])))</f>
        <v>0</v>
      </c>
      <c r="CG161" s="121" t="b">
        <f ca="1">AND(Tbl_ResidentData[[#This Row],[PRN Med Started]]&lt;&gt;"",Tbl_ResidentData[[#This Row],[PRN Med Started]]&lt;=NOW(),Tbl_ResidentData[[#This Row],[PRN Med Started]]&lt;=BI$4,OR(Tbl_ResidentData[[#This Row],[PRN Med Discontinued]]&gt;BI$4,ISBLANK(Tbl_ResidentData[[#This Row],[PRN Med Discontinued]])))</f>
        <v>0</v>
      </c>
      <c r="CH161" s="121" t="b">
        <f ca="1">AND(Tbl_ResidentData[[#This Row],[PRN Med Started]]&lt;&gt;"",Tbl_ResidentData[[#This Row],[PRN Med Started]]&lt;=NOW(),Tbl_ResidentData[[#This Row],[PRN Med Started]]&lt;=BJ$4,OR(Tbl_ResidentData[[#This Row],[PRN Med Discontinued]]&gt;BJ$4,ISBLANK(Tbl_ResidentData[[#This Row],[PRN Med Discontinued]])))</f>
        <v>0</v>
      </c>
      <c r="CI161" s="121" t="b">
        <f ca="1">AND(Tbl_ResidentData[[#This Row],[PRN Med Started]]&lt;&gt;"",Tbl_ResidentData[[#This Row],[PRN Med Started]]&lt;=NOW(),Tbl_ResidentData[[#This Row],[PRN Med Started]]&lt;=BK$4,OR(Tbl_ResidentData[[#This Row],[PRN Med Discontinued]]&gt;BK$4,ISBLANK(Tbl_ResidentData[[#This Row],[PRN Med Discontinued]])))</f>
        <v>0</v>
      </c>
      <c r="CJ161" s="121" t="b">
        <f ca="1">AND(Tbl_ResidentData[[#This Row],[PRN Med Started]]&lt;&gt;"",Tbl_ResidentData[[#This Row],[PRN Med Started]]&lt;=NOW(),Tbl_ResidentData[[#This Row],[PRN Med Started]]&lt;=BL$4,OR(Tbl_ResidentData[[#This Row],[PRN Med Discontinued]]&gt;BL$4,ISBLANK(Tbl_ResidentData[[#This Row],[PRN Med Discontinued]])))</f>
        <v>0</v>
      </c>
      <c r="CK161" s="121" t="b">
        <f ca="1">AND(Tbl_ResidentData[[#This Row],[PRN Med Started]]&lt;&gt;"",Tbl_ResidentData[[#This Row],[PRN Med Started]]&lt;=NOW(),Tbl_ResidentData[[#This Row],[PRN Med Started]]&lt;=BM$4,OR(Tbl_ResidentData[[#This Row],[PRN Med Discontinued]]&gt;BM$4,ISBLANK(Tbl_ResidentData[[#This Row],[PRN Med Discontinued]])))</f>
        <v>0</v>
      </c>
      <c r="CL161" s="121" t="b">
        <f ca="1">AND(Tbl_ResidentData[[#This Row],[PRN Med Started]]&lt;&gt;"",Tbl_ResidentData[[#This Row],[PRN Med Started]]&lt;=NOW(),Tbl_ResidentData[[#This Row],[PRN Med Started]]&lt;=BN$4,OR(Tbl_ResidentData[[#This Row],[PRN Med Discontinued]]&gt;BN$4,ISBLANK(Tbl_ResidentData[[#This Row],[PRN Med Discontinued]])))</f>
        <v>0</v>
      </c>
      <c r="CM161" s="121" t="b">
        <f ca="1">AND(Tbl_ResidentData[[#This Row],[PRN Med Started]]&lt;&gt;"",Tbl_ResidentData[[#This Row],[PRN Med Started]]&lt;=NOW(),Tbl_ResidentData[[#This Row],[PRN Med Started]]&lt;=BO$4,OR(Tbl_ResidentData[[#This Row],[PRN Med Discontinued]]&gt;BO$4,ISBLANK(Tbl_ResidentData[[#This Row],[PRN Med Discontinued]])))</f>
        <v>0</v>
      </c>
      <c r="CN161" s="122" t="b">
        <f ca="1">AND(Tbl_ResidentData[[#This Row],[PRN Med Started]]&lt;&gt;"",Tbl_ResidentData[[#This Row],[PRN Med Started]]&lt;=NOW(),Tbl_ResidentData[[#This Row],[PRN Med Started]]&lt;=BP$4,OR(Tbl_ResidentData[[#This Row],[PRN Med Discontinued]]&gt;BP$4,ISBLANK(Tbl_ResidentData[[#This Row],[PRN Med Discontinued]])))</f>
        <v>0</v>
      </c>
      <c r="CO161" s="120">
        <f ca="1">IF(OR(Tbl_ResidentData[[#This Row],[S1]]=TRUE,Tbl_ResidentData[[#This Row],[P1]]=TRUE),1,0)</f>
        <v>0</v>
      </c>
      <c r="CP161" s="121">
        <f ca="1">IF(OR(Tbl_ResidentData[[#This Row],[S2]]=TRUE,Tbl_ResidentData[[#This Row],[P2]]=TRUE),1,0)</f>
        <v>0</v>
      </c>
      <c r="CQ161" s="121">
        <f ca="1">IF(OR(Tbl_ResidentData[[#This Row],[S3]]=TRUE,Tbl_ResidentData[[#This Row],[P3]]=TRUE),1,0)</f>
        <v>0</v>
      </c>
      <c r="CR161" s="120">
        <f ca="1">IF(OR(Tbl_ResidentData[[#This Row],[S4]]=TRUE,Tbl_ResidentData[[#This Row],[P4]]=TRUE),1,0)</f>
        <v>0</v>
      </c>
      <c r="CS161" s="120">
        <f ca="1">IF(OR(Tbl_ResidentData[[#This Row],[S5]]=TRUE,Tbl_ResidentData[[#This Row],[P5]]=TRUE),1,0)</f>
        <v>0</v>
      </c>
      <c r="CT161" s="120">
        <f ca="1">IF(OR(Tbl_ResidentData[[#This Row],[S6]]=TRUE,Tbl_ResidentData[[#This Row],[P6]]=TRUE),1,0)</f>
        <v>0</v>
      </c>
      <c r="CU161" s="120">
        <f ca="1">IF(OR(Tbl_ResidentData[[#This Row],[S7]]=TRUE,Tbl_ResidentData[[#This Row],[P7]]=TRUE),1,0)</f>
        <v>0</v>
      </c>
      <c r="CV161" s="120">
        <f ca="1">IF(OR(Tbl_ResidentData[[#This Row],[S8]]=TRUE,Tbl_ResidentData[[#This Row],[P8]]=TRUE),1,0)</f>
        <v>0</v>
      </c>
      <c r="CW161" s="120">
        <f ca="1">IF(OR(Tbl_ResidentData[[#This Row],[S9]]=TRUE,Tbl_ResidentData[[#This Row],[P9]]=TRUE),1,0)</f>
        <v>0</v>
      </c>
      <c r="CX161" s="120">
        <f ca="1">IF(OR(Tbl_ResidentData[[#This Row],[S10]]=TRUE,Tbl_ResidentData[[#This Row],[P10]]=TRUE),1,0)</f>
        <v>0</v>
      </c>
      <c r="CY161" s="120">
        <f ca="1">IF(OR(Tbl_ResidentData[[#This Row],[S11]]=TRUE,Tbl_ResidentData[[#This Row],[P11]]=TRUE),1,0)</f>
        <v>0</v>
      </c>
      <c r="CZ161" s="120">
        <f ca="1">IF(OR(Tbl_ResidentData[[#This Row],[S12]]=TRUE,Tbl_ResidentData[[#This Row],[P12]]=TRUE),1,0)</f>
        <v>0</v>
      </c>
      <c r="DA161" s="120">
        <f ca="1">IF(OR(Tbl_ResidentData[[#This Row],[S13]]=TRUE,Tbl_ResidentData[[#This Row],[P13]]=TRUE),1,0)</f>
        <v>0</v>
      </c>
      <c r="DB161" s="120">
        <f ca="1">IF(OR(Tbl_ResidentData[[#This Row],[S14]]=TRUE,Tbl_ResidentData[[#This Row],[P14]]=TRUE),1,0)</f>
        <v>0</v>
      </c>
      <c r="DC161" s="120">
        <f ca="1">IF(OR(Tbl_ResidentData[[#This Row],[S15]]=TRUE,Tbl_ResidentData[[#This Row],[P15]]=TRUE),1,0)</f>
        <v>0</v>
      </c>
      <c r="DD161" s="120">
        <f ca="1">IF(OR(Tbl_ResidentData[[#This Row],[S16]]=TRUE,Tbl_ResidentData[[#This Row],[P16]]=TRUE),1,0)</f>
        <v>0</v>
      </c>
      <c r="DE161" s="120">
        <f ca="1">IF(OR(Tbl_ResidentData[[#This Row],[S17]]=TRUE,Tbl_ResidentData[[#This Row],[P17]]=TRUE),1,0)</f>
        <v>0</v>
      </c>
      <c r="DF161" s="120">
        <f ca="1">IF(OR(Tbl_ResidentData[[#This Row],[S18]]=TRUE,Tbl_ResidentData[[#This Row],[P18]]=TRUE),1,0)</f>
        <v>0</v>
      </c>
      <c r="DG161" s="120">
        <f ca="1">IF(OR(Tbl_ResidentData[[#This Row],[S19]]=TRUE,Tbl_ResidentData[[#This Row],[P19]]=TRUE),1,0)</f>
        <v>0</v>
      </c>
      <c r="DH161" s="120">
        <f ca="1">IF(OR(Tbl_ResidentData[[#This Row],[S20]]=TRUE,Tbl_ResidentData[[#This Row],[P20]]=TRUE),1,0)</f>
        <v>0</v>
      </c>
      <c r="DI161" s="120">
        <f ca="1">IF(OR(Tbl_ResidentData[[#This Row],[S21]]=TRUE,Tbl_ResidentData[[#This Row],[P21]]=TRUE),1,0)</f>
        <v>0</v>
      </c>
      <c r="DJ161" s="120">
        <f ca="1">IF(OR(Tbl_ResidentData[[#This Row],[S22]]=TRUE,Tbl_ResidentData[[#This Row],[P22]]=TRUE),1,0)</f>
        <v>0</v>
      </c>
      <c r="DK161" s="120">
        <f ca="1">IF(OR(Tbl_ResidentData[[#This Row],[S23]]=TRUE,Tbl_ResidentData[[#This Row],[P23]]=TRUE),1,0)</f>
        <v>0</v>
      </c>
      <c r="DL161" s="120">
        <f ca="1">IF(OR(Tbl_ResidentData[[#This Row],[S24]]=TRUE,Tbl_ResidentData[[#This Row],[P24]]=TRUE),1,0)</f>
        <v>0</v>
      </c>
      <c r="DM161" s="123" t="str">
        <f ca="1">IFERROR(INDEX($CO$4:$DL$4,MATCH(TRUE,INDEX((Tbl_ResidentData[[#This Row],[Over1]:[Over24]]&lt;&gt;0),0),0)),"")</f>
        <v/>
      </c>
      <c r="DN161" s="133" t="str">
        <f>IFERROR(INDEX(Tbl_PDSAData[Last DRT],MATCH(Tbl_ResidentData[Resident Name '[last, first']],Tbl_PDSAData[Resident Name (last, first)],0)),"")</f>
        <v/>
      </c>
      <c r="DO161" s="222" t="str">
        <f>IFERROR(INDEX(Tbl_PDSAData[Last MR],MATCH(Tbl_ResidentData[Resident Name '[last, first']],Tbl_PDSAData[Resident Name (last, first)],0)),"")</f>
        <v/>
      </c>
    </row>
    <row r="162" spans="1:119" x14ac:dyDescent="0.25">
      <c r="A162" s="179"/>
      <c r="B162" s="180"/>
      <c r="C162" s="180"/>
      <c r="D162" s="218"/>
      <c r="E162" s="179"/>
      <c r="F162" s="179"/>
      <c r="G162" s="181"/>
      <c r="H162" s="182"/>
      <c r="I162" s="185"/>
      <c r="J162" s="387"/>
      <c r="K162" s="178"/>
      <c r="L162" s="388"/>
      <c r="M162" s="185"/>
      <c r="N162" s="386"/>
      <c r="O162" s="178"/>
      <c r="P162" s="388"/>
      <c r="Q162" s="394"/>
      <c r="R162" s="388"/>
      <c r="S162" s="131" t="str">
        <f>IF(ISBLANK(Tbl_ResidentData[[#This Row],[Discharge '[mmm-yyyy']]]),IF(ISBLANK(Tbl_ResidentData[[#This Row],[Enrollment '[mmm-yyyy']]]),"","In Care Home"),"Discharged")</f>
        <v/>
      </c>
      <c r="T162" s="119" t="str">
        <f>IF(ISBLANK(Tbl_ResidentData[[#This Row],[Diagnosis (RAI)]]),IF(ISBLANK(Tbl_ResidentData[[#This Row],[Resident Name '[last, first']]]),"",0),IF(Tbl_ResidentData[[#This Row],[Diagnosis (RAI)]]="Other (see clinical notes)",0,1))</f>
        <v/>
      </c>
      <c r="U162" s="120" t="str">
        <f ca="1">IF(U$4&gt;NOW(),"-",IF(ISBLANK(Tbl_ResidentData[[#This Row],[Enrollment '[mmm-yyyy']]]),"-",AND((Tbl_ResidentData[[#This Row],[Enrollment '[mmm-yyyy']]]&lt;=U$4),IF(ISBLANK(Tbl_ResidentData[[#This Row],[Discharge '[mmm-yyyy']]]),TRUE,(Tbl_ResidentData[[#This Row],[Discharge '[mmm-yyyy']]]&gt;=U$4)))))</f>
        <v>-</v>
      </c>
      <c r="V162" s="121" t="str">
        <f ca="1">IF(V$4&gt;NOW(),"-",IF(ISBLANK(Tbl_ResidentData[[#This Row],[Enrollment '[mmm-yyyy']]]),"-",AND((Tbl_ResidentData[[#This Row],[Enrollment '[mmm-yyyy']]]&lt;=V$4),IF(ISBLANK(Tbl_ResidentData[[#This Row],[Discharge '[mmm-yyyy']]]),TRUE,(Tbl_ResidentData[[#This Row],[Discharge '[mmm-yyyy']]]&gt;=V$4)))))</f>
        <v>-</v>
      </c>
      <c r="W162" s="121" t="str">
        <f ca="1">IF(W$4&gt;NOW(),"-",IF(ISBLANK(Tbl_ResidentData[[#This Row],[Enrollment '[mmm-yyyy']]]),"-",AND((Tbl_ResidentData[[#This Row],[Enrollment '[mmm-yyyy']]]&lt;=W$4),IF(ISBLANK(Tbl_ResidentData[[#This Row],[Discharge '[mmm-yyyy']]]),TRUE,(Tbl_ResidentData[[#This Row],[Discharge '[mmm-yyyy']]]&gt;=W$4)))))</f>
        <v>-</v>
      </c>
      <c r="X162" s="121" t="str">
        <f ca="1">IF(X$4&gt;NOW(),"-",IF(ISBLANK(Tbl_ResidentData[[#This Row],[Enrollment '[mmm-yyyy']]]),"-",AND((Tbl_ResidentData[[#This Row],[Enrollment '[mmm-yyyy']]]&lt;=X$4),IF(ISBLANK(Tbl_ResidentData[[#This Row],[Discharge '[mmm-yyyy']]]),TRUE,(Tbl_ResidentData[[#This Row],[Discharge '[mmm-yyyy']]]&gt;=X$4)))))</f>
        <v>-</v>
      </c>
      <c r="Y162" s="121" t="str">
        <f ca="1">IF(Y$4&gt;NOW(),"-",IF(ISBLANK(Tbl_ResidentData[[#This Row],[Enrollment '[mmm-yyyy']]]),"-",AND((Tbl_ResidentData[[#This Row],[Enrollment '[mmm-yyyy']]]&lt;=Y$4),IF(ISBLANK(Tbl_ResidentData[[#This Row],[Discharge '[mmm-yyyy']]]),TRUE,(Tbl_ResidentData[[#This Row],[Discharge '[mmm-yyyy']]]&gt;=Y$4)))))</f>
        <v>-</v>
      </c>
      <c r="Z162" s="121" t="str">
        <f ca="1">IF(Z$4&gt;NOW(),"-",IF(ISBLANK(Tbl_ResidentData[[#This Row],[Enrollment '[mmm-yyyy']]]),"-",AND((Tbl_ResidentData[[#This Row],[Enrollment '[mmm-yyyy']]]&lt;=Z$4),IF(ISBLANK(Tbl_ResidentData[[#This Row],[Discharge '[mmm-yyyy']]]),TRUE,(Tbl_ResidentData[[#This Row],[Discharge '[mmm-yyyy']]]&gt;=Z$4)))))</f>
        <v>-</v>
      </c>
      <c r="AA162" s="121" t="str">
        <f ca="1">IF(AA$4&gt;NOW(),"-",IF(ISBLANK(Tbl_ResidentData[[#This Row],[Enrollment '[mmm-yyyy']]]),"-",AND((Tbl_ResidentData[[#This Row],[Enrollment '[mmm-yyyy']]]&lt;=AA$4),IF(ISBLANK(Tbl_ResidentData[[#This Row],[Discharge '[mmm-yyyy']]]),TRUE,(Tbl_ResidentData[[#This Row],[Discharge '[mmm-yyyy']]]&gt;=AA$4)))))</f>
        <v>-</v>
      </c>
      <c r="AB162" s="121" t="str">
        <f ca="1">IF(AB$4&gt;NOW(),"-",IF(ISBLANK(Tbl_ResidentData[[#This Row],[Enrollment '[mmm-yyyy']]]),"-",AND((Tbl_ResidentData[[#This Row],[Enrollment '[mmm-yyyy']]]&lt;=AB$4),IF(ISBLANK(Tbl_ResidentData[[#This Row],[Discharge '[mmm-yyyy']]]),TRUE,(Tbl_ResidentData[[#This Row],[Discharge '[mmm-yyyy']]]&gt;=AB$4)))))</f>
        <v>-</v>
      </c>
      <c r="AC162" s="121" t="str">
        <f ca="1">IF(AC$4&gt;NOW(),"-",IF(ISBLANK(Tbl_ResidentData[[#This Row],[Enrollment '[mmm-yyyy']]]),"-",AND((Tbl_ResidentData[[#This Row],[Enrollment '[mmm-yyyy']]]&lt;=AC$4),IF(ISBLANK(Tbl_ResidentData[[#This Row],[Discharge '[mmm-yyyy']]]),TRUE,(Tbl_ResidentData[[#This Row],[Discharge '[mmm-yyyy']]]&gt;=AC$4)))))</f>
        <v>-</v>
      </c>
      <c r="AD162" s="121" t="str">
        <f ca="1">IF(AD$4&gt;NOW(),"-",IF(ISBLANK(Tbl_ResidentData[[#This Row],[Enrollment '[mmm-yyyy']]]),"-",AND((Tbl_ResidentData[[#This Row],[Enrollment '[mmm-yyyy']]]&lt;=AD$4),IF(ISBLANK(Tbl_ResidentData[[#This Row],[Discharge '[mmm-yyyy']]]),TRUE,(Tbl_ResidentData[[#This Row],[Discharge '[mmm-yyyy']]]&gt;=AD$4)))))</f>
        <v>-</v>
      </c>
      <c r="AE162" s="121" t="str">
        <f ca="1">IF(AE$4&gt;NOW(),"-",IF(ISBLANK(Tbl_ResidentData[[#This Row],[Enrollment '[mmm-yyyy']]]),"-",AND((Tbl_ResidentData[[#This Row],[Enrollment '[mmm-yyyy']]]&lt;=AE$4),IF(ISBLANK(Tbl_ResidentData[[#This Row],[Discharge '[mmm-yyyy']]]),TRUE,(Tbl_ResidentData[[#This Row],[Discharge '[mmm-yyyy']]]&gt;=AE$4)))))</f>
        <v>-</v>
      </c>
      <c r="AF162" s="121" t="str">
        <f ca="1">IF(AF$4&gt;NOW(),"-",IF(ISBLANK(Tbl_ResidentData[[#This Row],[Enrollment '[mmm-yyyy']]]),"-",AND((Tbl_ResidentData[[#This Row],[Enrollment '[mmm-yyyy']]]&lt;=AF$4),IF(ISBLANK(Tbl_ResidentData[[#This Row],[Discharge '[mmm-yyyy']]]),TRUE,(Tbl_ResidentData[[#This Row],[Discharge '[mmm-yyyy']]]&gt;=AF$4)))))</f>
        <v>-</v>
      </c>
      <c r="AG162" s="121" t="str">
        <f ca="1">IF(AG$4&gt;NOW(),"-",IF(ISBLANK(Tbl_ResidentData[[#This Row],[Enrollment '[mmm-yyyy']]]),"-",AND((Tbl_ResidentData[[#This Row],[Enrollment '[mmm-yyyy']]]&lt;=AG$4),IF(ISBLANK(Tbl_ResidentData[[#This Row],[Discharge '[mmm-yyyy']]]),TRUE,(Tbl_ResidentData[[#This Row],[Discharge '[mmm-yyyy']]]&gt;=AG$4)))))</f>
        <v>-</v>
      </c>
      <c r="AH162" s="121" t="str">
        <f ca="1">IF(AH$4&gt;NOW(),"-",IF(ISBLANK(Tbl_ResidentData[[#This Row],[Enrollment '[mmm-yyyy']]]),"-",AND((Tbl_ResidentData[[#This Row],[Enrollment '[mmm-yyyy']]]&lt;=AH$4),IF(ISBLANK(Tbl_ResidentData[[#This Row],[Discharge '[mmm-yyyy']]]),TRUE,(Tbl_ResidentData[[#This Row],[Discharge '[mmm-yyyy']]]&gt;=AH$4)))))</f>
        <v>-</v>
      </c>
      <c r="AI162" s="121" t="str">
        <f ca="1">IF(AI$4&gt;NOW(),"-",IF(ISBLANK(Tbl_ResidentData[[#This Row],[Enrollment '[mmm-yyyy']]]),"-",AND((Tbl_ResidentData[[#This Row],[Enrollment '[mmm-yyyy']]]&lt;=AI$4),IF(ISBLANK(Tbl_ResidentData[[#This Row],[Discharge '[mmm-yyyy']]]),TRUE,(Tbl_ResidentData[[#This Row],[Discharge '[mmm-yyyy']]]&gt;=AI$4)))))</f>
        <v>-</v>
      </c>
      <c r="AJ162" s="121" t="str">
        <f ca="1">IF(AJ$4&gt;NOW(),"-",IF(ISBLANK(Tbl_ResidentData[[#This Row],[Enrollment '[mmm-yyyy']]]),"-",AND((Tbl_ResidentData[[#This Row],[Enrollment '[mmm-yyyy']]]&lt;=AJ$4),IF(ISBLANK(Tbl_ResidentData[[#This Row],[Discharge '[mmm-yyyy']]]),TRUE,(Tbl_ResidentData[[#This Row],[Discharge '[mmm-yyyy']]]&gt;=AJ$4)))))</f>
        <v>-</v>
      </c>
      <c r="AK162" s="121" t="str">
        <f ca="1">IF(AK$4&gt;NOW(),"-",IF(ISBLANK(Tbl_ResidentData[[#This Row],[Enrollment '[mmm-yyyy']]]),"-",AND((Tbl_ResidentData[[#This Row],[Enrollment '[mmm-yyyy']]]&lt;=AK$4),IF(ISBLANK(Tbl_ResidentData[[#This Row],[Discharge '[mmm-yyyy']]]),TRUE,(Tbl_ResidentData[[#This Row],[Discharge '[mmm-yyyy']]]&gt;=AK$4)))))</f>
        <v>-</v>
      </c>
      <c r="AL162" s="121" t="str">
        <f ca="1">IF(AL$4&gt;NOW(),"-",IF(ISBLANK(Tbl_ResidentData[[#This Row],[Enrollment '[mmm-yyyy']]]),"-",AND((Tbl_ResidentData[[#This Row],[Enrollment '[mmm-yyyy']]]&lt;=AL$4),IF(ISBLANK(Tbl_ResidentData[[#This Row],[Discharge '[mmm-yyyy']]]),TRUE,(Tbl_ResidentData[[#This Row],[Discharge '[mmm-yyyy']]]&gt;=AL$4)))))</f>
        <v>-</v>
      </c>
      <c r="AM162" s="121" t="str">
        <f ca="1">IF(AM$4&gt;NOW(),"-",IF(ISBLANK(Tbl_ResidentData[[#This Row],[Enrollment '[mmm-yyyy']]]),"-",AND((Tbl_ResidentData[[#This Row],[Enrollment '[mmm-yyyy']]]&lt;=AM$4),IF(ISBLANK(Tbl_ResidentData[[#This Row],[Discharge '[mmm-yyyy']]]),TRUE,(Tbl_ResidentData[[#This Row],[Discharge '[mmm-yyyy']]]&gt;=AM$4)))))</f>
        <v>-</v>
      </c>
      <c r="AN162" s="121" t="str">
        <f ca="1">IF(AN$4&gt;NOW(),"-",IF(ISBLANK(Tbl_ResidentData[[#This Row],[Enrollment '[mmm-yyyy']]]),"-",AND((Tbl_ResidentData[[#This Row],[Enrollment '[mmm-yyyy']]]&lt;=AN$4),IF(ISBLANK(Tbl_ResidentData[[#This Row],[Discharge '[mmm-yyyy']]]),TRUE,(Tbl_ResidentData[[#This Row],[Discharge '[mmm-yyyy']]]&gt;=AN$4)))))</f>
        <v>-</v>
      </c>
      <c r="AO162" s="121" t="str">
        <f ca="1">IF(AO$4&gt;NOW(),"-",IF(ISBLANK(Tbl_ResidentData[[#This Row],[Enrollment '[mmm-yyyy']]]),"-",AND((Tbl_ResidentData[[#This Row],[Enrollment '[mmm-yyyy']]]&lt;=AO$4),IF(ISBLANK(Tbl_ResidentData[[#This Row],[Discharge '[mmm-yyyy']]]),TRUE,(Tbl_ResidentData[[#This Row],[Discharge '[mmm-yyyy']]]&gt;=AO$4)))))</f>
        <v>-</v>
      </c>
      <c r="AP162" s="121" t="str">
        <f ca="1">IF(AP$4&gt;NOW(),"-",IF(ISBLANK(Tbl_ResidentData[[#This Row],[Enrollment '[mmm-yyyy']]]),"-",AND((Tbl_ResidentData[[#This Row],[Enrollment '[mmm-yyyy']]]&lt;=AP$4),IF(ISBLANK(Tbl_ResidentData[[#This Row],[Discharge '[mmm-yyyy']]]),TRUE,(Tbl_ResidentData[[#This Row],[Discharge '[mmm-yyyy']]]&gt;=AP$4)))))</f>
        <v>-</v>
      </c>
      <c r="AQ162" s="121" t="str">
        <f ca="1">IF(AQ$4&gt;NOW(),"-",IF(ISBLANK(Tbl_ResidentData[[#This Row],[Enrollment '[mmm-yyyy']]]),"-",AND((Tbl_ResidentData[[#This Row],[Enrollment '[mmm-yyyy']]]&lt;=AQ$4),IF(ISBLANK(Tbl_ResidentData[[#This Row],[Discharge '[mmm-yyyy']]]),TRUE,(Tbl_ResidentData[[#This Row],[Discharge '[mmm-yyyy']]]&gt;=AQ$4)))))</f>
        <v>-</v>
      </c>
      <c r="AR162" s="122" t="str">
        <f ca="1">IF(AR$4&gt;NOW(),"-",IF(ISBLANK(Tbl_ResidentData[[#This Row],[Enrollment '[mmm-yyyy']]]),"-",AND((Tbl_ResidentData[[#This Row],[Enrollment '[mmm-yyyy']]]&lt;=AR$4),IF(ISBLANK(Tbl_ResidentData[[#This Row],[Discharge '[mmm-yyyy']]]),TRUE,(Tbl_ResidentData[[#This Row],[Discharge '[mmm-yyyy']]]&gt;=AR$4)))))</f>
        <v>-</v>
      </c>
      <c r="AS16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2" s="120" t="b">
        <f ca="1">AND(Tbl_ResidentData[[#This Row],[PRN Med Started]]&lt;&gt;"",Tbl_ResidentData[[#This Row],[PRN Med Started]]&lt;=NOW(),Tbl_ResidentData[[#This Row],[PRN Med Started]]&lt;=AS$4,OR(Tbl_ResidentData[[#This Row],[PRN Med Discontinued]]&gt;AS$4,ISBLANK(Tbl_ResidentData[[#This Row],[PRN Med Discontinued]])))</f>
        <v>0</v>
      </c>
      <c r="BR162" s="121" t="b">
        <f ca="1">AND(Tbl_ResidentData[[#This Row],[PRN Med Started]]&lt;&gt;"",Tbl_ResidentData[[#This Row],[PRN Med Started]]&lt;=NOW(),Tbl_ResidentData[[#This Row],[PRN Med Started]]&lt;=AT$4,OR(Tbl_ResidentData[[#This Row],[PRN Med Discontinued]]&gt;AT$4,ISBLANK(Tbl_ResidentData[[#This Row],[PRN Med Discontinued]])))</f>
        <v>0</v>
      </c>
      <c r="BS162" s="121" t="b">
        <f ca="1">AND(Tbl_ResidentData[[#This Row],[PRN Med Started]]&lt;&gt;"",Tbl_ResidentData[[#This Row],[PRN Med Started]]&lt;=NOW(),Tbl_ResidentData[[#This Row],[PRN Med Started]]&lt;=AU$4,OR(Tbl_ResidentData[[#This Row],[PRN Med Discontinued]]&gt;AU$4,ISBLANK(Tbl_ResidentData[[#This Row],[PRN Med Discontinued]])))</f>
        <v>0</v>
      </c>
      <c r="BT162" s="121" t="b">
        <f ca="1">AND(Tbl_ResidentData[[#This Row],[PRN Med Started]]&lt;&gt;"",Tbl_ResidentData[[#This Row],[PRN Med Started]]&lt;=NOW(),Tbl_ResidentData[[#This Row],[PRN Med Started]]&lt;=AV$4,OR(Tbl_ResidentData[[#This Row],[PRN Med Discontinued]]&gt;AV$4,ISBLANK(Tbl_ResidentData[[#This Row],[PRN Med Discontinued]])))</f>
        <v>0</v>
      </c>
      <c r="BU162" s="121" t="b">
        <f ca="1">AND(Tbl_ResidentData[[#This Row],[PRN Med Started]]&lt;&gt;"",Tbl_ResidentData[[#This Row],[PRN Med Started]]&lt;=NOW(),Tbl_ResidentData[[#This Row],[PRN Med Started]]&lt;=AW$4,OR(Tbl_ResidentData[[#This Row],[PRN Med Discontinued]]&gt;AW$4,ISBLANK(Tbl_ResidentData[[#This Row],[PRN Med Discontinued]])))</f>
        <v>0</v>
      </c>
      <c r="BV162" s="121" t="b">
        <f ca="1">AND(Tbl_ResidentData[[#This Row],[PRN Med Started]]&lt;&gt;"",Tbl_ResidentData[[#This Row],[PRN Med Started]]&lt;=NOW(),Tbl_ResidentData[[#This Row],[PRN Med Started]]&lt;=AX$4,OR(Tbl_ResidentData[[#This Row],[PRN Med Discontinued]]&gt;AX$4,ISBLANK(Tbl_ResidentData[[#This Row],[PRN Med Discontinued]])))</f>
        <v>0</v>
      </c>
      <c r="BW162" s="121" t="b">
        <f ca="1">AND(Tbl_ResidentData[[#This Row],[PRN Med Started]]&lt;&gt;"",Tbl_ResidentData[[#This Row],[PRN Med Started]]&lt;=NOW(),Tbl_ResidentData[[#This Row],[PRN Med Started]]&lt;=AY$4,OR(Tbl_ResidentData[[#This Row],[PRN Med Discontinued]]&gt;AY$4,ISBLANK(Tbl_ResidentData[[#This Row],[PRN Med Discontinued]])))</f>
        <v>0</v>
      </c>
      <c r="BX162" s="121" t="b">
        <f ca="1">AND(Tbl_ResidentData[[#This Row],[PRN Med Started]]&lt;&gt;"",Tbl_ResidentData[[#This Row],[PRN Med Started]]&lt;=NOW(),Tbl_ResidentData[[#This Row],[PRN Med Started]]&lt;=AZ$4,OR(Tbl_ResidentData[[#This Row],[PRN Med Discontinued]]&gt;AZ$4,ISBLANK(Tbl_ResidentData[[#This Row],[PRN Med Discontinued]])))</f>
        <v>0</v>
      </c>
      <c r="BY162" s="121" t="b">
        <f ca="1">AND(Tbl_ResidentData[[#This Row],[PRN Med Started]]&lt;&gt;"",Tbl_ResidentData[[#This Row],[PRN Med Started]]&lt;=NOW(),Tbl_ResidentData[[#This Row],[PRN Med Started]]&lt;=BA$4,OR(Tbl_ResidentData[[#This Row],[PRN Med Discontinued]]&gt;BA$4,ISBLANK(Tbl_ResidentData[[#This Row],[PRN Med Discontinued]])))</f>
        <v>0</v>
      </c>
      <c r="BZ162" s="121" t="b">
        <f ca="1">AND(Tbl_ResidentData[[#This Row],[PRN Med Started]]&lt;&gt;"",Tbl_ResidentData[[#This Row],[PRN Med Started]]&lt;=NOW(),Tbl_ResidentData[[#This Row],[PRN Med Started]]&lt;=BB$4,OR(Tbl_ResidentData[[#This Row],[PRN Med Discontinued]]&gt;BB$4,ISBLANK(Tbl_ResidentData[[#This Row],[PRN Med Discontinued]])))</f>
        <v>0</v>
      </c>
      <c r="CA162" s="121" t="b">
        <f ca="1">AND(Tbl_ResidentData[[#This Row],[PRN Med Started]]&lt;&gt;"",Tbl_ResidentData[[#This Row],[PRN Med Started]]&lt;=NOW(),Tbl_ResidentData[[#This Row],[PRN Med Started]]&lt;=BC$4,OR(Tbl_ResidentData[[#This Row],[PRN Med Discontinued]]&gt;BC$4,ISBLANK(Tbl_ResidentData[[#This Row],[PRN Med Discontinued]])))</f>
        <v>0</v>
      </c>
      <c r="CB162" s="121" t="b">
        <f ca="1">AND(Tbl_ResidentData[[#This Row],[PRN Med Started]]&lt;&gt;"",Tbl_ResidentData[[#This Row],[PRN Med Started]]&lt;=NOW(),Tbl_ResidentData[[#This Row],[PRN Med Started]]&lt;=BD$4,OR(Tbl_ResidentData[[#This Row],[PRN Med Discontinued]]&gt;BD$4,ISBLANK(Tbl_ResidentData[[#This Row],[PRN Med Discontinued]])))</f>
        <v>0</v>
      </c>
      <c r="CC162" s="121" t="b">
        <f ca="1">AND(Tbl_ResidentData[[#This Row],[PRN Med Started]]&lt;&gt;"",Tbl_ResidentData[[#This Row],[PRN Med Started]]&lt;=NOW(),Tbl_ResidentData[[#This Row],[PRN Med Started]]&lt;=BE$4,OR(Tbl_ResidentData[[#This Row],[PRN Med Discontinued]]&gt;BE$4,ISBLANK(Tbl_ResidentData[[#This Row],[PRN Med Discontinued]])))</f>
        <v>0</v>
      </c>
      <c r="CD162" s="121" t="b">
        <f ca="1">AND(Tbl_ResidentData[[#This Row],[PRN Med Started]]&lt;&gt;"",Tbl_ResidentData[[#This Row],[PRN Med Started]]&lt;=NOW(),Tbl_ResidentData[[#This Row],[PRN Med Started]]&lt;=BF$4,OR(Tbl_ResidentData[[#This Row],[PRN Med Discontinued]]&gt;BF$4,ISBLANK(Tbl_ResidentData[[#This Row],[PRN Med Discontinued]])))</f>
        <v>0</v>
      </c>
      <c r="CE162" s="121" t="b">
        <f ca="1">AND(Tbl_ResidentData[[#This Row],[PRN Med Started]]&lt;&gt;"",Tbl_ResidentData[[#This Row],[PRN Med Started]]&lt;=NOW(),Tbl_ResidentData[[#This Row],[PRN Med Started]]&lt;=BG$4,OR(Tbl_ResidentData[[#This Row],[PRN Med Discontinued]]&gt;BG$4,ISBLANK(Tbl_ResidentData[[#This Row],[PRN Med Discontinued]])))</f>
        <v>0</v>
      </c>
      <c r="CF162" s="121" t="b">
        <f ca="1">AND(Tbl_ResidentData[[#This Row],[PRN Med Started]]&lt;&gt;"",Tbl_ResidentData[[#This Row],[PRN Med Started]]&lt;=NOW(),Tbl_ResidentData[[#This Row],[PRN Med Started]]&lt;=BH$4,OR(Tbl_ResidentData[[#This Row],[PRN Med Discontinued]]&gt;BH$4,ISBLANK(Tbl_ResidentData[[#This Row],[PRN Med Discontinued]])))</f>
        <v>0</v>
      </c>
      <c r="CG162" s="121" t="b">
        <f ca="1">AND(Tbl_ResidentData[[#This Row],[PRN Med Started]]&lt;&gt;"",Tbl_ResidentData[[#This Row],[PRN Med Started]]&lt;=NOW(),Tbl_ResidentData[[#This Row],[PRN Med Started]]&lt;=BI$4,OR(Tbl_ResidentData[[#This Row],[PRN Med Discontinued]]&gt;BI$4,ISBLANK(Tbl_ResidentData[[#This Row],[PRN Med Discontinued]])))</f>
        <v>0</v>
      </c>
      <c r="CH162" s="121" t="b">
        <f ca="1">AND(Tbl_ResidentData[[#This Row],[PRN Med Started]]&lt;&gt;"",Tbl_ResidentData[[#This Row],[PRN Med Started]]&lt;=NOW(),Tbl_ResidentData[[#This Row],[PRN Med Started]]&lt;=BJ$4,OR(Tbl_ResidentData[[#This Row],[PRN Med Discontinued]]&gt;BJ$4,ISBLANK(Tbl_ResidentData[[#This Row],[PRN Med Discontinued]])))</f>
        <v>0</v>
      </c>
      <c r="CI162" s="121" t="b">
        <f ca="1">AND(Tbl_ResidentData[[#This Row],[PRN Med Started]]&lt;&gt;"",Tbl_ResidentData[[#This Row],[PRN Med Started]]&lt;=NOW(),Tbl_ResidentData[[#This Row],[PRN Med Started]]&lt;=BK$4,OR(Tbl_ResidentData[[#This Row],[PRN Med Discontinued]]&gt;BK$4,ISBLANK(Tbl_ResidentData[[#This Row],[PRN Med Discontinued]])))</f>
        <v>0</v>
      </c>
      <c r="CJ162" s="121" t="b">
        <f ca="1">AND(Tbl_ResidentData[[#This Row],[PRN Med Started]]&lt;&gt;"",Tbl_ResidentData[[#This Row],[PRN Med Started]]&lt;=NOW(),Tbl_ResidentData[[#This Row],[PRN Med Started]]&lt;=BL$4,OR(Tbl_ResidentData[[#This Row],[PRN Med Discontinued]]&gt;BL$4,ISBLANK(Tbl_ResidentData[[#This Row],[PRN Med Discontinued]])))</f>
        <v>0</v>
      </c>
      <c r="CK162" s="121" t="b">
        <f ca="1">AND(Tbl_ResidentData[[#This Row],[PRN Med Started]]&lt;&gt;"",Tbl_ResidentData[[#This Row],[PRN Med Started]]&lt;=NOW(),Tbl_ResidentData[[#This Row],[PRN Med Started]]&lt;=BM$4,OR(Tbl_ResidentData[[#This Row],[PRN Med Discontinued]]&gt;BM$4,ISBLANK(Tbl_ResidentData[[#This Row],[PRN Med Discontinued]])))</f>
        <v>0</v>
      </c>
      <c r="CL162" s="121" t="b">
        <f ca="1">AND(Tbl_ResidentData[[#This Row],[PRN Med Started]]&lt;&gt;"",Tbl_ResidentData[[#This Row],[PRN Med Started]]&lt;=NOW(),Tbl_ResidentData[[#This Row],[PRN Med Started]]&lt;=BN$4,OR(Tbl_ResidentData[[#This Row],[PRN Med Discontinued]]&gt;BN$4,ISBLANK(Tbl_ResidentData[[#This Row],[PRN Med Discontinued]])))</f>
        <v>0</v>
      </c>
      <c r="CM162" s="121" t="b">
        <f ca="1">AND(Tbl_ResidentData[[#This Row],[PRN Med Started]]&lt;&gt;"",Tbl_ResidentData[[#This Row],[PRN Med Started]]&lt;=NOW(),Tbl_ResidentData[[#This Row],[PRN Med Started]]&lt;=BO$4,OR(Tbl_ResidentData[[#This Row],[PRN Med Discontinued]]&gt;BO$4,ISBLANK(Tbl_ResidentData[[#This Row],[PRN Med Discontinued]])))</f>
        <v>0</v>
      </c>
      <c r="CN162" s="122" t="b">
        <f ca="1">AND(Tbl_ResidentData[[#This Row],[PRN Med Started]]&lt;&gt;"",Tbl_ResidentData[[#This Row],[PRN Med Started]]&lt;=NOW(),Tbl_ResidentData[[#This Row],[PRN Med Started]]&lt;=BP$4,OR(Tbl_ResidentData[[#This Row],[PRN Med Discontinued]]&gt;BP$4,ISBLANK(Tbl_ResidentData[[#This Row],[PRN Med Discontinued]])))</f>
        <v>0</v>
      </c>
      <c r="CO162" s="120">
        <f ca="1">IF(OR(Tbl_ResidentData[[#This Row],[S1]]=TRUE,Tbl_ResidentData[[#This Row],[P1]]=TRUE),1,0)</f>
        <v>0</v>
      </c>
      <c r="CP162" s="121">
        <f ca="1">IF(OR(Tbl_ResidentData[[#This Row],[S2]]=TRUE,Tbl_ResidentData[[#This Row],[P2]]=TRUE),1,0)</f>
        <v>0</v>
      </c>
      <c r="CQ162" s="121">
        <f ca="1">IF(OR(Tbl_ResidentData[[#This Row],[S3]]=TRUE,Tbl_ResidentData[[#This Row],[P3]]=TRUE),1,0)</f>
        <v>0</v>
      </c>
      <c r="CR162" s="120">
        <f ca="1">IF(OR(Tbl_ResidentData[[#This Row],[S4]]=TRUE,Tbl_ResidentData[[#This Row],[P4]]=TRUE),1,0)</f>
        <v>0</v>
      </c>
      <c r="CS162" s="120">
        <f ca="1">IF(OR(Tbl_ResidentData[[#This Row],[S5]]=TRUE,Tbl_ResidentData[[#This Row],[P5]]=TRUE),1,0)</f>
        <v>0</v>
      </c>
      <c r="CT162" s="120">
        <f ca="1">IF(OR(Tbl_ResidentData[[#This Row],[S6]]=TRUE,Tbl_ResidentData[[#This Row],[P6]]=TRUE),1,0)</f>
        <v>0</v>
      </c>
      <c r="CU162" s="120">
        <f ca="1">IF(OR(Tbl_ResidentData[[#This Row],[S7]]=TRUE,Tbl_ResidentData[[#This Row],[P7]]=TRUE),1,0)</f>
        <v>0</v>
      </c>
      <c r="CV162" s="120">
        <f ca="1">IF(OR(Tbl_ResidentData[[#This Row],[S8]]=TRUE,Tbl_ResidentData[[#This Row],[P8]]=TRUE),1,0)</f>
        <v>0</v>
      </c>
      <c r="CW162" s="120">
        <f ca="1">IF(OR(Tbl_ResidentData[[#This Row],[S9]]=TRUE,Tbl_ResidentData[[#This Row],[P9]]=TRUE),1,0)</f>
        <v>0</v>
      </c>
      <c r="CX162" s="120">
        <f ca="1">IF(OR(Tbl_ResidentData[[#This Row],[S10]]=TRUE,Tbl_ResidentData[[#This Row],[P10]]=TRUE),1,0)</f>
        <v>0</v>
      </c>
      <c r="CY162" s="120">
        <f ca="1">IF(OR(Tbl_ResidentData[[#This Row],[S11]]=TRUE,Tbl_ResidentData[[#This Row],[P11]]=TRUE),1,0)</f>
        <v>0</v>
      </c>
      <c r="CZ162" s="120">
        <f ca="1">IF(OR(Tbl_ResidentData[[#This Row],[S12]]=TRUE,Tbl_ResidentData[[#This Row],[P12]]=TRUE),1,0)</f>
        <v>0</v>
      </c>
      <c r="DA162" s="120">
        <f ca="1">IF(OR(Tbl_ResidentData[[#This Row],[S13]]=TRUE,Tbl_ResidentData[[#This Row],[P13]]=TRUE),1,0)</f>
        <v>0</v>
      </c>
      <c r="DB162" s="120">
        <f ca="1">IF(OR(Tbl_ResidentData[[#This Row],[S14]]=TRUE,Tbl_ResidentData[[#This Row],[P14]]=TRUE),1,0)</f>
        <v>0</v>
      </c>
      <c r="DC162" s="120">
        <f ca="1">IF(OR(Tbl_ResidentData[[#This Row],[S15]]=TRUE,Tbl_ResidentData[[#This Row],[P15]]=TRUE),1,0)</f>
        <v>0</v>
      </c>
      <c r="DD162" s="120">
        <f ca="1">IF(OR(Tbl_ResidentData[[#This Row],[S16]]=TRUE,Tbl_ResidentData[[#This Row],[P16]]=TRUE),1,0)</f>
        <v>0</v>
      </c>
      <c r="DE162" s="120">
        <f ca="1">IF(OR(Tbl_ResidentData[[#This Row],[S17]]=TRUE,Tbl_ResidentData[[#This Row],[P17]]=TRUE),1,0)</f>
        <v>0</v>
      </c>
      <c r="DF162" s="120">
        <f ca="1">IF(OR(Tbl_ResidentData[[#This Row],[S18]]=TRUE,Tbl_ResidentData[[#This Row],[P18]]=TRUE),1,0)</f>
        <v>0</v>
      </c>
      <c r="DG162" s="120">
        <f ca="1">IF(OR(Tbl_ResidentData[[#This Row],[S19]]=TRUE,Tbl_ResidentData[[#This Row],[P19]]=TRUE),1,0)</f>
        <v>0</v>
      </c>
      <c r="DH162" s="120">
        <f ca="1">IF(OR(Tbl_ResidentData[[#This Row],[S20]]=TRUE,Tbl_ResidentData[[#This Row],[P20]]=TRUE),1,0)</f>
        <v>0</v>
      </c>
      <c r="DI162" s="120">
        <f ca="1">IF(OR(Tbl_ResidentData[[#This Row],[S21]]=TRUE,Tbl_ResidentData[[#This Row],[P21]]=TRUE),1,0)</f>
        <v>0</v>
      </c>
      <c r="DJ162" s="120">
        <f ca="1">IF(OR(Tbl_ResidentData[[#This Row],[S22]]=TRUE,Tbl_ResidentData[[#This Row],[P22]]=TRUE),1,0)</f>
        <v>0</v>
      </c>
      <c r="DK162" s="120">
        <f ca="1">IF(OR(Tbl_ResidentData[[#This Row],[S23]]=TRUE,Tbl_ResidentData[[#This Row],[P23]]=TRUE),1,0)</f>
        <v>0</v>
      </c>
      <c r="DL162" s="120">
        <f ca="1">IF(OR(Tbl_ResidentData[[#This Row],[S24]]=TRUE,Tbl_ResidentData[[#This Row],[P24]]=TRUE),1,0)</f>
        <v>0</v>
      </c>
      <c r="DM162" s="123" t="str">
        <f ca="1">IFERROR(INDEX($CO$4:$DL$4,MATCH(TRUE,INDEX((Tbl_ResidentData[[#This Row],[Over1]:[Over24]]&lt;&gt;0),0),0)),"")</f>
        <v/>
      </c>
      <c r="DN162" s="133" t="str">
        <f>IFERROR(INDEX(Tbl_PDSAData[Last DRT],MATCH(Tbl_ResidentData[Resident Name '[last, first']],Tbl_PDSAData[Resident Name (last, first)],0)),"")</f>
        <v/>
      </c>
      <c r="DO162" s="222" t="str">
        <f>IFERROR(INDEX(Tbl_PDSAData[Last MR],MATCH(Tbl_ResidentData[Resident Name '[last, first']],Tbl_PDSAData[Resident Name (last, first)],0)),"")</f>
        <v/>
      </c>
    </row>
    <row r="163" spans="1:119" x14ac:dyDescent="0.25">
      <c r="A163" s="179"/>
      <c r="B163" s="180"/>
      <c r="C163" s="180"/>
      <c r="D163" s="218"/>
      <c r="E163" s="179"/>
      <c r="F163" s="179"/>
      <c r="G163" s="181"/>
      <c r="H163" s="375"/>
      <c r="I163" s="185"/>
      <c r="J163" s="387"/>
      <c r="K163" s="178"/>
      <c r="L163" s="388"/>
      <c r="M163" s="185"/>
      <c r="N163" s="386"/>
      <c r="O163" s="178"/>
      <c r="P163" s="388"/>
      <c r="Q163" s="395"/>
      <c r="R163" s="396"/>
      <c r="S163" s="131" t="str">
        <f>IF(ISBLANK(Tbl_ResidentData[[#This Row],[Discharge '[mmm-yyyy']]]),IF(ISBLANK(Tbl_ResidentData[[#This Row],[Enrollment '[mmm-yyyy']]]),"","In Care Home"),"Discharged")</f>
        <v/>
      </c>
      <c r="T163" s="119" t="str">
        <f>IF(ISBLANK(Tbl_ResidentData[[#This Row],[Diagnosis (RAI)]]),IF(ISBLANK(Tbl_ResidentData[[#This Row],[Resident Name '[last, first']]]),"",0),IF(Tbl_ResidentData[[#This Row],[Diagnosis (RAI)]]="Other (see clinical notes)",0,1))</f>
        <v/>
      </c>
      <c r="U163" s="120" t="str">
        <f ca="1">IF(U$4&gt;NOW(),"-",IF(ISBLANK(Tbl_ResidentData[[#This Row],[Enrollment '[mmm-yyyy']]]),"-",AND((Tbl_ResidentData[[#This Row],[Enrollment '[mmm-yyyy']]]&lt;=U$4),IF(ISBLANK(Tbl_ResidentData[[#This Row],[Discharge '[mmm-yyyy']]]),TRUE,(Tbl_ResidentData[[#This Row],[Discharge '[mmm-yyyy']]]&gt;=U$4)))))</f>
        <v>-</v>
      </c>
      <c r="V163" s="121" t="str">
        <f ca="1">IF(V$4&gt;NOW(),"-",IF(ISBLANK(Tbl_ResidentData[[#This Row],[Enrollment '[mmm-yyyy']]]),"-",AND((Tbl_ResidentData[[#This Row],[Enrollment '[mmm-yyyy']]]&lt;=V$4),IF(ISBLANK(Tbl_ResidentData[[#This Row],[Discharge '[mmm-yyyy']]]),TRUE,(Tbl_ResidentData[[#This Row],[Discharge '[mmm-yyyy']]]&gt;=V$4)))))</f>
        <v>-</v>
      </c>
      <c r="W163" s="121" t="str">
        <f ca="1">IF(W$4&gt;NOW(),"-",IF(ISBLANK(Tbl_ResidentData[[#This Row],[Enrollment '[mmm-yyyy']]]),"-",AND((Tbl_ResidentData[[#This Row],[Enrollment '[mmm-yyyy']]]&lt;=W$4),IF(ISBLANK(Tbl_ResidentData[[#This Row],[Discharge '[mmm-yyyy']]]),TRUE,(Tbl_ResidentData[[#This Row],[Discharge '[mmm-yyyy']]]&gt;=W$4)))))</f>
        <v>-</v>
      </c>
      <c r="X163" s="121" t="str">
        <f ca="1">IF(X$4&gt;NOW(),"-",IF(ISBLANK(Tbl_ResidentData[[#This Row],[Enrollment '[mmm-yyyy']]]),"-",AND((Tbl_ResidentData[[#This Row],[Enrollment '[mmm-yyyy']]]&lt;=X$4),IF(ISBLANK(Tbl_ResidentData[[#This Row],[Discharge '[mmm-yyyy']]]),TRUE,(Tbl_ResidentData[[#This Row],[Discharge '[mmm-yyyy']]]&gt;=X$4)))))</f>
        <v>-</v>
      </c>
      <c r="Y163" s="121" t="str">
        <f ca="1">IF(Y$4&gt;NOW(),"-",IF(ISBLANK(Tbl_ResidentData[[#This Row],[Enrollment '[mmm-yyyy']]]),"-",AND((Tbl_ResidentData[[#This Row],[Enrollment '[mmm-yyyy']]]&lt;=Y$4),IF(ISBLANK(Tbl_ResidentData[[#This Row],[Discharge '[mmm-yyyy']]]),TRUE,(Tbl_ResidentData[[#This Row],[Discharge '[mmm-yyyy']]]&gt;=Y$4)))))</f>
        <v>-</v>
      </c>
      <c r="Z163" s="121" t="str">
        <f ca="1">IF(Z$4&gt;NOW(),"-",IF(ISBLANK(Tbl_ResidentData[[#This Row],[Enrollment '[mmm-yyyy']]]),"-",AND((Tbl_ResidentData[[#This Row],[Enrollment '[mmm-yyyy']]]&lt;=Z$4),IF(ISBLANK(Tbl_ResidentData[[#This Row],[Discharge '[mmm-yyyy']]]),TRUE,(Tbl_ResidentData[[#This Row],[Discharge '[mmm-yyyy']]]&gt;=Z$4)))))</f>
        <v>-</v>
      </c>
      <c r="AA163" s="121" t="str">
        <f ca="1">IF(AA$4&gt;NOW(),"-",IF(ISBLANK(Tbl_ResidentData[[#This Row],[Enrollment '[mmm-yyyy']]]),"-",AND((Tbl_ResidentData[[#This Row],[Enrollment '[mmm-yyyy']]]&lt;=AA$4),IF(ISBLANK(Tbl_ResidentData[[#This Row],[Discharge '[mmm-yyyy']]]),TRUE,(Tbl_ResidentData[[#This Row],[Discharge '[mmm-yyyy']]]&gt;=AA$4)))))</f>
        <v>-</v>
      </c>
      <c r="AB163" s="121" t="str">
        <f ca="1">IF(AB$4&gt;NOW(),"-",IF(ISBLANK(Tbl_ResidentData[[#This Row],[Enrollment '[mmm-yyyy']]]),"-",AND((Tbl_ResidentData[[#This Row],[Enrollment '[mmm-yyyy']]]&lt;=AB$4),IF(ISBLANK(Tbl_ResidentData[[#This Row],[Discharge '[mmm-yyyy']]]),TRUE,(Tbl_ResidentData[[#This Row],[Discharge '[mmm-yyyy']]]&gt;=AB$4)))))</f>
        <v>-</v>
      </c>
      <c r="AC163" s="121" t="str">
        <f ca="1">IF(AC$4&gt;NOW(),"-",IF(ISBLANK(Tbl_ResidentData[[#This Row],[Enrollment '[mmm-yyyy']]]),"-",AND((Tbl_ResidentData[[#This Row],[Enrollment '[mmm-yyyy']]]&lt;=AC$4),IF(ISBLANK(Tbl_ResidentData[[#This Row],[Discharge '[mmm-yyyy']]]),TRUE,(Tbl_ResidentData[[#This Row],[Discharge '[mmm-yyyy']]]&gt;=AC$4)))))</f>
        <v>-</v>
      </c>
      <c r="AD163" s="121" t="str">
        <f ca="1">IF(AD$4&gt;NOW(),"-",IF(ISBLANK(Tbl_ResidentData[[#This Row],[Enrollment '[mmm-yyyy']]]),"-",AND((Tbl_ResidentData[[#This Row],[Enrollment '[mmm-yyyy']]]&lt;=AD$4),IF(ISBLANK(Tbl_ResidentData[[#This Row],[Discharge '[mmm-yyyy']]]),TRUE,(Tbl_ResidentData[[#This Row],[Discharge '[mmm-yyyy']]]&gt;=AD$4)))))</f>
        <v>-</v>
      </c>
      <c r="AE163" s="121" t="str">
        <f ca="1">IF(AE$4&gt;NOW(),"-",IF(ISBLANK(Tbl_ResidentData[[#This Row],[Enrollment '[mmm-yyyy']]]),"-",AND((Tbl_ResidentData[[#This Row],[Enrollment '[mmm-yyyy']]]&lt;=AE$4),IF(ISBLANK(Tbl_ResidentData[[#This Row],[Discharge '[mmm-yyyy']]]),TRUE,(Tbl_ResidentData[[#This Row],[Discharge '[mmm-yyyy']]]&gt;=AE$4)))))</f>
        <v>-</v>
      </c>
      <c r="AF163" s="121" t="str">
        <f ca="1">IF(AF$4&gt;NOW(),"-",IF(ISBLANK(Tbl_ResidentData[[#This Row],[Enrollment '[mmm-yyyy']]]),"-",AND((Tbl_ResidentData[[#This Row],[Enrollment '[mmm-yyyy']]]&lt;=AF$4),IF(ISBLANK(Tbl_ResidentData[[#This Row],[Discharge '[mmm-yyyy']]]),TRUE,(Tbl_ResidentData[[#This Row],[Discharge '[mmm-yyyy']]]&gt;=AF$4)))))</f>
        <v>-</v>
      </c>
      <c r="AG163" s="121" t="str">
        <f ca="1">IF(AG$4&gt;NOW(),"-",IF(ISBLANK(Tbl_ResidentData[[#This Row],[Enrollment '[mmm-yyyy']]]),"-",AND((Tbl_ResidentData[[#This Row],[Enrollment '[mmm-yyyy']]]&lt;=AG$4),IF(ISBLANK(Tbl_ResidentData[[#This Row],[Discharge '[mmm-yyyy']]]),TRUE,(Tbl_ResidentData[[#This Row],[Discharge '[mmm-yyyy']]]&gt;=AG$4)))))</f>
        <v>-</v>
      </c>
      <c r="AH163" s="121" t="str">
        <f ca="1">IF(AH$4&gt;NOW(),"-",IF(ISBLANK(Tbl_ResidentData[[#This Row],[Enrollment '[mmm-yyyy']]]),"-",AND((Tbl_ResidentData[[#This Row],[Enrollment '[mmm-yyyy']]]&lt;=AH$4),IF(ISBLANK(Tbl_ResidentData[[#This Row],[Discharge '[mmm-yyyy']]]),TRUE,(Tbl_ResidentData[[#This Row],[Discharge '[mmm-yyyy']]]&gt;=AH$4)))))</f>
        <v>-</v>
      </c>
      <c r="AI163" s="121" t="str">
        <f ca="1">IF(AI$4&gt;NOW(),"-",IF(ISBLANK(Tbl_ResidentData[[#This Row],[Enrollment '[mmm-yyyy']]]),"-",AND((Tbl_ResidentData[[#This Row],[Enrollment '[mmm-yyyy']]]&lt;=AI$4),IF(ISBLANK(Tbl_ResidentData[[#This Row],[Discharge '[mmm-yyyy']]]),TRUE,(Tbl_ResidentData[[#This Row],[Discharge '[mmm-yyyy']]]&gt;=AI$4)))))</f>
        <v>-</v>
      </c>
      <c r="AJ163" s="121" t="str">
        <f ca="1">IF(AJ$4&gt;NOW(),"-",IF(ISBLANK(Tbl_ResidentData[[#This Row],[Enrollment '[mmm-yyyy']]]),"-",AND((Tbl_ResidentData[[#This Row],[Enrollment '[mmm-yyyy']]]&lt;=AJ$4),IF(ISBLANK(Tbl_ResidentData[[#This Row],[Discharge '[mmm-yyyy']]]),TRUE,(Tbl_ResidentData[[#This Row],[Discharge '[mmm-yyyy']]]&gt;=AJ$4)))))</f>
        <v>-</v>
      </c>
      <c r="AK163" s="121" t="str">
        <f ca="1">IF(AK$4&gt;NOW(),"-",IF(ISBLANK(Tbl_ResidentData[[#This Row],[Enrollment '[mmm-yyyy']]]),"-",AND((Tbl_ResidentData[[#This Row],[Enrollment '[mmm-yyyy']]]&lt;=AK$4),IF(ISBLANK(Tbl_ResidentData[[#This Row],[Discharge '[mmm-yyyy']]]),TRUE,(Tbl_ResidentData[[#This Row],[Discharge '[mmm-yyyy']]]&gt;=AK$4)))))</f>
        <v>-</v>
      </c>
      <c r="AL163" s="121" t="str">
        <f ca="1">IF(AL$4&gt;NOW(),"-",IF(ISBLANK(Tbl_ResidentData[[#This Row],[Enrollment '[mmm-yyyy']]]),"-",AND((Tbl_ResidentData[[#This Row],[Enrollment '[mmm-yyyy']]]&lt;=AL$4),IF(ISBLANK(Tbl_ResidentData[[#This Row],[Discharge '[mmm-yyyy']]]),TRUE,(Tbl_ResidentData[[#This Row],[Discharge '[mmm-yyyy']]]&gt;=AL$4)))))</f>
        <v>-</v>
      </c>
      <c r="AM163" s="121" t="str">
        <f ca="1">IF(AM$4&gt;NOW(),"-",IF(ISBLANK(Tbl_ResidentData[[#This Row],[Enrollment '[mmm-yyyy']]]),"-",AND((Tbl_ResidentData[[#This Row],[Enrollment '[mmm-yyyy']]]&lt;=AM$4),IF(ISBLANK(Tbl_ResidentData[[#This Row],[Discharge '[mmm-yyyy']]]),TRUE,(Tbl_ResidentData[[#This Row],[Discharge '[mmm-yyyy']]]&gt;=AM$4)))))</f>
        <v>-</v>
      </c>
      <c r="AN163" s="121" t="str">
        <f ca="1">IF(AN$4&gt;NOW(),"-",IF(ISBLANK(Tbl_ResidentData[[#This Row],[Enrollment '[mmm-yyyy']]]),"-",AND((Tbl_ResidentData[[#This Row],[Enrollment '[mmm-yyyy']]]&lt;=AN$4),IF(ISBLANK(Tbl_ResidentData[[#This Row],[Discharge '[mmm-yyyy']]]),TRUE,(Tbl_ResidentData[[#This Row],[Discharge '[mmm-yyyy']]]&gt;=AN$4)))))</f>
        <v>-</v>
      </c>
      <c r="AO163" s="121" t="str">
        <f ca="1">IF(AO$4&gt;NOW(),"-",IF(ISBLANK(Tbl_ResidentData[[#This Row],[Enrollment '[mmm-yyyy']]]),"-",AND((Tbl_ResidentData[[#This Row],[Enrollment '[mmm-yyyy']]]&lt;=AO$4),IF(ISBLANK(Tbl_ResidentData[[#This Row],[Discharge '[mmm-yyyy']]]),TRUE,(Tbl_ResidentData[[#This Row],[Discharge '[mmm-yyyy']]]&gt;=AO$4)))))</f>
        <v>-</v>
      </c>
      <c r="AP163" s="121" t="str">
        <f ca="1">IF(AP$4&gt;NOW(),"-",IF(ISBLANK(Tbl_ResidentData[[#This Row],[Enrollment '[mmm-yyyy']]]),"-",AND((Tbl_ResidentData[[#This Row],[Enrollment '[mmm-yyyy']]]&lt;=AP$4),IF(ISBLANK(Tbl_ResidentData[[#This Row],[Discharge '[mmm-yyyy']]]),TRUE,(Tbl_ResidentData[[#This Row],[Discharge '[mmm-yyyy']]]&gt;=AP$4)))))</f>
        <v>-</v>
      </c>
      <c r="AQ163" s="121" t="str">
        <f ca="1">IF(AQ$4&gt;NOW(),"-",IF(ISBLANK(Tbl_ResidentData[[#This Row],[Enrollment '[mmm-yyyy']]]),"-",AND((Tbl_ResidentData[[#This Row],[Enrollment '[mmm-yyyy']]]&lt;=AQ$4),IF(ISBLANK(Tbl_ResidentData[[#This Row],[Discharge '[mmm-yyyy']]]),TRUE,(Tbl_ResidentData[[#This Row],[Discharge '[mmm-yyyy']]]&gt;=AQ$4)))))</f>
        <v>-</v>
      </c>
      <c r="AR163" s="122" t="str">
        <f ca="1">IF(AR$4&gt;NOW(),"-",IF(ISBLANK(Tbl_ResidentData[[#This Row],[Enrollment '[mmm-yyyy']]]),"-",AND((Tbl_ResidentData[[#This Row],[Enrollment '[mmm-yyyy']]]&lt;=AR$4),IF(ISBLANK(Tbl_ResidentData[[#This Row],[Discharge '[mmm-yyyy']]]),TRUE,(Tbl_ResidentData[[#This Row],[Discharge '[mmm-yyyy']]]&gt;=AR$4)))))</f>
        <v>-</v>
      </c>
      <c r="AS16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3" s="120" t="b">
        <f ca="1">AND(Tbl_ResidentData[[#This Row],[PRN Med Started]]&lt;&gt;"",Tbl_ResidentData[[#This Row],[PRN Med Started]]&lt;=NOW(),Tbl_ResidentData[[#This Row],[PRN Med Started]]&lt;=AS$4,OR(Tbl_ResidentData[[#This Row],[PRN Med Discontinued]]&gt;AS$4,ISBLANK(Tbl_ResidentData[[#This Row],[PRN Med Discontinued]])))</f>
        <v>0</v>
      </c>
      <c r="BR163" s="121" t="b">
        <f ca="1">AND(Tbl_ResidentData[[#This Row],[PRN Med Started]]&lt;&gt;"",Tbl_ResidentData[[#This Row],[PRN Med Started]]&lt;=NOW(),Tbl_ResidentData[[#This Row],[PRN Med Started]]&lt;=AT$4,OR(Tbl_ResidentData[[#This Row],[PRN Med Discontinued]]&gt;AT$4,ISBLANK(Tbl_ResidentData[[#This Row],[PRN Med Discontinued]])))</f>
        <v>0</v>
      </c>
      <c r="BS163" s="121" t="b">
        <f ca="1">AND(Tbl_ResidentData[[#This Row],[PRN Med Started]]&lt;&gt;"",Tbl_ResidentData[[#This Row],[PRN Med Started]]&lt;=NOW(),Tbl_ResidentData[[#This Row],[PRN Med Started]]&lt;=AU$4,OR(Tbl_ResidentData[[#This Row],[PRN Med Discontinued]]&gt;AU$4,ISBLANK(Tbl_ResidentData[[#This Row],[PRN Med Discontinued]])))</f>
        <v>0</v>
      </c>
      <c r="BT163" s="121" t="b">
        <f ca="1">AND(Tbl_ResidentData[[#This Row],[PRN Med Started]]&lt;&gt;"",Tbl_ResidentData[[#This Row],[PRN Med Started]]&lt;=NOW(),Tbl_ResidentData[[#This Row],[PRN Med Started]]&lt;=AV$4,OR(Tbl_ResidentData[[#This Row],[PRN Med Discontinued]]&gt;AV$4,ISBLANK(Tbl_ResidentData[[#This Row],[PRN Med Discontinued]])))</f>
        <v>0</v>
      </c>
      <c r="BU163" s="121" t="b">
        <f ca="1">AND(Tbl_ResidentData[[#This Row],[PRN Med Started]]&lt;&gt;"",Tbl_ResidentData[[#This Row],[PRN Med Started]]&lt;=NOW(),Tbl_ResidentData[[#This Row],[PRN Med Started]]&lt;=AW$4,OR(Tbl_ResidentData[[#This Row],[PRN Med Discontinued]]&gt;AW$4,ISBLANK(Tbl_ResidentData[[#This Row],[PRN Med Discontinued]])))</f>
        <v>0</v>
      </c>
      <c r="BV163" s="121" t="b">
        <f ca="1">AND(Tbl_ResidentData[[#This Row],[PRN Med Started]]&lt;&gt;"",Tbl_ResidentData[[#This Row],[PRN Med Started]]&lt;=NOW(),Tbl_ResidentData[[#This Row],[PRN Med Started]]&lt;=AX$4,OR(Tbl_ResidentData[[#This Row],[PRN Med Discontinued]]&gt;AX$4,ISBLANK(Tbl_ResidentData[[#This Row],[PRN Med Discontinued]])))</f>
        <v>0</v>
      </c>
      <c r="BW163" s="121" t="b">
        <f ca="1">AND(Tbl_ResidentData[[#This Row],[PRN Med Started]]&lt;&gt;"",Tbl_ResidentData[[#This Row],[PRN Med Started]]&lt;=NOW(),Tbl_ResidentData[[#This Row],[PRN Med Started]]&lt;=AY$4,OR(Tbl_ResidentData[[#This Row],[PRN Med Discontinued]]&gt;AY$4,ISBLANK(Tbl_ResidentData[[#This Row],[PRN Med Discontinued]])))</f>
        <v>0</v>
      </c>
      <c r="BX163" s="121" t="b">
        <f ca="1">AND(Tbl_ResidentData[[#This Row],[PRN Med Started]]&lt;&gt;"",Tbl_ResidentData[[#This Row],[PRN Med Started]]&lt;=NOW(),Tbl_ResidentData[[#This Row],[PRN Med Started]]&lt;=AZ$4,OR(Tbl_ResidentData[[#This Row],[PRN Med Discontinued]]&gt;AZ$4,ISBLANK(Tbl_ResidentData[[#This Row],[PRN Med Discontinued]])))</f>
        <v>0</v>
      </c>
      <c r="BY163" s="121" t="b">
        <f ca="1">AND(Tbl_ResidentData[[#This Row],[PRN Med Started]]&lt;&gt;"",Tbl_ResidentData[[#This Row],[PRN Med Started]]&lt;=NOW(),Tbl_ResidentData[[#This Row],[PRN Med Started]]&lt;=BA$4,OR(Tbl_ResidentData[[#This Row],[PRN Med Discontinued]]&gt;BA$4,ISBLANK(Tbl_ResidentData[[#This Row],[PRN Med Discontinued]])))</f>
        <v>0</v>
      </c>
      <c r="BZ163" s="121" t="b">
        <f ca="1">AND(Tbl_ResidentData[[#This Row],[PRN Med Started]]&lt;&gt;"",Tbl_ResidentData[[#This Row],[PRN Med Started]]&lt;=NOW(),Tbl_ResidentData[[#This Row],[PRN Med Started]]&lt;=BB$4,OR(Tbl_ResidentData[[#This Row],[PRN Med Discontinued]]&gt;BB$4,ISBLANK(Tbl_ResidentData[[#This Row],[PRN Med Discontinued]])))</f>
        <v>0</v>
      </c>
      <c r="CA163" s="121" t="b">
        <f ca="1">AND(Tbl_ResidentData[[#This Row],[PRN Med Started]]&lt;&gt;"",Tbl_ResidentData[[#This Row],[PRN Med Started]]&lt;=NOW(),Tbl_ResidentData[[#This Row],[PRN Med Started]]&lt;=BC$4,OR(Tbl_ResidentData[[#This Row],[PRN Med Discontinued]]&gt;BC$4,ISBLANK(Tbl_ResidentData[[#This Row],[PRN Med Discontinued]])))</f>
        <v>0</v>
      </c>
      <c r="CB163" s="121" t="b">
        <f ca="1">AND(Tbl_ResidentData[[#This Row],[PRN Med Started]]&lt;&gt;"",Tbl_ResidentData[[#This Row],[PRN Med Started]]&lt;=NOW(),Tbl_ResidentData[[#This Row],[PRN Med Started]]&lt;=BD$4,OR(Tbl_ResidentData[[#This Row],[PRN Med Discontinued]]&gt;BD$4,ISBLANK(Tbl_ResidentData[[#This Row],[PRN Med Discontinued]])))</f>
        <v>0</v>
      </c>
      <c r="CC163" s="121" t="b">
        <f ca="1">AND(Tbl_ResidentData[[#This Row],[PRN Med Started]]&lt;&gt;"",Tbl_ResidentData[[#This Row],[PRN Med Started]]&lt;=NOW(),Tbl_ResidentData[[#This Row],[PRN Med Started]]&lt;=BE$4,OR(Tbl_ResidentData[[#This Row],[PRN Med Discontinued]]&gt;BE$4,ISBLANK(Tbl_ResidentData[[#This Row],[PRN Med Discontinued]])))</f>
        <v>0</v>
      </c>
      <c r="CD163" s="121" t="b">
        <f ca="1">AND(Tbl_ResidentData[[#This Row],[PRN Med Started]]&lt;&gt;"",Tbl_ResidentData[[#This Row],[PRN Med Started]]&lt;=NOW(),Tbl_ResidentData[[#This Row],[PRN Med Started]]&lt;=BF$4,OR(Tbl_ResidentData[[#This Row],[PRN Med Discontinued]]&gt;BF$4,ISBLANK(Tbl_ResidentData[[#This Row],[PRN Med Discontinued]])))</f>
        <v>0</v>
      </c>
      <c r="CE163" s="121" t="b">
        <f ca="1">AND(Tbl_ResidentData[[#This Row],[PRN Med Started]]&lt;&gt;"",Tbl_ResidentData[[#This Row],[PRN Med Started]]&lt;=NOW(),Tbl_ResidentData[[#This Row],[PRN Med Started]]&lt;=BG$4,OR(Tbl_ResidentData[[#This Row],[PRN Med Discontinued]]&gt;BG$4,ISBLANK(Tbl_ResidentData[[#This Row],[PRN Med Discontinued]])))</f>
        <v>0</v>
      </c>
      <c r="CF163" s="121" t="b">
        <f ca="1">AND(Tbl_ResidentData[[#This Row],[PRN Med Started]]&lt;&gt;"",Tbl_ResidentData[[#This Row],[PRN Med Started]]&lt;=NOW(),Tbl_ResidentData[[#This Row],[PRN Med Started]]&lt;=BH$4,OR(Tbl_ResidentData[[#This Row],[PRN Med Discontinued]]&gt;BH$4,ISBLANK(Tbl_ResidentData[[#This Row],[PRN Med Discontinued]])))</f>
        <v>0</v>
      </c>
      <c r="CG163" s="121" t="b">
        <f ca="1">AND(Tbl_ResidentData[[#This Row],[PRN Med Started]]&lt;&gt;"",Tbl_ResidentData[[#This Row],[PRN Med Started]]&lt;=NOW(),Tbl_ResidentData[[#This Row],[PRN Med Started]]&lt;=BI$4,OR(Tbl_ResidentData[[#This Row],[PRN Med Discontinued]]&gt;BI$4,ISBLANK(Tbl_ResidentData[[#This Row],[PRN Med Discontinued]])))</f>
        <v>0</v>
      </c>
      <c r="CH163" s="121" t="b">
        <f ca="1">AND(Tbl_ResidentData[[#This Row],[PRN Med Started]]&lt;&gt;"",Tbl_ResidentData[[#This Row],[PRN Med Started]]&lt;=NOW(),Tbl_ResidentData[[#This Row],[PRN Med Started]]&lt;=BJ$4,OR(Tbl_ResidentData[[#This Row],[PRN Med Discontinued]]&gt;BJ$4,ISBLANK(Tbl_ResidentData[[#This Row],[PRN Med Discontinued]])))</f>
        <v>0</v>
      </c>
      <c r="CI163" s="121" t="b">
        <f ca="1">AND(Tbl_ResidentData[[#This Row],[PRN Med Started]]&lt;&gt;"",Tbl_ResidentData[[#This Row],[PRN Med Started]]&lt;=NOW(),Tbl_ResidentData[[#This Row],[PRN Med Started]]&lt;=BK$4,OR(Tbl_ResidentData[[#This Row],[PRN Med Discontinued]]&gt;BK$4,ISBLANK(Tbl_ResidentData[[#This Row],[PRN Med Discontinued]])))</f>
        <v>0</v>
      </c>
      <c r="CJ163" s="121" t="b">
        <f ca="1">AND(Tbl_ResidentData[[#This Row],[PRN Med Started]]&lt;&gt;"",Tbl_ResidentData[[#This Row],[PRN Med Started]]&lt;=NOW(),Tbl_ResidentData[[#This Row],[PRN Med Started]]&lt;=BL$4,OR(Tbl_ResidentData[[#This Row],[PRN Med Discontinued]]&gt;BL$4,ISBLANK(Tbl_ResidentData[[#This Row],[PRN Med Discontinued]])))</f>
        <v>0</v>
      </c>
      <c r="CK163" s="121" t="b">
        <f ca="1">AND(Tbl_ResidentData[[#This Row],[PRN Med Started]]&lt;&gt;"",Tbl_ResidentData[[#This Row],[PRN Med Started]]&lt;=NOW(),Tbl_ResidentData[[#This Row],[PRN Med Started]]&lt;=BM$4,OR(Tbl_ResidentData[[#This Row],[PRN Med Discontinued]]&gt;BM$4,ISBLANK(Tbl_ResidentData[[#This Row],[PRN Med Discontinued]])))</f>
        <v>0</v>
      </c>
      <c r="CL163" s="121" t="b">
        <f ca="1">AND(Tbl_ResidentData[[#This Row],[PRN Med Started]]&lt;&gt;"",Tbl_ResidentData[[#This Row],[PRN Med Started]]&lt;=NOW(),Tbl_ResidentData[[#This Row],[PRN Med Started]]&lt;=BN$4,OR(Tbl_ResidentData[[#This Row],[PRN Med Discontinued]]&gt;BN$4,ISBLANK(Tbl_ResidentData[[#This Row],[PRN Med Discontinued]])))</f>
        <v>0</v>
      </c>
      <c r="CM163" s="121" t="b">
        <f ca="1">AND(Tbl_ResidentData[[#This Row],[PRN Med Started]]&lt;&gt;"",Tbl_ResidentData[[#This Row],[PRN Med Started]]&lt;=NOW(),Tbl_ResidentData[[#This Row],[PRN Med Started]]&lt;=BO$4,OR(Tbl_ResidentData[[#This Row],[PRN Med Discontinued]]&gt;BO$4,ISBLANK(Tbl_ResidentData[[#This Row],[PRN Med Discontinued]])))</f>
        <v>0</v>
      </c>
      <c r="CN163" s="122" t="b">
        <f ca="1">AND(Tbl_ResidentData[[#This Row],[PRN Med Started]]&lt;&gt;"",Tbl_ResidentData[[#This Row],[PRN Med Started]]&lt;=NOW(),Tbl_ResidentData[[#This Row],[PRN Med Started]]&lt;=BP$4,OR(Tbl_ResidentData[[#This Row],[PRN Med Discontinued]]&gt;BP$4,ISBLANK(Tbl_ResidentData[[#This Row],[PRN Med Discontinued]])))</f>
        <v>0</v>
      </c>
      <c r="CO163" s="120">
        <f ca="1">IF(OR(Tbl_ResidentData[[#This Row],[S1]]=TRUE,Tbl_ResidentData[[#This Row],[P1]]=TRUE),1,0)</f>
        <v>0</v>
      </c>
      <c r="CP163" s="121">
        <f ca="1">IF(OR(Tbl_ResidentData[[#This Row],[S2]]=TRUE,Tbl_ResidentData[[#This Row],[P2]]=TRUE),1,0)</f>
        <v>0</v>
      </c>
      <c r="CQ163" s="121">
        <f ca="1">IF(OR(Tbl_ResidentData[[#This Row],[S3]]=TRUE,Tbl_ResidentData[[#This Row],[P3]]=TRUE),1,0)</f>
        <v>0</v>
      </c>
      <c r="CR163" s="120">
        <f ca="1">IF(OR(Tbl_ResidentData[[#This Row],[S4]]=TRUE,Tbl_ResidentData[[#This Row],[P4]]=TRUE),1,0)</f>
        <v>0</v>
      </c>
      <c r="CS163" s="120">
        <f ca="1">IF(OR(Tbl_ResidentData[[#This Row],[S5]]=TRUE,Tbl_ResidentData[[#This Row],[P5]]=TRUE),1,0)</f>
        <v>0</v>
      </c>
      <c r="CT163" s="120">
        <f ca="1">IF(OR(Tbl_ResidentData[[#This Row],[S6]]=TRUE,Tbl_ResidentData[[#This Row],[P6]]=TRUE),1,0)</f>
        <v>0</v>
      </c>
      <c r="CU163" s="120">
        <f ca="1">IF(OR(Tbl_ResidentData[[#This Row],[S7]]=TRUE,Tbl_ResidentData[[#This Row],[P7]]=TRUE),1,0)</f>
        <v>0</v>
      </c>
      <c r="CV163" s="120">
        <f ca="1">IF(OR(Tbl_ResidentData[[#This Row],[S8]]=TRUE,Tbl_ResidentData[[#This Row],[P8]]=TRUE),1,0)</f>
        <v>0</v>
      </c>
      <c r="CW163" s="120">
        <f ca="1">IF(OR(Tbl_ResidentData[[#This Row],[S9]]=TRUE,Tbl_ResidentData[[#This Row],[P9]]=TRUE),1,0)</f>
        <v>0</v>
      </c>
      <c r="CX163" s="120">
        <f ca="1">IF(OR(Tbl_ResidentData[[#This Row],[S10]]=TRUE,Tbl_ResidentData[[#This Row],[P10]]=TRUE),1,0)</f>
        <v>0</v>
      </c>
      <c r="CY163" s="120">
        <f ca="1">IF(OR(Tbl_ResidentData[[#This Row],[S11]]=TRUE,Tbl_ResidentData[[#This Row],[P11]]=TRUE),1,0)</f>
        <v>0</v>
      </c>
      <c r="CZ163" s="120">
        <f ca="1">IF(OR(Tbl_ResidentData[[#This Row],[S12]]=TRUE,Tbl_ResidentData[[#This Row],[P12]]=TRUE),1,0)</f>
        <v>0</v>
      </c>
      <c r="DA163" s="120">
        <f ca="1">IF(OR(Tbl_ResidentData[[#This Row],[S13]]=TRUE,Tbl_ResidentData[[#This Row],[P13]]=TRUE),1,0)</f>
        <v>0</v>
      </c>
      <c r="DB163" s="120">
        <f ca="1">IF(OR(Tbl_ResidentData[[#This Row],[S14]]=TRUE,Tbl_ResidentData[[#This Row],[P14]]=TRUE),1,0)</f>
        <v>0</v>
      </c>
      <c r="DC163" s="120">
        <f ca="1">IF(OR(Tbl_ResidentData[[#This Row],[S15]]=TRUE,Tbl_ResidentData[[#This Row],[P15]]=TRUE),1,0)</f>
        <v>0</v>
      </c>
      <c r="DD163" s="120">
        <f ca="1">IF(OR(Tbl_ResidentData[[#This Row],[S16]]=TRUE,Tbl_ResidentData[[#This Row],[P16]]=TRUE),1,0)</f>
        <v>0</v>
      </c>
      <c r="DE163" s="120">
        <f ca="1">IF(OR(Tbl_ResidentData[[#This Row],[S17]]=TRUE,Tbl_ResidentData[[#This Row],[P17]]=TRUE),1,0)</f>
        <v>0</v>
      </c>
      <c r="DF163" s="120">
        <f ca="1">IF(OR(Tbl_ResidentData[[#This Row],[S18]]=TRUE,Tbl_ResidentData[[#This Row],[P18]]=TRUE),1,0)</f>
        <v>0</v>
      </c>
      <c r="DG163" s="120">
        <f ca="1">IF(OR(Tbl_ResidentData[[#This Row],[S19]]=TRUE,Tbl_ResidentData[[#This Row],[P19]]=TRUE),1,0)</f>
        <v>0</v>
      </c>
      <c r="DH163" s="120">
        <f ca="1">IF(OR(Tbl_ResidentData[[#This Row],[S20]]=TRUE,Tbl_ResidentData[[#This Row],[P20]]=TRUE),1,0)</f>
        <v>0</v>
      </c>
      <c r="DI163" s="120">
        <f ca="1">IF(OR(Tbl_ResidentData[[#This Row],[S21]]=TRUE,Tbl_ResidentData[[#This Row],[P21]]=TRUE),1,0)</f>
        <v>0</v>
      </c>
      <c r="DJ163" s="120">
        <f ca="1">IF(OR(Tbl_ResidentData[[#This Row],[S22]]=TRUE,Tbl_ResidentData[[#This Row],[P22]]=TRUE),1,0)</f>
        <v>0</v>
      </c>
      <c r="DK163" s="120">
        <f ca="1">IF(OR(Tbl_ResidentData[[#This Row],[S23]]=TRUE,Tbl_ResidentData[[#This Row],[P23]]=TRUE),1,0)</f>
        <v>0</v>
      </c>
      <c r="DL163" s="120">
        <f ca="1">IF(OR(Tbl_ResidentData[[#This Row],[S24]]=TRUE,Tbl_ResidentData[[#This Row],[P24]]=TRUE),1,0)</f>
        <v>0</v>
      </c>
      <c r="DM163" s="123" t="str">
        <f ca="1">IFERROR(INDEX($CO$4:$DL$4,MATCH(TRUE,INDEX((Tbl_ResidentData[[#This Row],[Over1]:[Over24]]&lt;&gt;0),0),0)),"")</f>
        <v/>
      </c>
      <c r="DN163" s="133" t="str">
        <f>IFERROR(INDEX(Tbl_PDSAData[Last DRT],MATCH(Tbl_ResidentData[Resident Name '[last, first']],Tbl_PDSAData[Resident Name (last, first)],0)),"")</f>
        <v/>
      </c>
      <c r="DO163" s="222" t="str">
        <f>IFERROR(INDEX(Tbl_PDSAData[Last MR],MATCH(Tbl_ResidentData[Resident Name '[last, first']],Tbl_PDSAData[Resident Name (last, first)],0)),"")</f>
        <v/>
      </c>
    </row>
    <row r="164" spans="1:119" x14ac:dyDescent="0.25">
      <c r="A164" s="179"/>
      <c r="B164" s="180"/>
      <c r="C164" s="180"/>
      <c r="D164" s="218"/>
      <c r="E164" s="179"/>
      <c r="F164" s="179"/>
      <c r="G164" s="181"/>
      <c r="H164" s="375"/>
      <c r="I164" s="185"/>
      <c r="J164" s="387"/>
      <c r="K164" s="178"/>
      <c r="L164" s="388"/>
      <c r="M164" s="185"/>
      <c r="N164" s="386"/>
      <c r="O164" s="178"/>
      <c r="P164" s="388"/>
      <c r="Q164" s="394"/>
      <c r="R164" s="388"/>
      <c r="S164" s="131" t="str">
        <f>IF(ISBLANK(Tbl_ResidentData[[#This Row],[Discharge '[mmm-yyyy']]]),IF(ISBLANK(Tbl_ResidentData[[#This Row],[Enrollment '[mmm-yyyy']]]),"","In Care Home"),"Discharged")</f>
        <v/>
      </c>
      <c r="T164" s="119" t="str">
        <f>IF(ISBLANK(Tbl_ResidentData[[#This Row],[Diagnosis (RAI)]]),IF(ISBLANK(Tbl_ResidentData[[#This Row],[Resident Name '[last, first']]]),"",0),IF(Tbl_ResidentData[[#This Row],[Diagnosis (RAI)]]="Other (see clinical notes)",0,1))</f>
        <v/>
      </c>
      <c r="U164" s="120" t="str">
        <f ca="1">IF(U$4&gt;NOW(),"-",IF(ISBLANK(Tbl_ResidentData[[#This Row],[Enrollment '[mmm-yyyy']]]),"-",AND((Tbl_ResidentData[[#This Row],[Enrollment '[mmm-yyyy']]]&lt;=U$4),IF(ISBLANK(Tbl_ResidentData[[#This Row],[Discharge '[mmm-yyyy']]]),TRUE,(Tbl_ResidentData[[#This Row],[Discharge '[mmm-yyyy']]]&gt;=U$4)))))</f>
        <v>-</v>
      </c>
      <c r="V164" s="121" t="str">
        <f ca="1">IF(V$4&gt;NOW(),"-",IF(ISBLANK(Tbl_ResidentData[[#This Row],[Enrollment '[mmm-yyyy']]]),"-",AND((Tbl_ResidentData[[#This Row],[Enrollment '[mmm-yyyy']]]&lt;=V$4),IF(ISBLANK(Tbl_ResidentData[[#This Row],[Discharge '[mmm-yyyy']]]),TRUE,(Tbl_ResidentData[[#This Row],[Discharge '[mmm-yyyy']]]&gt;=V$4)))))</f>
        <v>-</v>
      </c>
      <c r="W164" s="121" t="str">
        <f ca="1">IF(W$4&gt;NOW(),"-",IF(ISBLANK(Tbl_ResidentData[[#This Row],[Enrollment '[mmm-yyyy']]]),"-",AND((Tbl_ResidentData[[#This Row],[Enrollment '[mmm-yyyy']]]&lt;=W$4),IF(ISBLANK(Tbl_ResidentData[[#This Row],[Discharge '[mmm-yyyy']]]),TRUE,(Tbl_ResidentData[[#This Row],[Discharge '[mmm-yyyy']]]&gt;=W$4)))))</f>
        <v>-</v>
      </c>
      <c r="X164" s="121" t="str">
        <f ca="1">IF(X$4&gt;NOW(),"-",IF(ISBLANK(Tbl_ResidentData[[#This Row],[Enrollment '[mmm-yyyy']]]),"-",AND((Tbl_ResidentData[[#This Row],[Enrollment '[mmm-yyyy']]]&lt;=X$4),IF(ISBLANK(Tbl_ResidentData[[#This Row],[Discharge '[mmm-yyyy']]]),TRUE,(Tbl_ResidentData[[#This Row],[Discharge '[mmm-yyyy']]]&gt;=X$4)))))</f>
        <v>-</v>
      </c>
      <c r="Y164" s="121" t="str">
        <f ca="1">IF(Y$4&gt;NOW(),"-",IF(ISBLANK(Tbl_ResidentData[[#This Row],[Enrollment '[mmm-yyyy']]]),"-",AND((Tbl_ResidentData[[#This Row],[Enrollment '[mmm-yyyy']]]&lt;=Y$4),IF(ISBLANK(Tbl_ResidentData[[#This Row],[Discharge '[mmm-yyyy']]]),TRUE,(Tbl_ResidentData[[#This Row],[Discharge '[mmm-yyyy']]]&gt;=Y$4)))))</f>
        <v>-</v>
      </c>
      <c r="Z164" s="121" t="str">
        <f ca="1">IF(Z$4&gt;NOW(),"-",IF(ISBLANK(Tbl_ResidentData[[#This Row],[Enrollment '[mmm-yyyy']]]),"-",AND((Tbl_ResidentData[[#This Row],[Enrollment '[mmm-yyyy']]]&lt;=Z$4),IF(ISBLANK(Tbl_ResidentData[[#This Row],[Discharge '[mmm-yyyy']]]),TRUE,(Tbl_ResidentData[[#This Row],[Discharge '[mmm-yyyy']]]&gt;=Z$4)))))</f>
        <v>-</v>
      </c>
      <c r="AA164" s="121" t="str">
        <f ca="1">IF(AA$4&gt;NOW(),"-",IF(ISBLANK(Tbl_ResidentData[[#This Row],[Enrollment '[mmm-yyyy']]]),"-",AND((Tbl_ResidentData[[#This Row],[Enrollment '[mmm-yyyy']]]&lt;=AA$4),IF(ISBLANK(Tbl_ResidentData[[#This Row],[Discharge '[mmm-yyyy']]]),TRUE,(Tbl_ResidentData[[#This Row],[Discharge '[mmm-yyyy']]]&gt;=AA$4)))))</f>
        <v>-</v>
      </c>
      <c r="AB164" s="121" t="str">
        <f ca="1">IF(AB$4&gt;NOW(),"-",IF(ISBLANK(Tbl_ResidentData[[#This Row],[Enrollment '[mmm-yyyy']]]),"-",AND((Tbl_ResidentData[[#This Row],[Enrollment '[mmm-yyyy']]]&lt;=AB$4),IF(ISBLANK(Tbl_ResidentData[[#This Row],[Discharge '[mmm-yyyy']]]),TRUE,(Tbl_ResidentData[[#This Row],[Discharge '[mmm-yyyy']]]&gt;=AB$4)))))</f>
        <v>-</v>
      </c>
      <c r="AC164" s="121" t="str">
        <f ca="1">IF(AC$4&gt;NOW(),"-",IF(ISBLANK(Tbl_ResidentData[[#This Row],[Enrollment '[mmm-yyyy']]]),"-",AND((Tbl_ResidentData[[#This Row],[Enrollment '[mmm-yyyy']]]&lt;=AC$4),IF(ISBLANK(Tbl_ResidentData[[#This Row],[Discharge '[mmm-yyyy']]]),TRUE,(Tbl_ResidentData[[#This Row],[Discharge '[mmm-yyyy']]]&gt;=AC$4)))))</f>
        <v>-</v>
      </c>
      <c r="AD164" s="121" t="str">
        <f ca="1">IF(AD$4&gt;NOW(),"-",IF(ISBLANK(Tbl_ResidentData[[#This Row],[Enrollment '[mmm-yyyy']]]),"-",AND((Tbl_ResidentData[[#This Row],[Enrollment '[mmm-yyyy']]]&lt;=AD$4),IF(ISBLANK(Tbl_ResidentData[[#This Row],[Discharge '[mmm-yyyy']]]),TRUE,(Tbl_ResidentData[[#This Row],[Discharge '[mmm-yyyy']]]&gt;=AD$4)))))</f>
        <v>-</v>
      </c>
      <c r="AE164" s="121" t="str">
        <f ca="1">IF(AE$4&gt;NOW(),"-",IF(ISBLANK(Tbl_ResidentData[[#This Row],[Enrollment '[mmm-yyyy']]]),"-",AND((Tbl_ResidentData[[#This Row],[Enrollment '[mmm-yyyy']]]&lt;=AE$4),IF(ISBLANK(Tbl_ResidentData[[#This Row],[Discharge '[mmm-yyyy']]]),TRUE,(Tbl_ResidentData[[#This Row],[Discharge '[mmm-yyyy']]]&gt;=AE$4)))))</f>
        <v>-</v>
      </c>
      <c r="AF164" s="121" t="str">
        <f ca="1">IF(AF$4&gt;NOW(),"-",IF(ISBLANK(Tbl_ResidentData[[#This Row],[Enrollment '[mmm-yyyy']]]),"-",AND((Tbl_ResidentData[[#This Row],[Enrollment '[mmm-yyyy']]]&lt;=AF$4),IF(ISBLANK(Tbl_ResidentData[[#This Row],[Discharge '[mmm-yyyy']]]),TRUE,(Tbl_ResidentData[[#This Row],[Discharge '[mmm-yyyy']]]&gt;=AF$4)))))</f>
        <v>-</v>
      </c>
      <c r="AG164" s="121" t="str">
        <f ca="1">IF(AG$4&gt;NOW(),"-",IF(ISBLANK(Tbl_ResidentData[[#This Row],[Enrollment '[mmm-yyyy']]]),"-",AND((Tbl_ResidentData[[#This Row],[Enrollment '[mmm-yyyy']]]&lt;=AG$4),IF(ISBLANK(Tbl_ResidentData[[#This Row],[Discharge '[mmm-yyyy']]]),TRUE,(Tbl_ResidentData[[#This Row],[Discharge '[mmm-yyyy']]]&gt;=AG$4)))))</f>
        <v>-</v>
      </c>
      <c r="AH164" s="121" t="str">
        <f ca="1">IF(AH$4&gt;NOW(),"-",IF(ISBLANK(Tbl_ResidentData[[#This Row],[Enrollment '[mmm-yyyy']]]),"-",AND((Tbl_ResidentData[[#This Row],[Enrollment '[mmm-yyyy']]]&lt;=AH$4),IF(ISBLANK(Tbl_ResidentData[[#This Row],[Discharge '[mmm-yyyy']]]),TRUE,(Tbl_ResidentData[[#This Row],[Discharge '[mmm-yyyy']]]&gt;=AH$4)))))</f>
        <v>-</v>
      </c>
      <c r="AI164" s="121" t="str">
        <f ca="1">IF(AI$4&gt;NOW(),"-",IF(ISBLANK(Tbl_ResidentData[[#This Row],[Enrollment '[mmm-yyyy']]]),"-",AND((Tbl_ResidentData[[#This Row],[Enrollment '[mmm-yyyy']]]&lt;=AI$4),IF(ISBLANK(Tbl_ResidentData[[#This Row],[Discharge '[mmm-yyyy']]]),TRUE,(Tbl_ResidentData[[#This Row],[Discharge '[mmm-yyyy']]]&gt;=AI$4)))))</f>
        <v>-</v>
      </c>
      <c r="AJ164" s="121" t="str">
        <f ca="1">IF(AJ$4&gt;NOW(),"-",IF(ISBLANK(Tbl_ResidentData[[#This Row],[Enrollment '[mmm-yyyy']]]),"-",AND((Tbl_ResidentData[[#This Row],[Enrollment '[mmm-yyyy']]]&lt;=AJ$4),IF(ISBLANK(Tbl_ResidentData[[#This Row],[Discharge '[mmm-yyyy']]]),TRUE,(Tbl_ResidentData[[#This Row],[Discharge '[mmm-yyyy']]]&gt;=AJ$4)))))</f>
        <v>-</v>
      </c>
      <c r="AK164" s="121" t="str">
        <f ca="1">IF(AK$4&gt;NOW(),"-",IF(ISBLANK(Tbl_ResidentData[[#This Row],[Enrollment '[mmm-yyyy']]]),"-",AND((Tbl_ResidentData[[#This Row],[Enrollment '[mmm-yyyy']]]&lt;=AK$4),IF(ISBLANK(Tbl_ResidentData[[#This Row],[Discharge '[mmm-yyyy']]]),TRUE,(Tbl_ResidentData[[#This Row],[Discharge '[mmm-yyyy']]]&gt;=AK$4)))))</f>
        <v>-</v>
      </c>
      <c r="AL164" s="121" t="str">
        <f ca="1">IF(AL$4&gt;NOW(),"-",IF(ISBLANK(Tbl_ResidentData[[#This Row],[Enrollment '[mmm-yyyy']]]),"-",AND((Tbl_ResidentData[[#This Row],[Enrollment '[mmm-yyyy']]]&lt;=AL$4),IF(ISBLANK(Tbl_ResidentData[[#This Row],[Discharge '[mmm-yyyy']]]),TRUE,(Tbl_ResidentData[[#This Row],[Discharge '[mmm-yyyy']]]&gt;=AL$4)))))</f>
        <v>-</v>
      </c>
      <c r="AM164" s="121" t="str">
        <f ca="1">IF(AM$4&gt;NOW(),"-",IF(ISBLANK(Tbl_ResidentData[[#This Row],[Enrollment '[mmm-yyyy']]]),"-",AND((Tbl_ResidentData[[#This Row],[Enrollment '[mmm-yyyy']]]&lt;=AM$4),IF(ISBLANK(Tbl_ResidentData[[#This Row],[Discharge '[mmm-yyyy']]]),TRUE,(Tbl_ResidentData[[#This Row],[Discharge '[mmm-yyyy']]]&gt;=AM$4)))))</f>
        <v>-</v>
      </c>
      <c r="AN164" s="121" t="str">
        <f ca="1">IF(AN$4&gt;NOW(),"-",IF(ISBLANK(Tbl_ResidentData[[#This Row],[Enrollment '[mmm-yyyy']]]),"-",AND((Tbl_ResidentData[[#This Row],[Enrollment '[mmm-yyyy']]]&lt;=AN$4),IF(ISBLANK(Tbl_ResidentData[[#This Row],[Discharge '[mmm-yyyy']]]),TRUE,(Tbl_ResidentData[[#This Row],[Discharge '[mmm-yyyy']]]&gt;=AN$4)))))</f>
        <v>-</v>
      </c>
      <c r="AO164" s="121" t="str">
        <f ca="1">IF(AO$4&gt;NOW(),"-",IF(ISBLANK(Tbl_ResidentData[[#This Row],[Enrollment '[mmm-yyyy']]]),"-",AND((Tbl_ResidentData[[#This Row],[Enrollment '[mmm-yyyy']]]&lt;=AO$4),IF(ISBLANK(Tbl_ResidentData[[#This Row],[Discharge '[mmm-yyyy']]]),TRUE,(Tbl_ResidentData[[#This Row],[Discharge '[mmm-yyyy']]]&gt;=AO$4)))))</f>
        <v>-</v>
      </c>
      <c r="AP164" s="121" t="str">
        <f ca="1">IF(AP$4&gt;NOW(),"-",IF(ISBLANK(Tbl_ResidentData[[#This Row],[Enrollment '[mmm-yyyy']]]),"-",AND((Tbl_ResidentData[[#This Row],[Enrollment '[mmm-yyyy']]]&lt;=AP$4),IF(ISBLANK(Tbl_ResidentData[[#This Row],[Discharge '[mmm-yyyy']]]),TRUE,(Tbl_ResidentData[[#This Row],[Discharge '[mmm-yyyy']]]&gt;=AP$4)))))</f>
        <v>-</v>
      </c>
      <c r="AQ164" s="121" t="str">
        <f ca="1">IF(AQ$4&gt;NOW(),"-",IF(ISBLANK(Tbl_ResidentData[[#This Row],[Enrollment '[mmm-yyyy']]]),"-",AND((Tbl_ResidentData[[#This Row],[Enrollment '[mmm-yyyy']]]&lt;=AQ$4),IF(ISBLANK(Tbl_ResidentData[[#This Row],[Discharge '[mmm-yyyy']]]),TRUE,(Tbl_ResidentData[[#This Row],[Discharge '[mmm-yyyy']]]&gt;=AQ$4)))))</f>
        <v>-</v>
      </c>
      <c r="AR164" s="122" t="str">
        <f ca="1">IF(AR$4&gt;NOW(),"-",IF(ISBLANK(Tbl_ResidentData[[#This Row],[Enrollment '[mmm-yyyy']]]),"-",AND((Tbl_ResidentData[[#This Row],[Enrollment '[mmm-yyyy']]]&lt;=AR$4),IF(ISBLANK(Tbl_ResidentData[[#This Row],[Discharge '[mmm-yyyy']]]),TRUE,(Tbl_ResidentData[[#This Row],[Discharge '[mmm-yyyy']]]&gt;=AR$4)))))</f>
        <v>-</v>
      </c>
      <c r="AS16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4" s="120" t="b">
        <f ca="1">AND(Tbl_ResidentData[[#This Row],[PRN Med Started]]&lt;&gt;"",Tbl_ResidentData[[#This Row],[PRN Med Started]]&lt;=NOW(),Tbl_ResidentData[[#This Row],[PRN Med Started]]&lt;=AS$4,OR(Tbl_ResidentData[[#This Row],[PRN Med Discontinued]]&gt;AS$4,ISBLANK(Tbl_ResidentData[[#This Row],[PRN Med Discontinued]])))</f>
        <v>0</v>
      </c>
      <c r="BR164" s="121" t="b">
        <f ca="1">AND(Tbl_ResidentData[[#This Row],[PRN Med Started]]&lt;&gt;"",Tbl_ResidentData[[#This Row],[PRN Med Started]]&lt;=NOW(),Tbl_ResidentData[[#This Row],[PRN Med Started]]&lt;=AT$4,OR(Tbl_ResidentData[[#This Row],[PRN Med Discontinued]]&gt;AT$4,ISBLANK(Tbl_ResidentData[[#This Row],[PRN Med Discontinued]])))</f>
        <v>0</v>
      </c>
      <c r="BS164" s="121" t="b">
        <f ca="1">AND(Tbl_ResidentData[[#This Row],[PRN Med Started]]&lt;&gt;"",Tbl_ResidentData[[#This Row],[PRN Med Started]]&lt;=NOW(),Tbl_ResidentData[[#This Row],[PRN Med Started]]&lt;=AU$4,OR(Tbl_ResidentData[[#This Row],[PRN Med Discontinued]]&gt;AU$4,ISBLANK(Tbl_ResidentData[[#This Row],[PRN Med Discontinued]])))</f>
        <v>0</v>
      </c>
      <c r="BT164" s="121" t="b">
        <f ca="1">AND(Tbl_ResidentData[[#This Row],[PRN Med Started]]&lt;&gt;"",Tbl_ResidentData[[#This Row],[PRN Med Started]]&lt;=NOW(),Tbl_ResidentData[[#This Row],[PRN Med Started]]&lt;=AV$4,OR(Tbl_ResidentData[[#This Row],[PRN Med Discontinued]]&gt;AV$4,ISBLANK(Tbl_ResidentData[[#This Row],[PRN Med Discontinued]])))</f>
        <v>0</v>
      </c>
      <c r="BU164" s="121" t="b">
        <f ca="1">AND(Tbl_ResidentData[[#This Row],[PRN Med Started]]&lt;&gt;"",Tbl_ResidentData[[#This Row],[PRN Med Started]]&lt;=NOW(),Tbl_ResidentData[[#This Row],[PRN Med Started]]&lt;=AW$4,OR(Tbl_ResidentData[[#This Row],[PRN Med Discontinued]]&gt;AW$4,ISBLANK(Tbl_ResidentData[[#This Row],[PRN Med Discontinued]])))</f>
        <v>0</v>
      </c>
      <c r="BV164" s="121" t="b">
        <f ca="1">AND(Tbl_ResidentData[[#This Row],[PRN Med Started]]&lt;&gt;"",Tbl_ResidentData[[#This Row],[PRN Med Started]]&lt;=NOW(),Tbl_ResidentData[[#This Row],[PRN Med Started]]&lt;=AX$4,OR(Tbl_ResidentData[[#This Row],[PRN Med Discontinued]]&gt;AX$4,ISBLANK(Tbl_ResidentData[[#This Row],[PRN Med Discontinued]])))</f>
        <v>0</v>
      </c>
      <c r="BW164" s="121" t="b">
        <f ca="1">AND(Tbl_ResidentData[[#This Row],[PRN Med Started]]&lt;&gt;"",Tbl_ResidentData[[#This Row],[PRN Med Started]]&lt;=NOW(),Tbl_ResidentData[[#This Row],[PRN Med Started]]&lt;=AY$4,OR(Tbl_ResidentData[[#This Row],[PRN Med Discontinued]]&gt;AY$4,ISBLANK(Tbl_ResidentData[[#This Row],[PRN Med Discontinued]])))</f>
        <v>0</v>
      </c>
      <c r="BX164" s="121" t="b">
        <f ca="1">AND(Tbl_ResidentData[[#This Row],[PRN Med Started]]&lt;&gt;"",Tbl_ResidentData[[#This Row],[PRN Med Started]]&lt;=NOW(),Tbl_ResidentData[[#This Row],[PRN Med Started]]&lt;=AZ$4,OR(Tbl_ResidentData[[#This Row],[PRN Med Discontinued]]&gt;AZ$4,ISBLANK(Tbl_ResidentData[[#This Row],[PRN Med Discontinued]])))</f>
        <v>0</v>
      </c>
      <c r="BY164" s="121" t="b">
        <f ca="1">AND(Tbl_ResidentData[[#This Row],[PRN Med Started]]&lt;&gt;"",Tbl_ResidentData[[#This Row],[PRN Med Started]]&lt;=NOW(),Tbl_ResidentData[[#This Row],[PRN Med Started]]&lt;=BA$4,OR(Tbl_ResidentData[[#This Row],[PRN Med Discontinued]]&gt;BA$4,ISBLANK(Tbl_ResidentData[[#This Row],[PRN Med Discontinued]])))</f>
        <v>0</v>
      </c>
      <c r="BZ164" s="121" t="b">
        <f ca="1">AND(Tbl_ResidentData[[#This Row],[PRN Med Started]]&lt;&gt;"",Tbl_ResidentData[[#This Row],[PRN Med Started]]&lt;=NOW(),Tbl_ResidentData[[#This Row],[PRN Med Started]]&lt;=BB$4,OR(Tbl_ResidentData[[#This Row],[PRN Med Discontinued]]&gt;BB$4,ISBLANK(Tbl_ResidentData[[#This Row],[PRN Med Discontinued]])))</f>
        <v>0</v>
      </c>
      <c r="CA164" s="121" t="b">
        <f ca="1">AND(Tbl_ResidentData[[#This Row],[PRN Med Started]]&lt;&gt;"",Tbl_ResidentData[[#This Row],[PRN Med Started]]&lt;=NOW(),Tbl_ResidentData[[#This Row],[PRN Med Started]]&lt;=BC$4,OR(Tbl_ResidentData[[#This Row],[PRN Med Discontinued]]&gt;BC$4,ISBLANK(Tbl_ResidentData[[#This Row],[PRN Med Discontinued]])))</f>
        <v>0</v>
      </c>
      <c r="CB164" s="121" t="b">
        <f ca="1">AND(Tbl_ResidentData[[#This Row],[PRN Med Started]]&lt;&gt;"",Tbl_ResidentData[[#This Row],[PRN Med Started]]&lt;=NOW(),Tbl_ResidentData[[#This Row],[PRN Med Started]]&lt;=BD$4,OR(Tbl_ResidentData[[#This Row],[PRN Med Discontinued]]&gt;BD$4,ISBLANK(Tbl_ResidentData[[#This Row],[PRN Med Discontinued]])))</f>
        <v>0</v>
      </c>
      <c r="CC164" s="121" t="b">
        <f ca="1">AND(Tbl_ResidentData[[#This Row],[PRN Med Started]]&lt;&gt;"",Tbl_ResidentData[[#This Row],[PRN Med Started]]&lt;=NOW(),Tbl_ResidentData[[#This Row],[PRN Med Started]]&lt;=BE$4,OR(Tbl_ResidentData[[#This Row],[PRN Med Discontinued]]&gt;BE$4,ISBLANK(Tbl_ResidentData[[#This Row],[PRN Med Discontinued]])))</f>
        <v>0</v>
      </c>
      <c r="CD164" s="121" t="b">
        <f ca="1">AND(Tbl_ResidentData[[#This Row],[PRN Med Started]]&lt;&gt;"",Tbl_ResidentData[[#This Row],[PRN Med Started]]&lt;=NOW(),Tbl_ResidentData[[#This Row],[PRN Med Started]]&lt;=BF$4,OR(Tbl_ResidentData[[#This Row],[PRN Med Discontinued]]&gt;BF$4,ISBLANK(Tbl_ResidentData[[#This Row],[PRN Med Discontinued]])))</f>
        <v>0</v>
      </c>
      <c r="CE164" s="121" t="b">
        <f ca="1">AND(Tbl_ResidentData[[#This Row],[PRN Med Started]]&lt;&gt;"",Tbl_ResidentData[[#This Row],[PRN Med Started]]&lt;=NOW(),Tbl_ResidentData[[#This Row],[PRN Med Started]]&lt;=BG$4,OR(Tbl_ResidentData[[#This Row],[PRN Med Discontinued]]&gt;BG$4,ISBLANK(Tbl_ResidentData[[#This Row],[PRN Med Discontinued]])))</f>
        <v>0</v>
      </c>
      <c r="CF164" s="121" t="b">
        <f ca="1">AND(Tbl_ResidentData[[#This Row],[PRN Med Started]]&lt;&gt;"",Tbl_ResidentData[[#This Row],[PRN Med Started]]&lt;=NOW(),Tbl_ResidentData[[#This Row],[PRN Med Started]]&lt;=BH$4,OR(Tbl_ResidentData[[#This Row],[PRN Med Discontinued]]&gt;BH$4,ISBLANK(Tbl_ResidentData[[#This Row],[PRN Med Discontinued]])))</f>
        <v>0</v>
      </c>
      <c r="CG164" s="121" t="b">
        <f ca="1">AND(Tbl_ResidentData[[#This Row],[PRN Med Started]]&lt;&gt;"",Tbl_ResidentData[[#This Row],[PRN Med Started]]&lt;=NOW(),Tbl_ResidentData[[#This Row],[PRN Med Started]]&lt;=BI$4,OR(Tbl_ResidentData[[#This Row],[PRN Med Discontinued]]&gt;BI$4,ISBLANK(Tbl_ResidentData[[#This Row],[PRN Med Discontinued]])))</f>
        <v>0</v>
      </c>
      <c r="CH164" s="121" t="b">
        <f ca="1">AND(Tbl_ResidentData[[#This Row],[PRN Med Started]]&lt;&gt;"",Tbl_ResidentData[[#This Row],[PRN Med Started]]&lt;=NOW(),Tbl_ResidentData[[#This Row],[PRN Med Started]]&lt;=BJ$4,OR(Tbl_ResidentData[[#This Row],[PRN Med Discontinued]]&gt;BJ$4,ISBLANK(Tbl_ResidentData[[#This Row],[PRN Med Discontinued]])))</f>
        <v>0</v>
      </c>
      <c r="CI164" s="121" t="b">
        <f ca="1">AND(Tbl_ResidentData[[#This Row],[PRN Med Started]]&lt;&gt;"",Tbl_ResidentData[[#This Row],[PRN Med Started]]&lt;=NOW(),Tbl_ResidentData[[#This Row],[PRN Med Started]]&lt;=BK$4,OR(Tbl_ResidentData[[#This Row],[PRN Med Discontinued]]&gt;BK$4,ISBLANK(Tbl_ResidentData[[#This Row],[PRN Med Discontinued]])))</f>
        <v>0</v>
      </c>
      <c r="CJ164" s="121" t="b">
        <f ca="1">AND(Tbl_ResidentData[[#This Row],[PRN Med Started]]&lt;&gt;"",Tbl_ResidentData[[#This Row],[PRN Med Started]]&lt;=NOW(),Tbl_ResidentData[[#This Row],[PRN Med Started]]&lt;=BL$4,OR(Tbl_ResidentData[[#This Row],[PRN Med Discontinued]]&gt;BL$4,ISBLANK(Tbl_ResidentData[[#This Row],[PRN Med Discontinued]])))</f>
        <v>0</v>
      </c>
      <c r="CK164" s="121" t="b">
        <f ca="1">AND(Tbl_ResidentData[[#This Row],[PRN Med Started]]&lt;&gt;"",Tbl_ResidentData[[#This Row],[PRN Med Started]]&lt;=NOW(),Tbl_ResidentData[[#This Row],[PRN Med Started]]&lt;=BM$4,OR(Tbl_ResidentData[[#This Row],[PRN Med Discontinued]]&gt;BM$4,ISBLANK(Tbl_ResidentData[[#This Row],[PRN Med Discontinued]])))</f>
        <v>0</v>
      </c>
      <c r="CL164" s="121" t="b">
        <f ca="1">AND(Tbl_ResidentData[[#This Row],[PRN Med Started]]&lt;&gt;"",Tbl_ResidentData[[#This Row],[PRN Med Started]]&lt;=NOW(),Tbl_ResidentData[[#This Row],[PRN Med Started]]&lt;=BN$4,OR(Tbl_ResidentData[[#This Row],[PRN Med Discontinued]]&gt;BN$4,ISBLANK(Tbl_ResidentData[[#This Row],[PRN Med Discontinued]])))</f>
        <v>0</v>
      </c>
      <c r="CM164" s="121" t="b">
        <f ca="1">AND(Tbl_ResidentData[[#This Row],[PRN Med Started]]&lt;&gt;"",Tbl_ResidentData[[#This Row],[PRN Med Started]]&lt;=NOW(),Tbl_ResidentData[[#This Row],[PRN Med Started]]&lt;=BO$4,OR(Tbl_ResidentData[[#This Row],[PRN Med Discontinued]]&gt;BO$4,ISBLANK(Tbl_ResidentData[[#This Row],[PRN Med Discontinued]])))</f>
        <v>0</v>
      </c>
      <c r="CN164" s="122" t="b">
        <f ca="1">AND(Tbl_ResidentData[[#This Row],[PRN Med Started]]&lt;&gt;"",Tbl_ResidentData[[#This Row],[PRN Med Started]]&lt;=NOW(),Tbl_ResidentData[[#This Row],[PRN Med Started]]&lt;=BP$4,OR(Tbl_ResidentData[[#This Row],[PRN Med Discontinued]]&gt;BP$4,ISBLANK(Tbl_ResidentData[[#This Row],[PRN Med Discontinued]])))</f>
        <v>0</v>
      </c>
      <c r="CO164" s="120">
        <f ca="1">IF(OR(Tbl_ResidentData[[#This Row],[S1]]=TRUE,Tbl_ResidentData[[#This Row],[P1]]=TRUE),1,0)</f>
        <v>0</v>
      </c>
      <c r="CP164" s="121">
        <f ca="1">IF(OR(Tbl_ResidentData[[#This Row],[S2]]=TRUE,Tbl_ResidentData[[#This Row],[P2]]=TRUE),1,0)</f>
        <v>0</v>
      </c>
      <c r="CQ164" s="121">
        <f ca="1">IF(OR(Tbl_ResidentData[[#This Row],[S3]]=TRUE,Tbl_ResidentData[[#This Row],[P3]]=TRUE),1,0)</f>
        <v>0</v>
      </c>
      <c r="CR164" s="120">
        <f ca="1">IF(OR(Tbl_ResidentData[[#This Row],[S4]]=TRUE,Tbl_ResidentData[[#This Row],[P4]]=TRUE),1,0)</f>
        <v>0</v>
      </c>
      <c r="CS164" s="120">
        <f ca="1">IF(OR(Tbl_ResidentData[[#This Row],[S5]]=TRUE,Tbl_ResidentData[[#This Row],[P5]]=TRUE),1,0)</f>
        <v>0</v>
      </c>
      <c r="CT164" s="120">
        <f ca="1">IF(OR(Tbl_ResidentData[[#This Row],[S6]]=TRUE,Tbl_ResidentData[[#This Row],[P6]]=TRUE),1,0)</f>
        <v>0</v>
      </c>
      <c r="CU164" s="120">
        <f ca="1">IF(OR(Tbl_ResidentData[[#This Row],[S7]]=TRUE,Tbl_ResidentData[[#This Row],[P7]]=TRUE),1,0)</f>
        <v>0</v>
      </c>
      <c r="CV164" s="120">
        <f ca="1">IF(OR(Tbl_ResidentData[[#This Row],[S8]]=TRUE,Tbl_ResidentData[[#This Row],[P8]]=TRUE),1,0)</f>
        <v>0</v>
      </c>
      <c r="CW164" s="120">
        <f ca="1">IF(OR(Tbl_ResidentData[[#This Row],[S9]]=TRUE,Tbl_ResidentData[[#This Row],[P9]]=TRUE),1,0)</f>
        <v>0</v>
      </c>
      <c r="CX164" s="120">
        <f ca="1">IF(OR(Tbl_ResidentData[[#This Row],[S10]]=TRUE,Tbl_ResidentData[[#This Row],[P10]]=TRUE),1,0)</f>
        <v>0</v>
      </c>
      <c r="CY164" s="120">
        <f ca="1">IF(OR(Tbl_ResidentData[[#This Row],[S11]]=TRUE,Tbl_ResidentData[[#This Row],[P11]]=TRUE),1,0)</f>
        <v>0</v>
      </c>
      <c r="CZ164" s="120">
        <f ca="1">IF(OR(Tbl_ResidentData[[#This Row],[S12]]=TRUE,Tbl_ResidentData[[#This Row],[P12]]=TRUE),1,0)</f>
        <v>0</v>
      </c>
      <c r="DA164" s="120">
        <f ca="1">IF(OR(Tbl_ResidentData[[#This Row],[S13]]=TRUE,Tbl_ResidentData[[#This Row],[P13]]=TRUE),1,0)</f>
        <v>0</v>
      </c>
      <c r="DB164" s="120">
        <f ca="1">IF(OR(Tbl_ResidentData[[#This Row],[S14]]=TRUE,Tbl_ResidentData[[#This Row],[P14]]=TRUE),1,0)</f>
        <v>0</v>
      </c>
      <c r="DC164" s="120">
        <f ca="1">IF(OR(Tbl_ResidentData[[#This Row],[S15]]=TRUE,Tbl_ResidentData[[#This Row],[P15]]=TRUE),1,0)</f>
        <v>0</v>
      </c>
      <c r="DD164" s="120">
        <f ca="1">IF(OR(Tbl_ResidentData[[#This Row],[S16]]=TRUE,Tbl_ResidentData[[#This Row],[P16]]=TRUE),1,0)</f>
        <v>0</v>
      </c>
      <c r="DE164" s="120">
        <f ca="1">IF(OR(Tbl_ResidentData[[#This Row],[S17]]=TRUE,Tbl_ResidentData[[#This Row],[P17]]=TRUE),1,0)</f>
        <v>0</v>
      </c>
      <c r="DF164" s="120">
        <f ca="1">IF(OR(Tbl_ResidentData[[#This Row],[S18]]=TRUE,Tbl_ResidentData[[#This Row],[P18]]=TRUE),1,0)</f>
        <v>0</v>
      </c>
      <c r="DG164" s="120">
        <f ca="1">IF(OR(Tbl_ResidentData[[#This Row],[S19]]=TRUE,Tbl_ResidentData[[#This Row],[P19]]=TRUE),1,0)</f>
        <v>0</v>
      </c>
      <c r="DH164" s="120">
        <f ca="1">IF(OR(Tbl_ResidentData[[#This Row],[S20]]=TRUE,Tbl_ResidentData[[#This Row],[P20]]=TRUE),1,0)</f>
        <v>0</v>
      </c>
      <c r="DI164" s="120">
        <f ca="1">IF(OR(Tbl_ResidentData[[#This Row],[S21]]=TRUE,Tbl_ResidentData[[#This Row],[P21]]=TRUE),1,0)</f>
        <v>0</v>
      </c>
      <c r="DJ164" s="120">
        <f ca="1">IF(OR(Tbl_ResidentData[[#This Row],[S22]]=TRUE,Tbl_ResidentData[[#This Row],[P22]]=TRUE),1,0)</f>
        <v>0</v>
      </c>
      <c r="DK164" s="120">
        <f ca="1">IF(OR(Tbl_ResidentData[[#This Row],[S23]]=TRUE,Tbl_ResidentData[[#This Row],[P23]]=TRUE),1,0)</f>
        <v>0</v>
      </c>
      <c r="DL164" s="120">
        <f ca="1">IF(OR(Tbl_ResidentData[[#This Row],[S24]]=TRUE,Tbl_ResidentData[[#This Row],[P24]]=TRUE),1,0)</f>
        <v>0</v>
      </c>
      <c r="DM164" s="123" t="str">
        <f ca="1">IFERROR(INDEX($CO$4:$DL$4,MATCH(TRUE,INDEX((Tbl_ResidentData[[#This Row],[Over1]:[Over24]]&lt;&gt;0),0),0)),"")</f>
        <v/>
      </c>
      <c r="DN164" s="133" t="str">
        <f>IFERROR(INDEX(Tbl_PDSAData[Last DRT],MATCH(Tbl_ResidentData[Resident Name '[last, first']],Tbl_PDSAData[Resident Name (last, first)],0)),"")</f>
        <v/>
      </c>
      <c r="DO164" s="222" t="str">
        <f>IFERROR(INDEX(Tbl_PDSAData[Last MR],MATCH(Tbl_ResidentData[Resident Name '[last, first']],Tbl_PDSAData[Resident Name (last, first)],0)),"")</f>
        <v/>
      </c>
    </row>
    <row r="165" spans="1:119" x14ac:dyDescent="0.25">
      <c r="A165" s="179"/>
      <c r="B165" s="180"/>
      <c r="C165" s="180"/>
      <c r="D165" s="218"/>
      <c r="E165" s="179"/>
      <c r="F165" s="179"/>
      <c r="G165" s="181"/>
      <c r="H165" s="182"/>
      <c r="I165" s="185"/>
      <c r="J165" s="387"/>
      <c r="K165" s="178"/>
      <c r="L165" s="388"/>
      <c r="M165" s="185"/>
      <c r="N165" s="386"/>
      <c r="O165" s="178"/>
      <c r="P165" s="388"/>
      <c r="Q165" s="395"/>
      <c r="R165" s="396"/>
      <c r="S165" s="131" t="str">
        <f>IF(ISBLANK(Tbl_ResidentData[[#This Row],[Discharge '[mmm-yyyy']]]),IF(ISBLANK(Tbl_ResidentData[[#This Row],[Enrollment '[mmm-yyyy']]]),"","In Care Home"),"Discharged")</f>
        <v/>
      </c>
      <c r="T165" s="119" t="str">
        <f>IF(ISBLANK(Tbl_ResidentData[[#This Row],[Diagnosis (RAI)]]),IF(ISBLANK(Tbl_ResidentData[[#This Row],[Resident Name '[last, first']]]),"",0),IF(Tbl_ResidentData[[#This Row],[Diagnosis (RAI)]]="Other (see clinical notes)",0,1))</f>
        <v/>
      </c>
      <c r="U165" s="120" t="str">
        <f ca="1">IF(U$4&gt;NOW(),"-",IF(ISBLANK(Tbl_ResidentData[[#This Row],[Enrollment '[mmm-yyyy']]]),"-",AND((Tbl_ResidentData[[#This Row],[Enrollment '[mmm-yyyy']]]&lt;=U$4),IF(ISBLANK(Tbl_ResidentData[[#This Row],[Discharge '[mmm-yyyy']]]),TRUE,(Tbl_ResidentData[[#This Row],[Discharge '[mmm-yyyy']]]&gt;=U$4)))))</f>
        <v>-</v>
      </c>
      <c r="V165" s="121" t="str">
        <f ca="1">IF(V$4&gt;NOW(),"-",IF(ISBLANK(Tbl_ResidentData[[#This Row],[Enrollment '[mmm-yyyy']]]),"-",AND((Tbl_ResidentData[[#This Row],[Enrollment '[mmm-yyyy']]]&lt;=V$4),IF(ISBLANK(Tbl_ResidentData[[#This Row],[Discharge '[mmm-yyyy']]]),TRUE,(Tbl_ResidentData[[#This Row],[Discharge '[mmm-yyyy']]]&gt;=V$4)))))</f>
        <v>-</v>
      </c>
      <c r="W165" s="121" t="str">
        <f ca="1">IF(W$4&gt;NOW(),"-",IF(ISBLANK(Tbl_ResidentData[[#This Row],[Enrollment '[mmm-yyyy']]]),"-",AND((Tbl_ResidentData[[#This Row],[Enrollment '[mmm-yyyy']]]&lt;=W$4),IF(ISBLANK(Tbl_ResidentData[[#This Row],[Discharge '[mmm-yyyy']]]),TRUE,(Tbl_ResidentData[[#This Row],[Discharge '[mmm-yyyy']]]&gt;=W$4)))))</f>
        <v>-</v>
      </c>
      <c r="X165" s="121" t="str">
        <f ca="1">IF(X$4&gt;NOW(),"-",IF(ISBLANK(Tbl_ResidentData[[#This Row],[Enrollment '[mmm-yyyy']]]),"-",AND((Tbl_ResidentData[[#This Row],[Enrollment '[mmm-yyyy']]]&lt;=X$4),IF(ISBLANK(Tbl_ResidentData[[#This Row],[Discharge '[mmm-yyyy']]]),TRUE,(Tbl_ResidentData[[#This Row],[Discharge '[mmm-yyyy']]]&gt;=X$4)))))</f>
        <v>-</v>
      </c>
      <c r="Y165" s="121" t="str">
        <f ca="1">IF(Y$4&gt;NOW(),"-",IF(ISBLANK(Tbl_ResidentData[[#This Row],[Enrollment '[mmm-yyyy']]]),"-",AND((Tbl_ResidentData[[#This Row],[Enrollment '[mmm-yyyy']]]&lt;=Y$4),IF(ISBLANK(Tbl_ResidentData[[#This Row],[Discharge '[mmm-yyyy']]]),TRUE,(Tbl_ResidentData[[#This Row],[Discharge '[mmm-yyyy']]]&gt;=Y$4)))))</f>
        <v>-</v>
      </c>
      <c r="Z165" s="121" t="str">
        <f ca="1">IF(Z$4&gt;NOW(),"-",IF(ISBLANK(Tbl_ResidentData[[#This Row],[Enrollment '[mmm-yyyy']]]),"-",AND((Tbl_ResidentData[[#This Row],[Enrollment '[mmm-yyyy']]]&lt;=Z$4),IF(ISBLANK(Tbl_ResidentData[[#This Row],[Discharge '[mmm-yyyy']]]),TRUE,(Tbl_ResidentData[[#This Row],[Discharge '[mmm-yyyy']]]&gt;=Z$4)))))</f>
        <v>-</v>
      </c>
      <c r="AA165" s="121" t="str">
        <f ca="1">IF(AA$4&gt;NOW(),"-",IF(ISBLANK(Tbl_ResidentData[[#This Row],[Enrollment '[mmm-yyyy']]]),"-",AND((Tbl_ResidentData[[#This Row],[Enrollment '[mmm-yyyy']]]&lt;=AA$4),IF(ISBLANK(Tbl_ResidentData[[#This Row],[Discharge '[mmm-yyyy']]]),TRUE,(Tbl_ResidentData[[#This Row],[Discharge '[mmm-yyyy']]]&gt;=AA$4)))))</f>
        <v>-</v>
      </c>
      <c r="AB165" s="121" t="str">
        <f ca="1">IF(AB$4&gt;NOW(),"-",IF(ISBLANK(Tbl_ResidentData[[#This Row],[Enrollment '[mmm-yyyy']]]),"-",AND((Tbl_ResidentData[[#This Row],[Enrollment '[mmm-yyyy']]]&lt;=AB$4),IF(ISBLANK(Tbl_ResidentData[[#This Row],[Discharge '[mmm-yyyy']]]),TRUE,(Tbl_ResidentData[[#This Row],[Discharge '[mmm-yyyy']]]&gt;=AB$4)))))</f>
        <v>-</v>
      </c>
      <c r="AC165" s="121" t="str">
        <f ca="1">IF(AC$4&gt;NOW(),"-",IF(ISBLANK(Tbl_ResidentData[[#This Row],[Enrollment '[mmm-yyyy']]]),"-",AND((Tbl_ResidentData[[#This Row],[Enrollment '[mmm-yyyy']]]&lt;=AC$4),IF(ISBLANK(Tbl_ResidentData[[#This Row],[Discharge '[mmm-yyyy']]]),TRUE,(Tbl_ResidentData[[#This Row],[Discharge '[mmm-yyyy']]]&gt;=AC$4)))))</f>
        <v>-</v>
      </c>
      <c r="AD165" s="121" t="str">
        <f ca="1">IF(AD$4&gt;NOW(),"-",IF(ISBLANK(Tbl_ResidentData[[#This Row],[Enrollment '[mmm-yyyy']]]),"-",AND((Tbl_ResidentData[[#This Row],[Enrollment '[mmm-yyyy']]]&lt;=AD$4),IF(ISBLANK(Tbl_ResidentData[[#This Row],[Discharge '[mmm-yyyy']]]),TRUE,(Tbl_ResidentData[[#This Row],[Discharge '[mmm-yyyy']]]&gt;=AD$4)))))</f>
        <v>-</v>
      </c>
      <c r="AE165" s="121" t="str">
        <f ca="1">IF(AE$4&gt;NOW(),"-",IF(ISBLANK(Tbl_ResidentData[[#This Row],[Enrollment '[mmm-yyyy']]]),"-",AND((Tbl_ResidentData[[#This Row],[Enrollment '[mmm-yyyy']]]&lt;=AE$4),IF(ISBLANK(Tbl_ResidentData[[#This Row],[Discharge '[mmm-yyyy']]]),TRUE,(Tbl_ResidentData[[#This Row],[Discharge '[mmm-yyyy']]]&gt;=AE$4)))))</f>
        <v>-</v>
      </c>
      <c r="AF165" s="121" t="str">
        <f ca="1">IF(AF$4&gt;NOW(),"-",IF(ISBLANK(Tbl_ResidentData[[#This Row],[Enrollment '[mmm-yyyy']]]),"-",AND((Tbl_ResidentData[[#This Row],[Enrollment '[mmm-yyyy']]]&lt;=AF$4),IF(ISBLANK(Tbl_ResidentData[[#This Row],[Discharge '[mmm-yyyy']]]),TRUE,(Tbl_ResidentData[[#This Row],[Discharge '[mmm-yyyy']]]&gt;=AF$4)))))</f>
        <v>-</v>
      </c>
      <c r="AG165" s="121" t="str">
        <f ca="1">IF(AG$4&gt;NOW(),"-",IF(ISBLANK(Tbl_ResidentData[[#This Row],[Enrollment '[mmm-yyyy']]]),"-",AND((Tbl_ResidentData[[#This Row],[Enrollment '[mmm-yyyy']]]&lt;=AG$4),IF(ISBLANK(Tbl_ResidentData[[#This Row],[Discharge '[mmm-yyyy']]]),TRUE,(Tbl_ResidentData[[#This Row],[Discharge '[mmm-yyyy']]]&gt;=AG$4)))))</f>
        <v>-</v>
      </c>
      <c r="AH165" s="121" t="str">
        <f ca="1">IF(AH$4&gt;NOW(),"-",IF(ISBLANK(Tbl_ResidentData[[#This Row],[Enrollment '[mmm-yyyy']]]),"-",AND((Tbl_ResidentData[[#This Row],[Enrollment '[mmm-yyyy']]]&lt;=AH$4),IF(ISBLANK(Tbl_ResidentData[[#This Row],[Discharge '[mmm-yyyy']]]),TRUE,(Tbl_ResidentData[[#This Row],[Discharge '[mmm-yyyy']]]&gt;=AH$4)))))</f>
        <v>-</v>
      </c>
      <c r="AI165" s="121" t="str">
        <f ca="1">IF(AI$4&gt;NOW(),"-",IF(ISBLANK(Tbl_ResidentData[[#This Row],[Enrollment '[mmm-yyyy']]]),"-",AND((Tbl_ResidentData[[#This Row],[Enrollment '[mmm-yyyy']]]&lt;=AI$4),IF(ISBLANK(Tbl_ResidentData[[#This Row],[Discharge '[mmm-yyyy']]]),TRUE,(Tbl_ResidentData[[#This Row],[Discharge '[mmm-yyyy']]]&gt;=AI$4)))))</f>
        <v>-</v>
      </c>
      <c r="AJ165" s="121" t="str">
        <f ca="1">IF(AJ$4&gt;NOW(),"-",IF(ISBLANK(Tbl_ResidentData[[#This Row],[Enrollment '[mmm-yyyy']]]),"-",AND((Tbl_ResidentData[[#This Row],[Enrollment '[mmm-yyyy']]]&lt;=AJ$4),IF(ISBLANK(Tbl_ResidentData[[#This Row],[Discharge '[mmm-yyyy']]]),TRUE,(Tbl_ResidentData[[#This Row],[Discharge '[mmm-yyyy']]]&gt;=AJ$4)))))</f>
        <v>-</v>
      </c>
      <c r="AK165" s="121" t="str">
        <f ca="1">IF(AK$4&gt;NOW(),"-",IF(ISBLANK(Tbl_ResidentData[[#This Row],[Enrollment '[mmm-yyyy']]]),"-",AND((Tbl_ResidentData[[#This Row],[Enrollment '[mmm-yyyy']]]&lt;=AK$4),IF(ISBLANK(Tbl_ResidentData[[#This Row],[Discharge '[mmm-yyyy']]]),TRUE,(Tbl_ResidentData[[#This Row],[Discharge '[mmm-yyyy']]]&gt;=AK$4)))))</f>
        <v>-</v>
      </c>
      <c r="AL165" s="121" t="str">
        <f ca="1">IF(AL$4&gt;NOW(),"-",IF(ISBLANK(Tbl_ResidentData[[#This Row],[Enrollment '[mmm-yyyy']]]),"-",AND((Tbl_ResidentData[[#This Row],[Enrollment '[mmm-yyyy']]]&lt;=AL$4),IF(ISBLANK(Tbl_ResidentData[[#This Row],[Discharge '[mmm-yyyy']]]),TRUE,(Tbl_ResidentData[[#This Row],[Discharge '[mmm-yyyy']]]&gt;=AL$4)))))</f>
        <v>-</v>
      </c>
      <c r="AM165" s="121" t="str">
        <f ca="1">IF(AM$4&gt;NOW(),"-",IF(ISBLANK(Tbl_ResidentData[[#This Row],[Enrollment '[mmm-yyyy']]]),"-",AND((Tbl_ResidentData[[#This Row],[Enrollment '[mmm-yyyy']]]&lt;=AM$4),IF(ISBLANK(Tbl_ResidentData[[#This Row],[Discharge '[mmm-yyyy']]]),TRUE,(Tbl_ResidentData[[#This Row],[Discharge '[mmm-yyyy']]]&gt;=AM$4)))))</f>
        <v>-</v>
      </c>
      <c r="AN165" s="121" t="str">
        <f ca="1">IF(AN$4&gt;NOW(),"-",IF(ISBLANK(Tbl_ResidentData[[#This Row],[Enrollment '[mmm-yyyy']]]),"-",AND((Tbl_ResidentData[[#This Row],[Enrollment '[mmm-yyyy']]]&lt;=AN$4),IF(ISBLANK(Tbl_ResidentData[[#This Row],[Discharge '[mmm-yyyy']]]),TRUE,(Tbl_ResidentData[[#This Row],[Discharge '[mmm-yyyy']]]&gt;=AN$4)))))</f>
        <v>-</v>
      </c>
      <c r="AO165" s="121" t="str">
        <f ca="1">IF(AO$4&gt;NOW(),"-",IF(ISBLANK(Tbl_ResidentData[[#This Row],[Enrollment '[mmm-yyyy']]]),"-",AND((Tbl_ResidentData[[#This Row],[Enrollment '[mmm-yyyy']]]&lt;=AO$4),IF(ISBLANK(Tbl_ResidentData[[#This Row],[Discharge '[mmm-yyyy']]]),TRUE,(Tbl_ResidentData[[#This Row],[Discharge '[mmm-yyyy']]]&gt;=AO$4)))))</f>
        <v>-</v>
      </c>
      <c r="AP165" s="121" t="str">
        <f ca="1">IF(AP$4&gt;NOW(),"-",IF(ISBLANK(Tbl_ResidentData[[#This Row],[Enrollment '[mmm-yyyy']]]),"-",AND((Tbl_ResidentData[[#This Row],[Enrollment '[mmm-yyyy']]]&lt;=AP$4),IF(ISBLANK(Tbl_ResidentData[[#This Row],[Discharge '[mmm-yyyy']]]),TRUE,(Tbl_ResidentData[[#This Row],[Discharge '[mmm-yyyy']]]&gt;=AP$4)))))</f>
        <v>-</v>
      </c>
      <c r="AQ165" s="121" t="str">
        <f ca="1">IF(AQ$4&gt;NOW(),"-",IF(ISBLANK(Tbl_ResidentData[[#This Row],[Enrollment '[mmm-yyyy']]]),"-",AND((Tbl_ResidentData[[#This Row],[Enrollment '[mmm-yyyy']]]&lt;=AQ$4),IF(ISBLANK(Tbl_ResidentData[[#This Row],[Discharge '[mmm-yyyy']]]),TRUE,(Tbl_ResidentData[[#This Row],[Discharge '[mmm-yyyy']]]&gt;=AQ$4)))))</f>
        <v>-</v>
      </c>
      <c r="AR165" s="122" t="str">
        <f ca="1">IF(AR$4&gt;NOW(),"-",IF(ISBLANK(Tbl_ResidentData[[#This Row],[Enrollment '[mmm-yyyy']]]),"-",AND((Tbl_ResidentData[[#This Row],[Enrollment '[mmm-yyyy']]]&lt;=AR$4),IF(ISBLANK(Tbl_ResidentData[[#This Row],[Discharge '[mmm-yyyy']]]),TRUE,(Tbl_ResidentData[[#This Row],[Discharge '[mmm-yyyy']]]&gt;=AR$4)))))</f>
        <v>-</v>
      </c>
      <c r="AS16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5" s="120" t="b">
        <f ca="1">AND(Tbl_ResidentData[[#This Row],[PRN Med Started]]&lt;&gt;"",Tbl_ResidentData[[#This Row],[PRN Med Started]]&lt;=NOW(),Tbl_ResidentData[[#This Row],[PRN Med Started]]&lt;=AS$4,OR(Tbl_ResidentData[[#This Row],[PRN Med Discontinued]]&gt;AS$4,ISBLANK(Tbl_ResidentData[[#This Row],[PRN Med Discontinued]])))</f>
        <v>0</v>
      </c>
      <c r="BR165" s="121" t="b">
        <f ca="1">AND(Tbl_ResidentData[[#This Row],[PRN Med Started]]&lt;&gt;"",Tbl_ResidentData[[#This Row],[PRN Med Started]]&lt;=NOW(),Tbl_ResidentData[[#This Row],[PRN Med Started]]&lt;=AT$4,OR(Tbl_ResidentData[[#This Row],[PRN Med Discontinued]]&gt;AT$4,ISBLANK(Tbl_ResidentData[[#This Row],[PRN Med Discontinued]])))</f>
        <v>0</v>
      </c>
      <c r="BS165" s="121" t="b">
        <f ca="1">AND(Tbl_ResidentData[[#This Row],[PRN Med Started]]&lt;&gt;"",Tbl_ResidentData[[#This Row],[PRN Med Started]]&lt;=NOW(),Tbl_ResidentData[[#This Row],[PRN Med Started]]&lt;=AU$4,OR(Tbl_ResidentData[[#This Row],[PRN Med Discontinued]]&gt;AU$4,ISBLANK(Tbl_ResidentData[[#This Row],[PRN Med Discontinued]])))</f>
        <v>0</v>
      </c>
      <c r="BT165" s="121" t="b">
        <f ca="1">AND(Tbl_ResidentData[[#This Row],[PRN Med Started]]&lt;&gt;"",Tbl_ResidentData[[#This Row],[PRN Med Started]]&lt;=NOW(),Tbl_ResidentData[[#This Row],[PRN Med Started]]&lt;=AV$4,OR(Tbl_ResidentData[[#This Row],[PRN Med Discontinued]]&gt;AV$4,ISBLANK(Tbl_ResidentData[[#This Row],[PRN Med Discontinued]])))</f>
        <v>0</v>
      </c>
      <c r="BU165" s="121" t="b">
        <f ca="1">AND(Tbl_ResidentData[[#This Row],[PRN Med Started]]&lt;&gt;"",Tbl_ResidentData[[#This Row],[PRN Med Started]]&lt;=NOW(),Tbl_ResidentData[[#This Row],[PRN Med Started]]&lt;=AW$4,OR(Tbl_ResidentData[[#This Row],[PRN Med Discontinued]]&gt;AW$4,ISBLANK(Tbl_ResidentData[[#This Row],[PRN Med Discontinued]])))</f>
        <v>0</v>
      </c>
      <c r="BV165" s="121" t="b">
        <f ca="1">AND(Tbl_ResidentData[[#This Row],[PRN Med Started]]&lt;&gt;"",Tbl_ResidentData[[#This Row],[PRN Med Started]]&lt;=NOW(),Tbl_ResidentData[[#This Row],[PRN Med Started]]&lt;=AX$4,OR(Tbl_ResidentData[[#This Row],[PRN Med Discontinued]]&gt;AX$4,ISBLANK(Tbl_ResidentData[[#This Row],[PRN Med Discontinued]])))</f>
        <v>0</v>
      </c>
      <c r="BW165" s="121" t="b">
        <f ca="1">AND(Tbl_ResidentData[[#This Row],[PRN Med Started]]&lt;&gt;"",Tbl_ResidentData[[#This Row],[PRN Med Started]]&lt;=NOW(),Tbl_ResidentData[[#This Row],[PRN Med Started]]&lt;=AY$4,OR(Tbl_ResidentData[[#This Row],[PRN Med Discontinued]]&gt;AY$4,ISBLANK(Tbl_ResidentData[[#This Row],[PRN Med Discontinued]])))</f>
        <v>0</v>
      </c>
      <c r="BX165" s="121" t="b">
        <f ca="1">AND(Tbl_ResidentData[[#This Row],[PRN Med Started]]&lt;&gt;"",Tbl_ResidentData[[#This Row],[PRN Med Started]]&lt;=NOW(),Tbl_ResidentData[[#This Row],[PRN Med Started]]&lt;=AZ$4,OR(Tbl_ResidentData[[#This Row],[PRN Med Discontinued]]&gt;AZ$4,ISBLANK(Tbl_ResidentData[[#This Row],[PRN Med Discontinued]])))</f>
        <v>0</v>
      </c>
      <c r="BY165" s="121" t="b">
        <f ca="1">AND(Tbl_ResidentData[[#This Row],[PRN Med Started]]&lt;&gt;"",Tbl_ResidentData[[#This Row],[PRN Med Started]]&lt;=NOW(),Tbl_ResidentData[[#This Row],[PRN Med Started]]&lt;=BA$4,OR(Tbl_ResidentData[[#This Row],[PRN Med Discontinued]]&gt;BA$4,ISBLANK(Tbl_ResidentData[[#This Row],[PRN Med Discontinued]])))</f>
        <v>0</v>
      </c>
      <c r="BZ165" s="121" t="b">
        <f ca="1">AND(Tbl_ResidentData[[#This Row],[PRN Med Started]]&lt;&gt;"",Tbl_ResidentData[[#This Row],[PRN Med Started]]&lt;=NOW(),Tbl_ResidentData[[#This Row],[PRN Med Started]]&lt;=BB$4,OR(Tbl_ResidentData[[#This Row],[PRN Med Discontinued]]&gt;BB$4,ISBLANK(Tbl_ResidentData[[#This Row],[PRN Med Discontinued]])))</f>
        <v>0</v>
      </c>
      <c r="CA165" s="121" t="b">
        <f ca="1">AND(Tbl_ResidentData[[#This Row],[PRN Med Started]]&lt;&gt;"",Tbl_ResidentData[[#This Row],[PRN Med Started]]&lt;=NOW(),Tbl_ResidentData[[#This Row],[PRN Med Started]]&lt;=BC$4,OR(Tbl_ResidentData[[#This Row],[PRN Med Discontinued]]&gt;BC$4,ISBLANK(Tbl_ResidentData[[#This Row],[PRN Med Discontinued]])))</f>
        <v>0</v>
      </c>
      <c r="CB165" s="121" t="b">
        <f ca="1">AND(Tbl_ResidentData[[#This Row],[PRN Med Started]]&lt;&gt;"",Tbl_ResidentData[[#This Row],[PRN Med Started]]&lt;=NOW(),Tbl_ResidentData[[#This Row],[PRN Med Started]]&lt;=BD$4,OR(Tbl_ResidentData[[#This Row],[PRN Med Discontinued]]&gt;BD$4,ISBLANK(Tbl_ResidentData[[#This Row],[PRN Med Discontinued]])))</f>
        <v>0</v>
      </c>
      <c r="CC165" s="121" t="b">
        <f ca="1">AND(Tbl_ResidentData[[#This Row],[PRN Med Started]]&lt;&gt;"",Tbl_ResidentData[[#This Row],[PRN Med Started]]&lt;=NOW(),Tbl_ResidentData[[#This Row],[PRN Med Started]]&lt;=BE$4,OR(Tbl_ResidentData[[#This Row],[PRN Med Discontinued]]&gt;BE$4,ISBLANK(Tbl_ResidentData[[#This Row],[PRN Med Discontinued]])))</f>
        <v>0</v>
      </c>
      <c r="CD165" s="121" t="b">
        <f ca="1">AND(Tbl_ResidentData[[#This Row],[PRN Med Started]]&lt;&gt;"",Tbl_ResidentData[[#This Row],[PRN Med Started]]&lt;=NOW(),Tbl_ResidentData[[#This Row],[PRN Med Started]]&lt;=BF$4,OR(Tbl_ResidentData[[#This Row],[PRN Med Discontinued]]&gt;BF$4,ISBLANK(Tbl_ResidentData[[#This Row],[PRN Med Discontinued]])))</f>
        <v>0</v>
      </c>
      <c r="CE165" s="121" t="b">
        <f ca="1">AND(Tbl_ResidentData[[#This Row],[PRN Med Started]]&lt;&gt;"",Tbl_ResidentData[[#This Row],[PRN Med Started]]&lt;=NOW(),Tbl_ResidentData[[#This Row],[PRN Med Started]]&lt;=BG$4,OR(Tbl_ResidentData[[#This Row],[PRN Med Discontinued]]&gt;BG$4,ISBLANK(Tbl_ResidentData[[#This Row],[PRN Med Discontinued]])))</f>
        <v>0</v>
      </c>
      <c r="CF165" s="121" t="b">
        <f ca="1">AND(Tbl_ResidentData[[#This Row],[PRN Med Started]]&lt;&gt;"",Tbl_ResidentData[[#This Row],[PRN Med Started]]&lt;=NOW(),Tbl_ResidentData[[#This Row],[PRN Med Started]]&lt;=BH$4,OR(Tbl_ResidentData[[#This Row],[PRN Med Discontinued]]&gt;BH$4,ISBLANK(Tbl_ResidentData[[#This Row],[PRN Med Discontinued]])))</f>
        <v>0</v>
      </c>
      <c r="CG165" s="121" t="b">
        <f ca="1">AND(Tbl_ResidentData[[#This Row],[PRN Med Started]]&lt;&gt;"",Tbl_ResidentData[[#This Row],[PRN Med Started]]&lt;=NOW(),Tbl_ResidentData[[#This Row],[PRN Med Started]]&lt;=BI$4,OR(Tbl_ResidentData[[#This Row],[PRN Med Discontinued]]&gt;BI$4,ISBLANK(Tbl_ResidentData[[#This Row],[PRN Med Discontinued]])))</f>
        <v>0</v>
      </c>
      <c r="CH165" s="121" t="b">
        <f ca="1">AND(Tbl_ResidentData[[#This Row],[PRN Med Started]]&lt;&gt;"",Tbl_ResidentData[[#This Row],[PRN Med Started]]&lt;=NOW(),Tbl_ResidentData[[#This Row],[PRN Med Started]]&lt;=BJ$4,OR(Tbl_ResidentData[[#This Row],[PRN Med Discontinued]]&gt;BJ$4,ISBLANK(Tbl_ResidentData[[#This Row],[PRN Med Discontinued]])))</f>
        <v>0</v>
      </c>
      <c r="CI165" s="121" t="b">
        <f ca="1">AND(Tbl_ResidentData[[#This Row],[PRN Med Started]]&lt;&gt;"",Tbl_ResidentData[[#This Row],[PRN Med Started]]&lt;=NOW(),Tbl_ResidentData[[#This Row],[PRN Med Started]]&lt;=BK$4,OR(Tbl_ResidentData[[#This Row],[PRN Med Discontinued]]&gt;BK$4,ISBLANK(Tbl_ResidentData[[#This Row],[PRN Med Discontinued]])))</f>
        <v>0</v>
      </c>
      <c r="CJ165" s="121" t="b">
        <f ca="1">AND(Tbl_ResidentData[[#This Row],[PRN Med Started]]&lt;&gt;"",Tbl_ResidentData[[#This Row],[PRN Med Started]]&lt;=NOW(),Tbl_ResidentData[[#This Row],[PRN Med Started]]&lt;=BL$4,OR(Tbl_ResidentData[[#This Row],[PRN Med Discontinued]]&gt;BL$4,ISBLANK(Tbl_ResidentData[[#This Row],[PRN Med Discontinued]])))</f>
        <v>0</v>
      </c>
      <c r="CK165" s="121" t="b">
        <f ca="1">AND(Tbl_ResidentData[[#This Row],[PRN Med Started]]&lt;&gt;"",Tbl_ResidentData[[#This Row],[PRN Med Started]]&lt;=NOW(),Tbl_ResidentData[[#This Row],[PRN Med Started]]&lt;=BM$4,OR(Tbl_ResidentData[[#This Row],[PRN Med Discontinued]]&gt;BM$4,ISBLANK(Tbl_ResidentData[[#This Row],[PRN Med Discontinued]])))</f>
        <v>0</v>
      </c>
      <c r="CL165" s="121" t="b">
        <f ca="1">AND(Tbl_ResidentData[[#This Row],[PRN Med Started]]&lt;&gt;"",Tbl_ResidentData[[#This Row],[PRN Med Started]]&lt;=NOW(),Tbl_ResidentData[[#This Row],[PRN Med Started]]&lt;=BN$4,OR(Tbl_ResidentData[[#This Row],[PRN Med Discontinued]]&gt;BN$4,ISBLANK(Tbl_ResidentData[[#This Row],[PRN Med Discontinued]])))</f>
        <v>0</v>
      </c>
      <c r="CM165" s="121" t="b">
        <f ca="1">AND(Tbl_ResidentData[[#This Row],[PRN Med Started]]&lt;&gt;"",Tbl_ResidentData[[#This Row],[PRN Med Started]]&lt;=NOW(),Tbl_ResidentData[[#This Row],[PRN Med Started]]&lt;=BO$4,OR(Tbl_ResidentData[[#This Row],[PRN Med Discontinued]]&gt;BO$4,ISBLANK(Tbl_ResidentData[[#This Row],[PRN Med Discontinued]])))</f>
        <v>0</v>
      </c>
      <c r="CN165" s="122" t="b">
        <f ca="1">AND(Tbl_ResidentData[[#This Row],[PRN Med Started]]&lt;&gt;"",Tbl_ResidentData[[#This Row],[PRN Med Started]]&lt;=NOW(),Tbl_ResidentData[[#This Row],[PRN Med Started]]&lt;=BP$4,OR(Tbl_ResidentData[[#This Row],[PRN Med Discontinued]]&gt;BP$4,ISBLANK(Tbl_ResidentData[[#This Row],[PRN Med Discontinued]])))</f>
        <v>0</v>
      </c>
      <c r="CO165" s="120">
        <f ca="1">IF(OR(Tbl_ResidentData[[#This Row],[S1]]=TRUE,Tbl_ResidentData[[#This Row],[P1]]=TRUE),1,0)</f>
        <v>0</v>
      </c>
      <c r="CP165" s="121">
        <f ca="1">IF(OR(Tbl_ResidentData[[#This Row],[S2]]=TRUE,Tbl_ResidentData[[#This Row],[P2]]=TRUE),1,0)</f>
        <v>0</v>
      </c>
      <c r="CQ165" s="121">
        <f ca="1">IF(OR(Tbl_ResidentData[[#This Row],[S3]]=TRUE,Tbl_ResidentData[[#This Row],[P3]]=TRUE),1,0)</f>
        <v>0</v>
      </c>
      <c r="CR165" s="120">
        <f ca="1">IF(OR(Tbl_ResidentData[[#This Row],[S4]]=TRUE,Tbl_ResidentData[[#This Row],[P4]]=TRUE),1,0)</f>
        <v>0</v>
      </c>
      <c r="CS165" s="120">
        <f ca="1">IF(OR(Tbl_ResidentData[[#This Row],[S5]]=TRUE,Tbl_ResidentData[[#This Row],[P5]]=TRUE),1,0)</f>
        <v>0</v>
      </c>
      <c r="CT165" s="120">
        <f ca="1">IF(OR(Tbl_ResidentData[[#This Row],[S6]]=TRUE,Tbl_ResidentData[[#This Row],[P6]]=TRUE),1,0)</f>
        <v>0</v>
      </c>
      <c r="CU165" s="120">
        <f ca="1">IF(OR(Tbl_ResidentData[[#This Row],[S7]]=TRUE,Tbl_ResidentData[[#This Row],[P7]]=TRUE),1,0)</f>
        <v>0</v>
      </c>
      <c r="CV165" s="120">
        <f ca="1">IF(OR(Tbl_ResidentData[[#This Row],[S8]]=TRUE,Tbl_ResidentData[[#This Row],[P8]]=TRUE),1,0)</f>
        <v>0</v>
      </c>
      <c r="CW165" s="120">
        <f ca="1">IF(OR(Tbl_ResidentData[[#This Row],[S9]]=TRUE,Tbl_ResidentData[[#This Row],[P9]]=TRUE),1,0)</f>
        <v>0</v>
      </c>
      <c r="CX165" s="120">
        <f ca="1">IF(OR(Tbl_ResidentData[[#This Row],[S10]]=TRUE,Tbl_ResidentData[[#This Row],[P10]]=TRUE),1,0)</f>
        <v>0</v>
      </c>
      <c r="CY165" s="120">
        <f ca="1">IF(OR(Tbl_ResidentData[[#This Row],[S11]]=TRUE,Tbl_ResidentData[[#This Row],[P11]]=TRUE),1,0)</f>
        <v>0</v>
      </c>
      <c r="CZ165" s="120">
        <f ca="1">IF(OR(Tbl_ResidentData[[#This Row],[S12]]=TRUE,Tbl_ResidentData[[#This Row],[P12]]=TRUE),1,0)</f>
        <v>0</v>
      </c>
      <c r="DA165" s="120">
        <f ca="1">IF(OR(Tbl_ResidentData[[#This Row],[S13]]=TRUE,Tbl_ResidentData[[#This Row],[P13]]=TRUE),1,0)</f>
        <v>0</v>
      </c>
      <c r="DB165" s="120">
        <f ca="1">IF(OR(Tbl_ResidentData[[#This Row],[S14]]=TRUE,Tbl_ResidentData[[#This Row],[P14]]=TRUE),1,0)</f>
        <v>0</v>
      </c>
      <c r="DC165" s="120">
        <f ca="1">IF(OR(Tbl_ResidentData[[#This Row],[S15]]=TRUE,Tbl_ResidentData[[#This Row],[P15]]=TRUE),1,0)</f>
        <v>0</v>
      </c>
      <c r="DD165" s="120">
        <f ca="1">IF(OR(Tbl_ResidentData[[#This Row],[S16]]=TRUE,Tbl_ResidentData[[#This Row],[P16]]=TRUE),1,0)</f>
        <v>0</v>
      </c>
      <c r="DE165" s="120">
        <f ca="1">IF(OR(Tbl_ResidentData[[#This Row],[S17]]=TRUE,Tbl_ResidentData[[#This Row],[P17]]=TRUE),1,0)</f>
        <v>0</v>
      </c>
      <c r="DF165" s="120">
        <f ca="1">IF(OR(Tbl_ResidentData[[#This Row],[S18]]=TRUE,Tbl_ResidentData[[#This Row],[P18]]=TRUE),1,0)</f>
        <v>0</v>
      </c>
      <c r="DG165" s="120">
        <f ca="1">IF(OR(Tbl_ResidentData[[#This Row],[S19]]=TRUE,Tbl_ResidentData[[#This Row],[P19]]=TRUE),1,0)</f>
        <v>0</v>
      </c>
      <c r="DH165" s="120">
        <f ca="1">IF(OR(Tbl_ResidentData[[#This Row],[S20]]=TRUE,Tbl_ResidentData[[#This Row],[P20]]=TRUE),1,0)</f>
        <v>0</v>
      </c>
      <c r="DI165" s="120">
        <f ca="1">IF(OR(Tbl_ResidentData[[#This Row],[S21]]=TRUE,Tbl_ResidentData[[#This Row],[P21]]=TRUE),1,0)</f>
        <v>0</v>
      </c>
      <c r="DJ165" s="120">
        <f ca="1">IF(OR(Tbl_ResidentData[[#This Row],[S22]]=TRUE,Tbl_ResidentData[[#This Row],[P22]]=TRUE),1,0)</f>
        <v>0</v>
      </c>
      <c r="DK165" s="120">
        <f ca="1">IF(OR(Tbl_ResidentData[[#This Row],[S23]]=TRUE,Tbl_ResidentData[[#This Row],[P23]]=TRUE),1,0)</f>
        <v>0</v>
      </c>
      <c r="DL165" s="120">
        <f ca="1">IF(OR(Tbl_ResidentData[[#This Row],[S24]]=TRUE,Tbl_ResidentData[[#This Row],[P24]]=TRUE),1,0)</f>
        <v>0</v>
      </c>
      <c r="DM165" s="123" t="str">
        <f ca="1">IFERROR(INDEX($CO$4:$DL$4,MATCH(TRUE,INDEX((Tbl_ResidentData[[#This Row],[Over1]:[Over24]]&lt;&gt;0),0),0)),"")</f>
        <v/>
      </c>
      <c r="DN165" s="133" t="str">
        <f>IFERROR(INDEX(Tbl_PDSAData[Last DRT],MATCH(Tbl_ResidentData[Resident Name '[last, first']],Tbl_PDSAData[Resident Name (last, first)],0)),"")</f>
        <v/>
      </c>
      <c r="DO165" s="222" t="str">
        <f>IFERROR(INDEX(Tbl_PDSAData[Last MR],MATCH(Tbl_ResidentData[Resident Name '[last, first']],Tbl_PDSAData[Resident Name (last, first)],0)),"")</f>
        <v/>
      </c>
    </row>
    <row r="166" spans="1:119" x14ac:dyDescent="0.25">
      <c r="A166" s="179"/>
      <c r="B166" s="180"/>
      <c r="C166" s="180"/>
      <c r="D166" s="218"/>
      <c r="E166" s="179"/>
      <c r="F166" s="179"/>
      <c r="G166" s="181"/>
      <c r="H166" s="375"/>
      <c r="I166" s="185"/>
      <c r="J166" s="387"/>
      <c r="K166" s="178"/>
      <c r="L166" s="388"/>
      <c r="M166" s="185"/>
      <c r="N166" s="386"/>
      <c r="O166" s="178"/>
      <c r="P166" s="388"/>
      <c r="Q166" s="394"/>
      <c r="R166" s="388"/>
      <c r="S166" s="131" t="str">
        <f>IF(ISBLANK(Tbl_ResidentData[[#This Row],[Discharge '[mmm-yyyy']]]),IF(ISBLANK(Tbl_ResidentData[[#This Row],[Enrollment '[mmm-yyyy']]]),"","In Care Home"),"Discharged")</f>
        <v/>
      </c>
      <c r="T166" s="119" t="str">
        <f>IF(ISBLANK(Tbl_ResidentData[[#This Row],[Diagnosis (RAI)]]),IF(ISBLANK(Tbl_ResidentData[[#This Row],[Resident Name '[last, first']]]),"",0),IF(Tbl_ResidentData[[#This Row],[Diagnosis (RAI)]]="Other (see clinical notes)",0,1))</f>
        <v/>
      </c>
      <c r="U166" s="120" t="str">
        <f ca="1">IF(U$4&gt;NOW(),"-",IF(ISBLANK(Tbl_ResidentData[[#This Row],[Enrollment '[mmm-yyyy']]]),"-",AND((Tbl_ResidentData[[#This Row],[Enrollment '[mmm-yyyy']]]&lt;=U$4),IF(ISBLANK(Tbl_ResidentData[[#This Row],[Discharge '[mmm-yyyy']]]),TRUE,(Tbl_ResidentData[[#This Row],[Discharge '[mmm-yyyy']]]&gt;=U$4)))))</f>
        <v>-</v>
      </c>
      <c r="V166" s="121" t="str">
        <f ca="1">IF(V$4&gt;NOW(),"-",IF(ISBLANK(Tbl_ResidentData[[#This Row],[Enrollment '[mmm-yyyy']]]),"-",AND((Tbl_ResidentData[[#This Row],[Enrollment '[mmm-yyyy']]]&lt;=V$4),IF(ISBLANK(Tbl_ResidentData[[#This Row],[Discharge '[mmm-yyyy']]]),TRUE,(Tbl_ResidentData[[#This Row],[Discharge '[mmm-yyyy']]]&gt;=V$4)))))</f>
        <v>-</v>
      </c>
      <c r="W166" s="121" t="str">
        <f ca="1">IF(W$4&gt;NOW(),"-",IF(ISBLANK(Tbl_ResidentData[[#This Row],[Enrollment '[mmm-yyyy']]]),"-",AND((Tbl_ResidentData[[#This Row],[Enrollment '[mmm-yyyy']]]&lt;=W$4),IF(ISBLANK(Tbl_ResidentData[[#This Row],[Discharge '[mmm-yyyy']]]),TRUE,(Tbl_ResidentData[[#This Row],[Discharge '[mmm-yyyy']]]&gt;=W$4)))))</f>
        <v>-</v>
      </c>
      <c r="X166" s="121" t="str">
        <f ca="1">IF(X$4&gt;NOW(),"-",IF(ISBLANK(Tbl_ResidentData[[#This Row],[Enrollment '[mmm-yyyy']]]),"-",AND((Tbl_ResidentData[[#This Row],[Enrollment '[mmm-yyyy']]]&lt;=X$4),IF(ISBLANK(Tbl_ResidentData[[#This Row],[Discharge '[mmm-yyyy']]]),TRUE,(Tbl_ResidentData[[#This Row],[Discharge '[mmm-yyyy']]]&gt;=X$4)))))</f>
        <v>-</v>
      </c>
      <c r="Y166" s="121" t="str">
        <f ca="1">IF(Y$4&gt;NOW(),"-",IF(ISBLANK(Tbl_ResidentData[[#This Row],[Enrollment '[mmm-yyyy']]]),"-",AND((Tbl_ResidentData[[#This Row],[Enrollment '[mmm-yyyy']]]&lt;=Y$4),IF(ISBLANK(Tbl_ResidentData[[#This Row],[Discharge '[mmm-yyyy']]]),TRUE,(Tbl_ResidentData[[#This Row],[Discharge '[mmm-yyyy']]]&gt;=Y$4)))))</f>
        <v>-</v>
      </c>
      <c r="Z166" s="121" t="str">
        <f ca="1">IF(Z$4&gt;NOW(),"-",IF(ISBLANK(Tbl_ResidentData[[#This Row],[Enrollment '[mmm-yyyy']]]),"-",AND((Tbl_ResidentData[[#This Row],[Enrollment '[mmm-yyyy']]]&lt;=Z$4),IF(ISBLANK(Tbl_ResidentData[[#This Row],[Discharge '[mmm-yyyy']]]),TRUE,(Tbl_ResidentData[[#This Row],[Discharge '[mmm-yyyy']]]&gt;=Z$4)))))</f>
        <v>-</v>
      </c>
      <c r="AA166" s="121" t="str">
        <f ca="1">IF(AA$4&gt;NOW(),"-",IF(ISBLANK(Tbl_ResidentData[[#This Row],[Enrollment '[mmm-yyyy']]]),"-",AND((Tbl_ResidentData[[#This Row],[Enrollment '[mmm-yyyy']]]&lt;=AA$4),IF(ISBLANK(Tbl_ResidentData[[#This Row],[Discharge '[mmm-yyyy']]]),TRUE,(Tbl_ResidentData[[#This Row],[Discharge '[mmm-yyyy']]]&gt;=AA$4)))))</f>
        <v>-</v>
      </c>
      <c r="AB166" s="121" t="str">
        <f ca="1">IF(AB$4&gt;NOW(),"-",IF(ISBLANK(Tbl_ResidentData[[#This Row],[Enrollment '[mmm-yyyy']]]),"-",AND((Tbl_ResidentData[[#This Row],[Enrollment '[mmm-yyyy']]]&lt;=AB$4),IF(ISBLANK(Tbl_ResidentData[[#This Row],[Discharge '[mmm-yyyy']]]),TRUE,(Tbl_ResidentData[[#This Row],[Discharge '[mmm-yyyy']]]&gt;=AB$4)))))</f>
        <v>-</v>
      </c>
      <c r="AC166" s="121" t="str">
        <f ca="1">IF(AC$4&gt;NOW(),"-",IF(ISBLANK(Tbl_ResidentData[[#This Row],[Enrollment '[mmm-yyyy']]]),"-",AND((Tbl_ResidentData[[#This Row],[Enrollment '[mmm-yyyy']]]&lt;=AC$4),IF(ISBLANK(Tbl_ResidentData[[#This Row],[Discharge '[mmm-yyyy']]]),TRUE,(Tbl_ResidentData[[#This Row],[Discharge '[mmm-yyyy']]]&gt;=AC$4)))))</f>
        <v>-</v>
      </c>
      <c r="AD166" s="121" t="str">
        <f ca="1">IF(AD$4&gt;NOW(),"-",IF(ISBLANK(Tbl_ResidentData[[#This Row],[Enrollment '[mmm-yyyy']]]),"-",AND((Tbl_ResidentData[[#This Row],[Enrollment '[mmm-yyyy']]]&lt;=AD$4),IF(ISBLANK(Tbl_ResidentData[[#This Row],[Discharge '[mmm-yyyy']]]),TRUE,(Tbl_ResidentData[[#This Row],[Discharge '[mmm-yyyy']]]&gt;=AD$4)))))</f>
        <v>-</v>
      </c>
      <c r="AE166" s="121" t="str">
        <f ca="1">IF(AE$4&gt;NOW(),"-",IF(ISBLANK(Tbl_ResidentData[[#This Row],[Enrollment '[mmm-yyyy']]]),"-",AND((Tbl_ResidentData[[#This Row],[Enrollment '[mmm-yyyy']]]&lt;=AE$4),IF(ISBLANK(Tbl_ResidentData[[#This Row],[Discharge '[mmm-yyyy']]]),TRUE,(Tbl_ResidentData[[#This Row],[Discharge '[mmm-yyyy']]]&gt;=AE$4)))))</f>
        <v>-</v>
      </c>
      <c r="AF166" s="121" t="str">
        <f ca="1">IF(AF$4&gt;NOW(),"-",IF(ISBLANK(Tbl_ResidentData[[#This Row],[Enrollment '[mmm-yyyy']]]),"-",AND((Tbl_ResidentData[[#This Row],[Enrollment '[mmm-yyyy']]]&lt;=AF$4),IF(ISBLANK(Tbl_ResidentData[[#This Row],[Discharge '[mmm-yyyy']]]),TRUE,(Tbl_ResidentData[[#This Row],[Discharge '[mmm-yyyy']]]&gt;=AF$4)))))</f>
        <v>-</v>
      </c>
      <c r="AG166" s="121" t="str">
        <f ca="1">IF(AG$4&gt;NOW(),"-",IF(ISBLANK(Tbl_ResidentData[[#This Row],[Enrollment '[mmm-yyyy']]]),"-",AND((Tbl_ResidentData[[#This Row],[Enrollment '[mmm-yyyy']]]&lt;=AG$4),IF(ISBLANK(Tbl_ResidentData[[#This Row],[Discharge '[mmm-yyyy']]]),TRUE,(Tbl_ResidentData[[#This Row],[Discharge '[mmm-yyyy']]]&gt;=AG$4)))))</f>
        <v>-</v>
      </c>
      <c r="AH166" s="121" t="str">
        <f ca="1">IF(AH$4&gt;NOW(),"-",IF(ISBLANK(Tbl_ResidentData[[#This Row],[Enrollment '[mmm-yyyy']]]),"-",AND((Tbl_ResidentData[[#This Row],[Enrollment '[mmm-yyyy']]]&lt;=AH$4),IF(ISBLANK(Tbl_ResidentData[[#This Row],[Discharge '[mmm-yyyy']]]),TRUE,(Tbl_ResidentData[[#This Row],[Discharge '[mmm-yyyy']]]&gt;=AH$4)))))</f>
        <v>-</v>
      </c>
      <c r="AI166" s="121" t="str">
        <f ca="1">IF(AI$4&gt;NOW(),"-",IF(ISBLANK(Tbl_ResidentData[[#This Row],[Enrollment '[mmm-yyyy']]]),"-",AND((Tbl_ResidentData[[#This Row],[Enrollment '[mmm-yyyy']]]&lt;=AI$4),IF(ISBLANK(Tbl_ResidentData[[#This Row],[Discharge '[mmm-yyyy']]]),TRUE,(Tbl_ResidentData[[#This Row],[Discharge '[mmm-yyyy']]]&gt;=AI$4)))))</f>
        <v>-</v>
      </c>
      <c r="AJ166" s="121" t="str">
        <f ca="1">IF(AJ$4&gt;NOW(),"-",IF(ISBLANK(Tbl_ResidentData[[#This Row],[Enrollment '[mmm-yyyy']]]),"-",AND((Tbl_ResidentData[[#This Row],[Enrollment '[mmm-yyyy']]]&lt;=AJ$4),IF(ISBLANK(Tbl_ResidentData[[#This Row],[Discharge '[mmm-yyyy']]]),TRUE,(Tbl_ResidentData[[#This Row],[Discharge '[mmm-yyyy']]]&gt;=AJ$4)))))</f>
        <v>-</v>
      </c>
      <c r="AK166" s="121" t="str">
        <f ca="1">IF(AK$4&gt;NOW(),"-",IF(ISBLANK(Tbl_ResidentData[[#This Row],[Enrollment '[mmm-yyyy']]]),"-",AND((Tbl_ResidentData[[#This Row],[Enrollment '[mmm-yyyy']]]&lt;=AK$4),IF(ISBLANK(Tbl_ResidentData[[#This Row],[Discharge '[mmm-yyyy']]]),TRUE,(Tbl_ResidentData[[#This Row],[Discharge '[mmm-yyyy']]]&gt;=AK$4)))))</f>
        <v>-</v>
      </c>
      <c r="AL166" s="121" t="str">
        <f ca="1">IF(AL$4&gt;NOW(),"-",IF(ISBLANK(Tbl_ResidentData[[#This Row],[Enrollment '[mmm-yyyy']]]),"-",AND((Tbl_ResidentData[[#This Row],[Enrollment '[mmm-yyyy']]]&lt;=AL$4),IF(ISBLANK(Tbl_ResidentData[[#This Row],[Discharge '[mmm-yyyy']]]),TRUE,(Tbl_ResidentData[[#This Row],[Discharge '[mmm-yyyy']]]&gt;=AL$4)))))</f>
        <v>-</v>
      </c>
      <c r="AM166" s="121" t="str">
        <f ca="1">IF(AM$4&gt;NOW(),"-",IF(ISBLANK(Tbl_ResidentData[[#This Row],[Enrollment '[mmm-yyyy']]]),"-",AND((Tbl_ResidentData[[#This Row],[Enrollment '[mmm-yyyy']]]&lt;=AM$4),IF(ISBLANK(Tbl_ResidentData[[#This Row],[Discharge '[mmm-yyyy']]]),TRUE,(Tbl_ResidentData[[#This Row],[Discharge '[mmm-yyyy']]]&gt;=AM$4)))))</f>
        <v>-</v>
      </c>
      <c r="AN166" s="121" t="str">
        <f ca="1">IF(AN$4&gt;NOW(),"-",IF(ISBLANK(Tbl_ResidentData[[#This Row],[Enrollment '[mmm-yyyy']]]),"-",AND((Tbl_ResidentData[[#This Row],[Enrollment '[mmm-yyyy']]]&lt;=AN$4),IF(ISBLANK(Tbl_ResidentData[[#This Row],[Discharge '[mmm-yyyy']]]),TRUE,(Tbl_ResidentData[[#This Row],[Discharge '[mmm-yyyy']]]&gt;=AN$4)))))</f>
        <v>-</v>
      </c>
      <c r="AO166" s="121" t="str">
        <f ca="1">IF(AO$4&gt;NOW(),"-",IF(ISBLANK(Tbl_ResidentData[[#This Row],[Enrollment '[mmm-yyyy']]]),"-",AND((Tbl_ResidentData[[#This Row],[Enrollment '[mmm-yyyy']]]&lt;=AO$4),IF(ISBLANK(Tbl_ResidentData[[#This Row],[Discharge '[mmm-yyyy']]]),TRUE,(Tbl_ResidentData[[#This Row],[Discharge '[mmm-yyyy']]]&gt;=AO$4)))))</f>
        <v>-</v>
      </c>
      <c r="AP166" s="121" t="str">
        <f ca="1">IF(AP$4&gt;NOW(),"-",IF(ISBLANK(Tbl_ResidentData[[#This Row],[Enrollment '[mmm-yyyy']]]),"-",AND((Tbl_ResidentData[[#This Row],[Enrollment '[mmm-yyyy']]]&lt;=AP$4),IF(ISBLANK(Tbl_ResidentData[[#This Row],[Discharge '[mmm-yyyy']]]),TRUE,(Tbl_ResidentData[[#This Row],[Discharge '[mmm-yyyy']]]&gt;=AP$4)))))</f>
        <v>-</v>
      </c>
      <c r="AQ166" s="121" t="str">
        <f ca="1">IF(AQ$4&gt;NOW(),"-",IF(ISBLANK(Tbl_ResidentData[[#This Row],[Enrollment '[mmm-yyyy']]]),"-",AND((Tbl_ResidentData[[#This Row],[Enrollment '[mmm-yyyy']]]&lt;=AQ$4),IF(ISBLANK(Tbl_ResidentData[[#This Row],[Discharge '[mmm-yyyy']]]),TRUE,(Tbl_ResidentData[[#This Row],[Discharge '[mmm-yyyy']]]&gt;=AQ$4)))))</f>
        <v>-</v>
      </c>
      <c r="AR166" s="122" t="str">
        <f ca="1">IF(AR$4&gt;NOW(),"-",IF(ISBLANK(Tbl_ResidentData[[#This Row],[Enrollment '[mmm-yyyy']]]),"-",AND((Tbl_ResidentData[[#This Row],[Enrollment '[mmm-yyyy']]]&lt;=AR$4),IF(ISBLANK(Tbl_ResidentData[[#This Row],[Discharge '[mmm-yyyy']]]),TRUE,(Tbl_ResidentData[[#This Row],[Discharge '[mmm-yyyy']]]&gt;=AR$4)))))</f>
        <v>-</v>
      </c>
      <c r="AS16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6" s="120" t="b">
        <f ca="1">AND(Tbl_ResidentData[[#This Row],[PRN Med Started]]&lt;&gt;"",Tbl_ResidentData[[#This Row],[PRN Med Started]]&lt;=NOW(),Tbl_ResidentData[[#This Row],[PRN Med Started]]&lt;=AS$4,OR(Tbl_ResidentData[[#This Row],[PRN Med Discontinued]]&gt;AS$4,ISBLANK(Tbl_ResidentData[[#This Row],[PRN Med Discontinued]])))</f>
        <v>0</v>
      </c>
      <c r="BR166" s="121" t="b">
        <f ca="1">AND(Tbl_ResidentData[[#This Row],[PRN Med Started]]&lt;&gt;"",Tbl_ResidentData[[#This Row],[PRN Med Started]]&lt;=NOW(),Tbl_ResidentData[[#This Row],[PRN Med Started]]&lt;=AT$4,OR(Tbl_ResidentData[[#This Row],[PRN Med Discontinued]]&gt;AT$4,ISBLANK(Tbl_ResidentData[[#This Row],[PRN Med Discontinued]])))</f>
        <v>0</v>
      </c>
      <c r="BS166" s="121" t="b">
        <f ca="1">AND(Tbl_ResidentData[[#This Row],[PRN Med Started]]&lt;&gt;"",Tbl_ResidentData[[#This Row],[PRN Med Started]]&lt;=NOW(),Tbl_ResidentData[[#This Row],[PRN Med Started]]&lt;=AU$4,OR(Tbl_ResidentData[[#This Row],[PRN Med Discontinued]]&gt;AU$4,ISBLANK(Tbl_ResidentData[[#This Row],[PRN Med Discontinued]])))</f>
        <v>0</v>
      </c>
      <c r="BT166" s="121" t="b">
        <f ca="1">AND(Tbl_ResidentData[[#This Row],[PRN Med Started]]&lt;&gt;"",Tbl_ResidentData[[#This Row],[PRN Med Started]]&lt;=NOW(),Tbl_ResidentData[[#This Row],[PRN Med Started]]&lt;=AV$4,OR(Tbl_ResidentData[[#This Row],[PRN Med Discontinued]]&gt;AV$4,ISBLANK(Tbl_ResidentData[[#This Row],[PRN Med Discontinued]])))</f>
        <v>0</v>
      </c>
      <c r="BU166" s="121" t="b">
        <f ca="1">AND(Tbl_ResidentData[[#This Row],[PRN Med Started]]&lt;&gt;"",Tbl_ResidentData[[#This Row],[PRN Med Started]]&lt;=NOW(),Tbl_ResidentData[[#This Row],[PRN Med Started]]&lt;=AW$4,OR(Tbl_ResidentData[[#This Row],[PRN Med Discontinued]]&gt;AW$4,ISBLANK(Tbl_ResidentData[[#This Row],[PRN Med Discontinued]])))</f>
        <v>0</v>
      </c>
      <c r="BV166" s="121" t="b">
        <f ca="1">AND(Tbl_ResidentData[[#This Row],[PRN Med Started]]&lt;&gt;"",Tbl_ResidentData[[#This Row],[PRN Med Started]]&lt;=NOW(),Tbl_ResidentData[[#This Row],[PRN Med Started]]&lt;=AX$4,OR(Tbl_ResidentData[[#This Row],[PRN Med Discontinued]]&gt;AX$4,ISBLANK(Tbl_ResidentData[[#This Row],[PRN Med Discontinued]])))</f>
        <v>0</v>
      </c>
      <c r="BW166" s="121" t="b">
        <f ca="1">AND(Tbl_ResidentData[[#This Row],[PRN Med Started]]&lt;&gt;"",Tbl_ResidentData[[#This Row],[PRN Med Started]]&lt;=NOW(),Tbl_ResidentData[[#This Row],[PRN Med Started]]&lt;=AY$4,OR(Tbl_ResidentData[[#This Row],[PRN Med Discontinued]]&gt;AY$4,ISBLANK(Tbl_ResidentData[[#This Row],[PRN Med Discontinued]])))</f>
        <v>0</v>
      </c>
      <c r="BX166" s="121" t="b">
        <f ca="1">AND(Tbl_ResidentData[[#This Row],[PRN Med Started]]&lt;&gt;"",Tbl_ResidentData[[#This Row],[PRN Med Started]]&lt;=NOW(),Tbl_ResidentData[[#This Row],[PRN Med Started]]&lt;=AZ$4,OR(Tbl_ResidentData[[#This Row],[PRN Med Discontinued]]&gt;AZ$4,ISBLANK(Tbl_ResidentData[[#This Row],[PRN Med Discontinued]])))</f>
        <v>0</v>
      </c>
      <c r="BY166" s="121" t="b">
        <f ca="1">AND(Tbl_ResidentData[[#This Row],[PRN Med Started]]&lt;&gt;"",Tbl_ResidentData[[#This Row],[PRN Med Started]]&lt;=NOW(),Tbl_ResidentData[[#This Row],[PRN Med Started]]&lt;=BA$4,OR(Tbl_ResidentData[[#This Row],[PRN Med Discontinued]]&gt;BA$4,ISBLANK(Tbl_ResidentData[[#This Row],[PRN Med Discontinued]])))</f>
        <v>0</v>
      </c>
      <c r="BZ166" s="121" t="b">
        <f ca="1">AND(Tbl_ResidentData[[#This Row],[PRN Med Started]]&lt;&gt;"",Tbl_ResidentData[[#This Row],[PRN Med Started]]&lt;=NOW(),Tbl_ResidentData[[#This Row],[PRN Med Started]]&lt;=BB$4,OR(Tbl_ResidentData[[#This Row],[PRN Med Discontinued]]&gt;BB$4,ISBLANK(Tbl_ResidentData[[#This Row],[PRN Med Discontinued]])))</f>
        <v>0</v>
      </c>
      <c r="CA166" s="121" t="b">
        <f ca="1">AND(Tbl_ResidentData[[#This Row],[PRN Med Started]]&lt;&gt;"",Tbl_ResidentData[[#This Row],[PRN Med Started]]&lt;=NOW(),Tbl_ResidentData[[#This Row],[PRN Med Started]]&lt;=BC$4,OR(Tbl_ResidentData[[#This Row],[PRN Med Discontinued]]&gt;BC$4,ISBLANK(Tbl_ResidentData[[#This Row],[PRN Med Discontinued]])))</f>
        <v>0</v>
      </c>
      <c r="CB166" s="121" t="b">
        <f ca="1">AND(Tbl_ResidentData[[#This Row],[PRN Med Started]]&lt;&gt;"",Tbl_ResidentData[[#This Row],[PRN Med Started]]&lt;=NOW(),Tbl_ResidentData[[#This Row],[PRN Med Started]]&lt;=BD$4,OR(Tbl_ResidentData[[#This Row],[PRN Med Discontinued]]&gt;BD$4,ISBLANK(Tbl_ResidentData[[#This Row],[PRN Med Discontinued]])))</f>
        <v>0</v>
      </c>
      <c r="CC166" s="121" t="b">
        <f ca="1">AND(Tbl_ResidentData[[#This Row],[PRN Med Started]]&lt;&gt;"",Tbl_ResidentData[[#This Row],[PRN Med Started]]&lt;=NOW(),Tbl_ResidentData[[#This Row],[PRN Med Started]]&lt;=BE$4,OR(Tbl_ResidentData[[#This Row],[PRN Med Discontinued]]&gt;BE$4,ISBLANK(Tbl_ResidentData[[#This Row],[PRN Med Discontinued]])))</f>
        <v>0</v>
      </c>
      <c r="CD166" s="121" t="b">
        <f ca="1">AND(Tbl_ResidentData[[#This Row],[PRN Med Started]]&lt;&gt;"",Tbl_ResidentData[[#This Row],[PRN Med Started]]&lt;=NOW(),Tbl_ResidentData[[#This Row],[PRN Med Started]]&lt;=BF$4,OR(Tbl_ResidentData[[#This Row],[PRN Med Discontinued]]&gt;BF$4,ISBLANK(Tbl_ResidentData[[#This Row],[PRN Med Discontinued]])))</f>
        <v>0</v>
      </c>
      <c r="CE166" s="121" t="b">
        <f ca="1">AND(Tbl_ResidentData[[#This Row],[PRN Med Started]]&lt;&gt;"",Tbl_ResidentData[[#This Row],[PRN Med Started]]&lt;=NOW(),Tbl_ResidentData[[#This Row],[PRN Med Started]]&lt;=BG$4,OR(Tbl_ResidentData[[#This Row],[PRN Med Discontinued]]&gt;BG$4,ISBLANK(Tbl_ResidentData[[#This Row],[PRN Med Discontinued]])))</f>
        <v>0</v>
      </c>
      <c r="CF166" s="121" t="b">
        <f ca="1">AND(Tbl_ResidentData[[#This Row],[PRN Med Started]]&lt;&gt;"",Tbl_ResidentData[[#This Row],[PRN Med Started]]&lt;=NOW(),Tbl_ResidentData[[#This Row],[PRN Med Started]]&lt;=BH$4,OR(Tbl_ResidentData[[#This Row],[PRN Med Discontinued]]&gt;BH$4,ISBLANK(Tbl_ResidentData[[#This Row],[PRN Med Discontinued]])))</f>
        <v>0</v>
      </c>
      <c r="CG166" s="121" t="b">
        <f ca="1">AND(Tbl_ResidentData[[#This Row],[PRN Med Started]]&lt;&gt;"",Tbl_ResidentData[[#This Row],[PRN Med Started]]&lt;=NOW(),Tbl_ResidentData[[#This Row],[PRN Med Started]]&lt;=BI$4,OR(Tbl_ResidentData[[#This Row],[PRN Med Discontinued]]&gt;BI$4,ISBLANK(Tbl_ResidentData[[#This Row],[PRN Med Discontinued]])))</f>
        <v>0</v>
      </c>
      <c r="CH166" s="121" t="b">
        <f ca="1">AND(Tbl_ResidentData[[#This Row],[PRN Med Started]]&lt;&gt;"",Tbl_ResidentData[[#This Row],[PRN Med Started]]&lt;=NOW(),Tbl_ResidentData[[#This Row],[PRN Med Started]]&lt;=BJ$4,OR(Tbl_ResidentData[[#This Row],[PRN Med Discontinued]]&gt;BJ$4,ISBLANK(Tbl_ResidentData[[#This Row],[PRN Med Discontinued]])))</f>
        <v>0</v>
      </c>
      <c r="CI166" s="121" t="b">
        <f ca="1">AND(Tbl_ResidentData[[#This Row],[PRN Med Started]]&lt;&gt;"",Tbl_ResidentData[[#This Row],[PRN Med Started]]&lt;=NOW(),Tbl_ResidentData[[#This Row],[PRN Med Started]]&lt;=BK$4,OR(Tbl_ResidentData[[#This Row],[PRN Med Discontinued]]&gt;BK$4,ISBLANK(Tbl_ResidentData[[#This Row],[PRN Med Discontinued]])))</f>
        <v>0</v>
      </c>
      <c r="CJ166" s="121" t="b">
        <f ca="1">AND(Tbl_ResidentData[[#This Row],[PRN Med Started]]&lt;&gt;"",Tbl_ResidentData[[#This Row],[PRN Med Started]]&lt;=NOW(),Tbl_ResidentData[[#This Row],[PRN Med Started]]&lt;=BL$4,OR(Tbl_ResidentData[[#This Row],[PRN Med Discontinued]]&gt;BL$4,ISBLANK(Tbl_ResidentData[[#This Row],[PRN Med Discontinued]])))</f>
        <v>0</v>
      </c>
      <c r="CK166" s="121" t="b">
        <f ca="1">AND(Tbl_ResidentData[[#This Row],[PRN Med Started]]&lt;&gt;"",Tbl_ResidentData[[#This Row],[PRN Med Started]]&lt;=NOW(),Tbl_ResidentData[[#This Row],[PRN Med Started]]&lt;=BM$4,OR(Tbl_ResidentData[[#This Row],[PRN Med Discontinued]]&gt;BM$4,ISBLANK(Tbl_ResidentData[[#This Row],[PRN Med Discontinued]])))</f>
        <v>0</v>
      </c>
      <c r="CL166" s="121" t="b">
        <f ca="1">AND(Tbl_ResidentData[[#This Row],[PRN Med Started]]&lt;&gt;"",Tbl_ResidentData[[#This Row],[PRN Med Started]]&lt;=NOW(),Tbl_ResidentData[[#This Row],[PRN Med Started]]&lt;=BN$4,OR(Tbl_ResidentData[[#This Row],[PRN Med Discontinued]]&gt;BN$4,ISBLANK(Tbl_ResidentData[[#This Row],[PRN Med Discontinued]])))</f>
        <v>0</v>
      </c>
      <c r="CM166" s="121" t="b">
        <f ca="1">AND(Tbl_ResidentData[[#This Row],[PRN Med Started]]&lt;&gt;"",Tbl_ResidentData[[#This Row],[PRN Med Started]]&lt;=NOW(),Tbl_ResidentData[[#This Row],[PRN Med Started]]&lt;=BO$4,OR(Tbl_ResidentData[[#This Row],[PRN Med Discontinued]]&gt;BO$4,ISBLANK(Tbl_ResidentData[[#This Row],[PRN Med Discontinued]])))</f>
        <v>0</v>
      </c>
      <c r="CN166" s="122" t="b">
        <f ca="1">AND(Tbl_ResidentData[[#This Row],[PRN Med Started]]&lt;&gt;"",Tbl_ResidentData[[#This Row],[PRN Med Started]]&lt;=NOW(),Tbl_ResidentData[[#This Row],[PRN Med Started]]&lt;=BP$4,OR(Tbl_ResidentData[[#This Row],[PRN Med Discontinued]]&gt;BP$4,ISBLANK(Tbl_ResidentData[[#This Row],[PRN Med Discontinued]])))</f>
        <v>0</v>
      </c>
      <c r="CO166" s="120">
        <f ca="1">IF(OR(Tbl_ResidentData[[#This Row],[S1]]=TRUE,Tbl_ResidentData[[#This Row],[P1]]=TRUE),1,0)</f>
        <v>0</v>
      </c>
      <c r="CP166" s="121">
        <f ca="1">IF(OR(Tbl_ResidentData[[#This Row],[S2]]=TRUE,Tbl_ResidentData[[#This Row],[P2]]=TRUE),1,0)</f>
        <v>0</v>
      </c>
      <c r="CQ166" s="121">
        <f ca="1">IF(OR(Tbl_ResidentData[[#This Row],[S3]]=TRUE,Tbl_ResidentData[[#This Row],[P3]]=TRUE),1,0)</f>
        <v>0</v>
      </c>
      <c r="CR166" s="120">
        <f ca="1">IF(OR(Tbl_ResidentData[[#This Row],[S4]]=TRUE,Tbl_ResidentData[[#This Row],[P4]]=TRUE),1,0)</f>
        <v>0</v>
      </c>
      <c r="CS166" s="120">
        <f ca="1">IF(OR(Tbl_ResidentData[[#This Row],[S5]]=TRUE,Tbl_ResidentData[[#This Row],[P5]]=TRUE),1,0)</f>
        <v>0</v>
      </c>
      <c r="CT166" s="120">
        <f ca="1">IF(OR(Tbl_ResidentData[[#This Row],[S6]]=TRUE,Tbl_ResidentData[[#This Row],[P6]]=TRUE),1,0)</f>
        <v>0</v>
      </c>
      <c r="CU166" s="120">
        <f ca="1">IF(OR(Tbl_ResidentData[[#This Row],[S7]]=TRUE,Tbl_ResidentData[[#This Row],[P7]]=TRUE),1,0)</f>
        <v>0</v>
      </c>
      <c r="CV166" s="120">
        <f ca="1">IF(OR(Tbl_ResidentData[[#This Row],[S8]]=TRUE,Tbl_ResidentData[[#This Row],[P8]]=TRUE),1,0)</f>
        <v>0</v>
      </c>
      <c r="CW166" s="120">
        <f ca="1">IF(OR(Tbl_ResidentData[[#This Row],[S9]]=TRUE,Tbl_ResidentData[[#This Row],[P9]]=TRUE),1,0)</f>
        <v>0</v>
      </c>
      <c r="CX166" s="120">
        <f ca="1">IF(OR(Tbl_ResidentData[[#This Row],[S10]]=TRUE,Tbl_ResidentData[[#This Row],[P10]]=TRUE),1,0)</f>
        <v>0</v>
      </c>
      <c r="CY166" s="120">
        <f ca="1">IF(OR(Tbl_ResidentData[[#This Row],[S11]]=TRUE,Tbl_ResidentData[[#This Row],[P11]]=TRUE),1,0)</f>
        <v>0</v>
      </c>
      <c r="CZ166" s="120">
        <f ca="1">IF(OR(Tbl_ResidentData[[#This Row],[S12]]=TRUE,Tbl_ResidentData[[#This Row],[P12]]=TRUE),1,0)</f>
        <v>0</v>
      </c>
      <c r="DA166" s="120">
        <f ca="1">IF(OR(Tbl_ResidentData[[#This Row],[S13]]=TRUE,Tbl_ResidentData[[#This Row],[P13]]=TRUE),1,0)</f>
        <v>0</v>
      </c>
      <c r="DB166" s="120">
        <f ca="1">IF(OR(Tbl_ResidentData[[#This Row],[S14]]=TRUE,Tbl_ResidentData[[#This Row],[P14]]=TRUE),1,0)</f>
        <v>0</v>
      </c>
      <c r="DC166" s="120">
        <f ca="1">IF(OR(Tbl_ResidentData[[#This Row],[S15]]=TRUE,Tbl_ResidentData[[#This Row],[P15]]=TRUE),1,0)</f>
        <v>0</v>
      </c>
      <c r="DD166" s="120">
        <f ca="1">IF(OR(Tbl_ResidentData[[#This Row],[S16]]=TRUE,Tbl_ResidentData[[#This Row],[P16]]=TRUE),1,0)</f>
        <v>0</v>
      </c>
      <c r="DE166" s="120">
        <f ca="1">IF(OR(Tbl_ResidentData[[#This Row],[S17]]=TRUE,Tbl_ResidentData[[#This Row],[P17]]=TRUE),1,0)</f>
        <v>0</v>
      </c>
      <c r="DF166" s="120">
        <f ca="1">IF(OR(Tbl_ResidentData[[#This Row],[S18]]=TRUE,Tbl_ResidentData[[#This Row],[P18]]=TRUE),1,0)</f>
        <v>0</v>
      </c>
      <c r="DG166" s="120">
        <f ca="1">IF(OR(Tbl_ResidentData[[#This Row],[S19]]=TRUE,Tbl_ResidentData[[#This Row],[P19]]=TRUE),1,0)</f>
        <v>0</v>
      </c>
      <c r="DH166" s="120">
        <f ca="1">IF(OR(Tbl_ResidentData[[#This Row],[S20]]=TRUE,Tbl_ResidentData[[#This Row],[P20]]=TRUE),1,0)</f>
        <v>0</v>
      </c>
      <c r="DI166" s="120">
        <f ca="1">IF(OR(Tbl_ResidentData[[#This Row],[S21]]=TRUE,Tbl_ResidentData[[#This Row],[P21]]=TRUE),1,0)</f>
        <v>0</v>
      </c>
      <c r="DJ166" s="120">
        <f ca="1">IF(OR(Tbl_ResidentData[[#This Row],[S22]]=TRUE,Tbl_ResidentData[[#This Row],[P22]]=TRUE),1,0)</f>
        <v>0</v>
      </c>
      <c r="DK166" s="120">
        <f ca="1">IF(OR(Tbl_ResidentData[[#This Row],[S23]]=TRUE,Tbl_ResidentData[[#This Row],[P23]]=TRUE),1,0)</f>
        <v>0</v>
      </c>
      <c r="DL166" s="120">
        <f ca="1">IF(OR(Tbl_ResidentData[[#This Row],[S24]]=TRUE,Tbl_ResidentData[[#This Row],[P24]]=TRUE),1,0)</f>
        <v>0</v>
      </c>
      <c r="DM166" s="123" t="str">
        <f ca="1">IFERROR(INDEX($CO$4:$DL$4,MATCH(TRUE,INDEX((Tbl_ResidentData[[#This Row],[Over1]:[Over24]]&lt;&gt;0),0),0)),"")</f>
        <v/>
      </c>
      <c r="DN166" s="133" t="str">
        <f>IFERROR(INDEX(Tbl_PDSAData[Last DRT],MATCH(Tbl_ResidentData[Resident Name '[last, first']],Tbl_PDSAData[Resident Name (last, first)],0)),"")</f>
        <v/>
      </c>
      <c r="DO166" s="222" t="str">
        <f>IFERROR(INDEX(Tbl_PDSAData[Last MR],MATCH(Tbl_ResidentData[Resident Name '[last, first']],Tbl_PDSAData[Resident Name (last, first)],0)),"")</f>
        <v/>
      </c>
    </row>
    <row r="167" spans="1:119" x14ac:dyDescent="0.25">
      <c r="A167" s="179"/>
      <c r="B167" s="180"/>
      <c r="C167" s="180"/>
      <c r="D167" s="218"/>
      <c r="E167" s="179"/>
      <c r="F167" s="179"/>
      <c r="G167" s="181"/>
      <c r="H167" s="375"/>
      <c r="I167" s="185"/>
      <c r="J167" s="387"/>
      <c r="K167" s="178"/>
      <c r="L167" s="388"/>
      <c r="M167" s="185"/>
      <c r="N167" s="386"/>
      <c r="O167" s="178"/>
      <c r="P167" s="388"/>
      <c r="Q167" s="395"/>
      <c r="R167" s="396"/>
      <c r="S167" s="131" t="str">
        <f>IF(ISBLANK(Tbl_ResidentData[[#This Row],[Discharge '[mmm-yyyy']]]),IF(ISBLANK(Tbl_ResidentData[[#This Row],[Enrollment '[mmm-yyyy']]]),"","In Care Home"),"Discharged")</f>
        <v/>
      </c>
      <c r="T167" s="119" t="str">
        <f>IF(ISBLANK(Tbl_ResidentData[[#This Row],[Diagnosis (RAI)]]),IF(ISBLANK(Tbl_ResidentData[[#This Row],[Resident Name '[last, first']]]),"",0),IF(Tbl_ResidentData[[#This Row],[Diagnosis (RAI)]]="Other (see clinical notes)",0,1))</f>
        <v/>
      </c>
      <c r="U167" s="120" t="str">
        <f ca="1">IF(U$4&gt;NOW(),"-",IF(ISBLANK(Tbl_ResidentData[[#This Row],[Enrollment '[mmm-yyyy']]]),"-",AND((Tbl_ResidentData[[#This Row],[Enrollment '[mmm-yyyy']]]&lt;=U$4),IF(ISBLANK(Tbl_ResidentData[[#This Row],[Discharge '[mmm-yyyy']]]),TRUE,(Tbl_ResidentData[[#This Row],[Discharge '[mmm-yyyy']]]&gt;=U$4)))))</f>
        <v>-</v>
      </c>
      <c r="V167" s="121" t="str">
        <f ca="1">IF(V$4&gt;NOW(),"-",IF(ISBLANK(Tbl_ResidentData[[#This Row],[Enrollment '[mmm-yyyy']]]),"-",AND((Tbl_ResidentData[[#This Row],[Enrollment '[mmm-yyyy']]]&lt;=V$4),IF(ISBLANK(Tbl_ResidentData[[#This Row],[Discharge '[mmm-yyyy']]]),TRUE,(Tbl_ResidentData[[#This Row],[Discharge '[mmm-yyyy']]]&gt;=V$4)))))</f>
        <v>-</v>
      </c>
      <c r="W167" s="121" t="str">
        <f ca="1">IF(W$4&gt;NOW(),"-",IF(ISBLANK(Tbl_ResidentData[[#This Row],[Enrollment '[mmm-yyyy']]]),"-",AND((Tbl_ResidentData[[#This Row],[Enrollment '[mmm-yyyy']]]&lt;=W$4),IF(ISBLANK(Tbl_ResidentData[[#This Row],[Discharge '[mmm-yyyy']]]),TRUE,(Tbl_ResidentData[[#This Row],[Discharge '[mmm-yyyy']]]&gt;=W$4)))))</f>
        <v>-</v>
      </c>
      <c r="X167" s="121" t="str">
        <f ca="1">IF(X$4&gt;NOW(),"-",IF(ISBLANK(Tbl_ResidentData[[#This Row],[Enrollment '[mmm-yyyy']]]),"-",AND((Tbl_ResidentData[[#This Row],[Enrollment '[mmm-yyyy']]]&lt;=X$4),IF(ISBLANK(Tbl_ResidentData[[#This Row],[Discharge '[mmm-yyyy']]]),TRUE,(Tbl_ResidentData[[#This Row],[Discharge '[mmm-yyyy']]]&gt;=X$4)))))</f>
        <v>-</v>
      </c>
      <c r="Y167" s="121" t="str">
        <f ca="1">IF(Y$4&gt;NOW(),"-",IF(ISBLANK(Tbl_ResidentData[[#This Row],[Enrollment '[mmm-yyyy']]]),"-",AND((Tbl_ResidentData[[#This Row],[Enrollment '[mmm-yyyy']]]&lt;=Y$4),IF(ISBLANK(Tbl_ResidentData[[#This Row],[Discharge '[mmm-yyyy']]]),TRUE,(Tbl_ResidentData[[#This Row],[Discharge '[mmm-yyyy']]]&gt;=Y$4)))))</f>
        <v>-</v>
      </c>
      <c r="Z167" s="121" t="str">
        <f ca="1">IF(Z$4&gt;NOW(),"-",IF(ISBLANK(Tbl_ResidentData[[#This Row],[Enrollment '[mmm-yyyy']]]),"-",AND((Tbl_ResidentData[[#This Row],[Enrollment '[mmm-yyyy']]]&lt;=Z$4),IF(ISBLANK(Tbl_ResidentData[[#This Row],[Discharge '[mmm-yyyy']]]),TRUE,(Tbl_ResidentData[[#This Row],[Discharge '[mmm-yyyy']]]&gt;=Z$4)))))</f>
        <v>-</v>
      </c>
      <c r="AA167" s="121" t="str">
        <f ca="1">IF(AA$4&gt;NOW(),"-",IF(ISBLANK(Tbl_ResidentData[[#This Row],[Enrollment '[mmm-yyyy']]]),"-",AND((Tbl_ResidentData[[#This Row],[Enrollment '[mmm-yyyy']]]&lt;=AA$4),IF(ISBLANK(Tbl_ResidentData[[#This Row],[Discharge '[mmm-yyyy']]]),TRUE,(Tbl_ResidentData[[#This Row],[Discharge '[mmm-yyyy']]]&gt;=AA$4)))))</f>
        <v>-</v>
      </c>
      <c r="AB167" s="121" t="str">
        <f ca="1">IF(AB$4&gt;NOW(),"-",IF(ISBLANK(Tbl_ResidentData[[#This Row],[Enrollment '[mmm-yyyy']]]),"-",AND((Tbl_ResidentData[[#This Row],[Enrollment '[mmm-yyyy']]]&lt;=AB$4),IF(ISBLANK(Tbl_ResidentData[[#This Row],[Discharge '[mmm-yyyy']]]),TRUE,(Tbl_ResidentData[[#This Row],[Discharge '[mmm-yyyy']]]&gt;=AB$4)))))</f>
        <v>-</v>
      </c>
      <c r="AC167" s="121" t="str">
        <f ca="1">IF(AC$4&gt;NOW(),"-",IF(ISBLANK(Tbl_ResidentData[[#This Row],[Enrollment '[mmm-yyyy']]]),"-",AND((Tbl_ResidentData[[#This Row],[Enrollment '[mmm-yyyy']]]&lt;=AC$4),IF(ISBLANK(Tbl_ResidentData[[#This Row],[Discharge '[mmm-yyyy']]]),TRUE,(Tbl_ResidentData[[#This Row],[Discharge '[mmm-yyyy']]]&gt;=AC$4)))))</f>
        <v>-</v>
      </c>
      <c r="AD167" s="121" t="str">
        <f ca="1">IF(AD$4&gt;NOW(),"-",IF(ISBLANK(Tbl_ResidentData[[#This Row],[Enrollment '[mmm-yyyy']]]),"-",AND((Tbl_ResidentData[[#This Row],[Enrollment '[mmm-yyyy']]]&lt;=AD$4),IF(ISBLANK(Tbl_ResidentData[[#This Row],[Discharge '[mmm-yyyy']]]),TRUE,(Tbl_ResidentData[[#This Row],[Discharge '[mmm-yyyy']]]&gt;=AD$4)))))</f>
        <v>-</v>
      </c>
      <c r="AE167" s="121" t="str">
        <f ca="1">IF(AE$4&gt;NOW(),"-",IF(ISBLANK(Tbl_ResidentData[[#This Row],[Enrollment '[mmm-yyyy']]]),"-",AND((Tbl_ResidentData[[#This Row],[Enrollment '[mmm-yyyy']]]&lt;=AE$4),IF(ISBLANK(Tbl_ResidentData[[#This Row],[Discharge '[mmm-yyyy']]]),TRUE,(Tbl_ResidentData[[#This Row],[Discharge '[mmm-yyyy']]]&gt;=AE$4)))))</f>
        <v>-</v>
      </c>
      <c r="AF167" s="121" t="str">
        <f ca="1">IF(AF$4&gt;NOW(),"-",IF(ISBLANK(Tbl_ResidentData[[#This Row],[Enrollment '[mmm-yyyy']]]),"-",AND((Tbl_ResidentData[[#This Row],[Enrollment '[mmm-yyyy']]]&lt;=AF$4),IF(ISBLANK(Tbl_ResidentData[[#This Row],[Discharge '[mmm-yyyy']]]),TRUE,(Tbl_ResidentData[[#This Row],[Discharge '[mmm-yyyy']]]&gt;=AF$4)))))</f>
        <v>-</v>
      </c>
      <c r="AG167" s="121" t="str">
        <f ca="1">IF(AG$4&gt;NOW(),"-",IF(ISBLANK(Tbl_ResidentData[[#This Row],[Enrollment '[mmm-yyyy']]]),"-",AND((Tbl_ResidentData[[#This Row],[Enrollment '[mmm-yyyy']]]&lt;=AG$4),IF(ISBLANK(Tbl_ResidentData[[#This Row],[Discharge '[mmm-yyyy']]]),TRUE,(Tbl_ResidentData[[#This Row],[Discharge '[mmm-yyyy']]]&gt;=AG$4)))))</f>
        <v>-</v>
      </c>
      <c r="AH167" s="121" t="str">
        <f ca="1">IF(AH$4&gt;NOW(),"-",IF(ISBLANK(Tbl_ResidentData[[#This Row],[Enrollment '[mmm-yyyy']]]),"-",AND((Tbl_ResidentData[[#This Row],[Enrollment '[mmm-yyyy']]]&lt;=AH$4),IF(ISBLANK(Tbl_ResidentData[[#This Row],[Discharge '[mmm-yyyy']]]),TRUE,(Tbl_ResidentData[[#This Row],[Discharge '[mmm-yyyy']]]&gt;=AH$4)))))</f>
        <v>-</v>
      </c>
      <c r="AI167" s="121" t="str">
        <f ca="1">IF(AI$4&gt;NOW(),"-",IF(ISBLANK(Tbl_ResidentData[[#This Row],[Enrollment '[mmm-yyyy']]]),"-",AND((Tbl_ResidentData[[#This Row],[Enrollment '[mmm-yyyy']]]&lt;=AI$4),IF(ISBLANK(Tbl_ResidentData[[#This Row],[Discharge '[mmm-yyyy']]]),TRUE,(Tbl_ResidentData[[#This Row],[Discharge '[mmm-yyyy']]]&gt;=AI$4)))))</f>
        <v>-</v>
      </c>
      <c r="AJ167" s="121" t="str">
        <f ca="1">IF(AJ$4&gt;NOW(),"-",IF(ISBLANK(Tbl_ResidentData[[#This Row],[Enrollment '[mmm-yyyy']]]),"-",AND((Tbl_ResidentData[[#This Row],[Enrollment '[mmm-yyyy']]]&lt;=AJ$4),IF(ISBLANK(Tbl_ResidentData[[#This Row],[Discharge '[mmm-yyyy']]]),TRUE,(Tbl_ResidentData[[#This Row],[Discharge '[mmm-yyyy']]]&gt;=AJ$4)))))</f>
        <v>-</v>
      </c>
      <c r="AK167" s="121" t="str">
        <f ca="1">IF(AK$4&gt;NOW(),"-",IF(ISBLANK(Tbl_ResidentData[[#This Row],[Enrollment '[mmm-yyyy']]]),"-",AND((Tbl_ResidentData[[#This Row],[Enrollment '[mmm-yyyy']]]&lt;=AK$4),IF(ISBLANK(Tbl_ResidentData[[#This Row],[Discharge '[mmm-yyyy']]]),TRUE,(Tbl_ResidentData[[#This Row],[Discharge '[mmm-yyyy']]]&gt;=AK$4)))))</f>
        <v>-</v>
      </c>
      <c r="AL167" s="121" t="str">
        <f ca="1">IF(AL$4&gt;NOW(),"-",IF(ISBLANK(Tbl_ResidentData[[#This Row],[Enrollment '[mmm-yyyy']]]),"-",AND((Tbl_ResidentData[[#This Row],[Enrollment '[mmm-yyyy']]]&lt;=AL$4),IF(ISBLANK(Tbl_ResidentData[[#This Row],[Discharge '[mmm-yyyy']]]),TRUE,(Tbl_ResidentData[[#This Row],[Discharge '[mmm-yyyy']]]&gt;=AL$4)))))</f>
        <v>-</v>
      </c>
      <c r="AM167" s="121" t="str">
        <f ca="1">IF(AM$4&gt;NOW(),"-",IF(ISBLANK(Tbl_ResidentData[[#This Row],[Enrollment '[mmm-yyyy']]]),"-",AND((Tbl_ResidentData[[#This Row],[Enrollment '[mmm-yyyy']]]&lt;=AM$4),IF(ISBLANK(Tbl_ResidentData[[#This Row],[Discharge '[mmm-yyyy']]]),TRUE,(Tbl_ResidentData[[#This Row],[Discharge '[mmm-yyyy']]]&gt;=AM$4)))))</f>
        <v>-</v>
      </c>
      <c r="AN167" s="121" t="str">
        <f ca="1">IF(AN$4&gt;NOW(),"-",IF(ISBLANK(Tbl_ResidentData[[#This Row],[Enrollment '[mmm-yyyy']]]),"-",AND((Tbl_ResidentData[[#This Row],[Enrollment '[mmm-yyyy']]]&lt;=AN$4),IF(ISBLANK(Tbl_ResidentData[[#This Row],[Discharge '[mmm-yyyy']]]),TRUE,(Tbl_ResidentData[[#This Row],[Discharge '[mmm-yyyy']]]&gt;=AN$4)))))</f>
        <v>-</v>
      </c>
      <c r="AO167" s="121" t="str">
        <f ca="1">IF(AO$4&gt;NOW(),"-",IF(ISBLANK(Tbl_ResidentData[[#This Row],[Enrollment '[mmm-yyyy']]]),"-",AND((Tbl_ResidentData[[#This Row],[Enrollment '[mmm-yyyy']]]&lt;=AO$4),IF(ISBLANK(Tbl_ResidentData[[#This Row],[Discharge '[mmm-yyyy']]]),TRUE,(Tbl_ResidentData[[#This Row],[Discharge '[mmm-yyyy']]]&gt;=AO$4)))))</f>
        <v>-</v>
      </c>
      <c r="AP167" s="121" t="str">
        <f ca="1">IF(AP$4&gt;NOW(),"-",IF(ISBLANK(Tbl_ResidentData[[#This Row],[Enrollment '[mmm-yyyy']]]),"-",AND((Tbl_ResidentData[[#This Row],[Enrollment '[mmm-yyyy']]]&lt;=AP$4),IF(ISBLANK(Tbl_ResidentData[[#This Row],[Discharge '[mmm-yyyy']]]),TRUE,(Tbl_ResidentData[[#This Row],[Discharge '[mmm-yyyy']]]&gt;=AP$4)))))</f>
        <v>-</v>
      </c>
      <c r="AQ167" s="121" t="str">
        <f ca="1">IF(AQ$4&gt;NOW(),"-",IF(ISBLANK(Tbl_ResidentData[[#This Row],[Enrollment '[mmm-yyyy']]]),"-",AND((Tbl_ResidentData[[#This Row],[Enrollment '[mmm-yyyy']]]&lt;=AQ$4),IF(ISBLANK(Tbl_ResidentData[[#This Row],[Discharge '[mmm-yyyy']]]),TRUE,(Tbl_ResidentData[[#This Row],[Discharge '[mmm-yyyy']]]&gt;=AQ$4)))))</f>
        <v>-</v>
      </c>
      <c r="AR167" s="122" t="str">
        <f ca="1">IF(AR$4&gt;NOW(),"-",IF(ISBLANK(Tbl_ResidentData[[#This Row],[Enrollment '[mmm-yyyy']]]),"-",AND((Tbl_ResidentData[[#This Row],[Enrollment '[mmm-yyyy']]]&lt;=AR$4),IF(ISBLANK(Tbl_ResidentData[[#This Row],[Discharge '[mmm-yyyy']]]),TRUE,(Tbl_ResidentData[[#This Row],[Discharge '[mmm-yyyy']]]&gt;=AR$4)))))</f>
        <v>-</v>
      </c>
      <c r="AS16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7" s="120" t="b">
        <f ca="1">AND(Tbl_ResidentData[[#This Row],[PRN Med Started]]&lt;&gt;"",Tbl_ResidentData[[#This Row],[PRN Med Started]]&lt;=NOW(),Tbl_ResidentData[[#This Row],[PRN Med Started]]&lt;=AS$4,OR(Tbl_ResidentData[[#This Row],[PRN Med Discontinued]]&gt;AS$4,ISBLANK(Tbl_ResidentData[[#This Row],[PRN Med Discontinued]])))</f>
        <v>0</v>
      </c>
      <c r="BR167" s="121" t="b">
        <f ca="1">AND(Tbl_ResidentData[[#This Row],[PRN Med Started]]&lt;&gt;"",Tbl_ResidentData[[#This Row],[PRN Med Started]]&lt;=NOW(),Tbl_ResidentData[[#This Row],[PRN Med Started]]&lt;=AT$4,OR(Tbl_ResidentData[[#This Row],[PRN Med Discontinued]]&gt;AT$4,ISBLANK(Tbl_ResidentData[[#This Row],[PRN Med Discontinued]])))</f>
        <v>0</v>
      </c>
      <c r="BS167" s="121" t="b">
        <f ca="1">AND(Tbl_ResidentData[[#This Row],[PRN Med Started]]&lt;&gt;"",Tbl_ResidentData[[#This Row],[PRN Med Started]]&lt;=NOW(),Tbl_ResidentData[[#This Row],[PRN Med Started]]&lt;=AU$4,OR(Tbl_ResidentData[[#This Row],[PRN Med Discontinued]]&gt;AU$4,ISBLANK(Tbl_ResidentData[[#This Row],[PRN Med Discontinued]])))</f>
        <v>0</v>
      </c>
      <c r="BT167" s="121" t="b">
        <f ca="1">AND(Tbl_ResidentData[[#This Row],[PRN Med Started]]&lt;&gt;"",Tbl_ResidentData[[#This Row],[PRN Med Started]]&lt;=NOW(),Tbl_ResidentData[[#This Row],[PRN Med Started]]&lt;=AV$4,OR(Tbl_ResidentData[[#This Row],[PRN Med Discontinued]]&gt;AV$4,ISBLANK(Tbl_ResidentData[[#This Row],[PRN Med Discontinued]])))</f>
        <v>0</v>
      </c>
      <c r="BU167" s="121" t="b">
        <f ca="1">AND(Tbl_ResidentData[[#This Row],[PRN Med Started]]&lt;&gt;"",Tbl_ResidentData[[#This Row],[PRN Med Started]]&lt;=NOW(),Tbl_ResidentData[[#This Row],[PRN Med Started]]&lt;=AW$4,OR(Tbl_ResidentData[[#This Row],[PRN Med Discontinued]]&gt;AW$4,ISBLANK(Tbl_ResidentData[[#This Row],[PRN Med Discontinued]])))</f>
        <v>0</v>
      </c>
      <c r="BV167" s="121" t="b">
        <f ca="1">AND(Tbl_ResidentData[[#This Row],[PRN Med Started]]&lt;&gt;"",Tbl_ResidentData[[#This Row],[PRN Med Started]]&lt;=NOW(),Tbl_ResidentData[[#This Row],[PRN Med Started]]&lt;=AX$4,OR(Tbl_ResidentData[[#This Row],[PRN Med Discontinued]]&gt;AX$4,ISBLANK(Tbl_ResidentData[[#This Row],[PRN Med Discontinued]])))</f>
        <v>0</v>
      </c>
      <c r="BW167" s="121" t="b">
        <f ca="1">AND(Tbl_ResidentData[[#This Row],[PRN Med Started]]&lt;&gt;"",Tbl_ResidentData[[#This Row],[PRN Med Started]]&lt;=NOW(),Tbl_ResidentData[[#This Row],[PRN Med Started]]&lt;=AY$4,OR(Tbl_ResidentData[[#This Row],[PRN Med Discontinued]]&gt;AY$4,ISBLANK(Tbl_ResidentData[[#This Row],[PRN Med Discontinued]])))</f>
        <v>0</v>
      </c>
      <c r="BX167" s="121" t="b">
        <f ca="1">AND(Tbl_ResidentData[[#This Row],[PRN Med Started]]&lt;&gt;"",Tbl_ResidentData[[#This Row],[PRN Med Started]]&lt;=NOW(),Tbl_ResidentData[[#This Row],[PRN Med Started]]&lt;=AZ$4,OR(Tbl_ResidentData[[#This Row],[PRN Med Discontinued]]&gt;AZ$4,ISBLANK(Tbl_ResidentData[[#This Row],[PRN Med Discontinued]])))</f>
        <v>0</v>
      </c>
      <c r="BY167" s="121" t="b">
        <f ca="1">AND(Tbl_ResidentData[[#This Row],[PRN Med Started]]&lt;&gt;"",Tbl_ResidentData[[#This Row],[PRN Med Started]]&lt;=NOW(),Tbl_ResidentData[[#This Row],[PRN Med Started]]&lt;=BA$4,OR(Tbl_ResidentData[[#This Row],[PRN Med Discontinued]]&gt;BA$4,ISBLANK(Tbl_ResidentData[[#This Row],[PRN Med Discontinued]])))</f>
        <v>0</v>
      </c>
      <c r="BZ167" s="121" t="b">
        <f ca="1">AND(Tbl_ResidentData[[#This Row],[PRN Med Started]]&lt;&gt;"",Tbl_ResidentData[[#This Row],[PRN Med Started]]&lt;=NOW(),Tbl_ResidentData[[#This Row],[PRN Med Started]]&lt;=BB$4,OR(Tbl_ResidentData[[#This Row],[PRN Med Discontinued]]&gt;BB$4,ISBLANK(Tbl_ResidentData[[#This Row],[PRN Med Discontinued]])))</f>
        <v>0</v>
      </c>
      <c r="CA167" s="121" t="b">
        <f ca="1">AND(Tbl_ResidentData[[#This Row],[PRN Med Started]]&lt;&gt;"",Tbl_ResidentData[[#This Row],[PRN Med Started]]&lt;=NOW(),Tbl_ResidentData[[#This Row],[PRN Med Started]]&lt;=BC$4,OR(Tbl_ResidentData[[#This Row],[PRN Med Discontinued]]&gt;BC$4,ISBLANK(Tbl_ResidentData[[#This Row],[PRN Med Discontinued]])))</f>
        <v>0</v>
      </c>
      <c r="CB167" s="121" t="b">
        <f ca="1">AND(Tbl_ResidentData[[#This Row],[PRN Med Started]]&lt;&gt;"",Tbl_ResidentData[[#This Row],[PRN Med Started]]&lt;=NOW(),Tbl_ResidentData[[#This Row],[PRN Med Started]]&lt;=BD$4,OR(Tbl_ResidentData[[#This Row],[PRN Med Discontinued]]&gt;BD$4,ISBLANK(Tbl_ResidentData[[#This Row],[PRN Med Discontinued]])))</f>
        <v>0</v>
      </c>
      <c r="CC167" s="121" t="b">
        <f ca="1">AND(Tbl_ResidentData[[#This Row],[PRN Med Started]]&lt;&gt;"",Tbl_ResidentData[[#This Row],[PRN Med Started]]&lt;=NOW(),Tbl_ResidentData[[#This Row],[PRN Med Started]]&lt;=BE$4,OR(Tbl_ResidentData[[#This Row],[PRN Med Discontinued]]&gt;BE$4,ISBLANK(Tbl_ResidentData[[#This Row],[PRN Med Discontinued]])))</f>
        <v>0</v>
      </c>
      <c r="CD167" s="121" t="b">
        <f ca="1">AND(Tbl_ResidentData[[#This Row],[PRN Med Started]]&lt;&gt;"",Tbl_ResidentData[[#This Row],[PRN Med Started]]&lt;=NOW(),Tbl_ResidentData[[#This Row],[PRN Med Started]]&lt;=BF$4,OR(Tbl_ResidentData[[#This Row],[PRN Med Discontinued]]&gt;BF$4,ISBLANK(Tbl_ResidentData[[#This Row],[PRN Med Discontinued]])))</f>
        <v>0</v>
      </c>
      <c r="CE167" s="121" t="b">
        <f ca="1">AND(Tbl_ResidentData[[#This Row],[PRN Med Started]]&lt;&gt;"",Tbl_ResidentData[[#This Row],[PRN Med Started]]&lt;=NOW(),Tbl_ResidentData[[#This Row],[PRN Med Started]]&lt;=BG$4,OR(Tbl_ResidentData[[#This Row],[PRN Med Discontinued]]&gt;BG$4,ISBLANK(Tbl_ResidentData[[#This Row],[PRN Med Discontinued]])))</f>
        <v>0</v>
      </c>
      <c r="CF167" s="121" t="b">
        <f ca="1">AND(Tbl_ResidentData[[#This Row],[PRN Med Started]]&lt;&gt;"",Tbl_ResidentData[[#This Row],[PRN Med Started]]&lt;=NOW(),Tbl_ResidentData[[#This Row],[PRN Med Started]]&lt;=BH$4,OR(Tbl_ResidentData[[#This Row],[PRN Med Discontinued]]&gt;BH$4,ISBLANK(Tbl_ResidentData[[#This Row],[PRN Med Discontinued]])))</f>
        <v>0</v>
      </c>
      <c r="CG167" s="121" t="b">
        <f ca="1">AND(Tbl_ResidentData[[#This Row],[PRN Med Started]]&lt;&gt;"",Tbl_ResidentData[[#This Row],[PRN Med Started]]&lt;=NOW(),Tbl_ResidentData[[#This Row],[PRN Med Started]]&lt;=BI$4,OR(Tbl_ResidentData[[#This Row],[PRN Med Discontinued]]&gt;BI$4,ISBLANK(Tbl_ResidentData[[#This Row],[PRN Med Discontinued]])))</f>
        <v>0</v>
      </c>
      <c r="CH167" s="121" t="b">
        <f ca="1">AND(Tbl_ResidentData[[#This Row],[PRN Med Started]]&lt;&gt;"",Tbl_ResidentData[[#This Row],[PRN Med Started]]&lt;=NOW(),Tbl_ResidentData[[#This Row],[PRN Med Started]]&lt;=BJ$4,OR(Tbl_ResidentData[[#This Row],[PRN Med Discontinued]]&gt;BJ$4,ISBLANK(Tbl_ResidentData[[#This Row],[PRN Med Discontinued]])))</f>
        <v>0</v>
      </c>
      <c r="CI167" s="121" t="b">
        <f ca="1">AND(Tbl_ResidentData[[#This Row],[PRN Med Started]]&lt;&gt;"",Tbl_ResidentData[[#This Row],[PRN Med Started]]&lt;=NOW(),Tbl_ResidentData[[#This Row],[PRN Med Started]]&lt;=BK$4,OR(Tbl_ResidentData[[#This Row],[PRN Med Discontinued]]&gt;BK$4,ISBLANK(Tbl_ResidentData[[#This Row],[PRN Med Discontinued]])))</f>
        <v>0</v>
      </c>
      <c r="CJ167" s="121" t="b">
        <f ca="1">AND(Tbl_ResidentData[[#This Row],[PRN Med Started]]&lt;&gt;"",Tbl_ResidentData[[#This Row],[PRN Med Started]]&lt;=NOW(),Tbl_ResidentData[[#This Row],[PRN Med Started]]&lt;=BL$4,OR(Tbl_ResidentData[[#This Row],[PRN Med Discontinued]]&gt;BL$4,ISBLANK(Tbl_ResidentData[[#This Row],[PRN Med Discontinued]])))</f>
        <v>0</v>
      </c>
      <c r="CK167" s="121" t="b">
        <f ca="1">AND(Tbl_ResidentData[[#This Row],[PRN Med Started]]&lt;&gt;"",Tbl_ResidentData[[#This Row],[PRN Med Started]]&lt;=NOW(),Tbl_ResidentData[[#This Row],[PRN Med Started]]&lt;=BM$4,OR(Tbl_ResidentData[[#This Row],[PRN Med Discontinued]]&gt;BM$4,ISBLANK(Tbl_ResidentData[[#This Row],[PRN Med Discontinued]])))</f>
        <v>0</v>
      </c>
      <c r="CL167" s="121" t="b">
        <f ca="1">AND(Tbl_ResidentData[[#This Row],[PRN Med Started]]&lt;&gt;"",Tbl_ResidentData[[#This Row],[PRN Med Started]]&lt;=NOW(),Tbl_ResidentData[[#This Row],[PRN Med Started]]&lt;=BN$4,OR(Tbl_ResidentData[[#This Row],[PRN Med Discontinued]]&gt;BN$4,ISBLANK(Tbl_ResidentData[[#This Row],[PRN Med Discontinued]])))</f>
        <v>0</v>
      </c>
      <c r="CM167" s="121" t="b">
        <f ca="1">AND(Tbl_ResidentData[[#This Row],[PRN Med Started]]&lt;&gt;"",Tbl_ResidentData[[#This Row],[PRN Med Started]]&lt;=NOW(),Tbl_ResidentData[[#This Row],[PRN Med Started]]&lt;=BO$4,OR(Tbl_ResidentData[[#This Row],[PRN Med Discontinued]]&gt;BO$4,ISBLANK(Tbl_ResidentData[[#This Row],[PRN Med Discontinued]])))</f>
        <v>0</v>
      </c>
      <c r="CN167" s="122" t="b">
        <f ca="1">AND(Tbl_ResidentData[[#This Row],[PRN Med Started]]&lt;&gt;"",Tbl_ResidentData[[#This Row],[PRN Med Started]]&lt;=NOW(),Tbl_ResidentData[[#This Row],[PRN Med Started]]&lt;=BP$4,OR(Tbl_ResidentData[[#This Row],[PRN Med Discontinued]]&gt;BP$4,ISBLANK(Tbl_ResidentData[[#This Row],[PRN Med Discontinued]])))</f>
        <v>0</v>
      </c>
      <c r="CO167" s="120">
        <f ca="1">IF(OR(Tbl_ResidentData[[#This Row],[S1]]=TRUE,Tbl_ResidentData[[#This Row],[P1]]=TRUE),1,0)</f>
        <v>0</v>
      </c>
      <c r="CP167" s="121">
        <f ca="1">IF(OR(Tbl_ResidentData[[#This Row],[S2]]=TRUE,Tbl_ResidentData[[#This Row],[P2]]=TRUE),1,0)</f>
        <v>0</v>
      </c>
      <c r="CQ167" s="121">
        <f ca="1">IF(OR(Tbl_ResidentData[[#This Row],[S3]]=TRUE,Tbl_ResidentData[[#This Row],[P3]]=TRUE),1,0)</f>
        <v>0</v>
      </c>
      <c r="CR167" s="120">
        <f ca="1">IF(OR(Tbl_ResidentData[[#This Row],[S4]]=TRUE,Tbl_ResidentData[[#This Row],[P4]]=TRUE),1,0)</f>
        <v>0</v>
      </c>
      <c r="CS167" s="120">
        <f ca="1">IF(OR(Tbl_ResidentData[[#This Row],[S5]]=TRUE,Tbl_ResidentData[[#This Row],[P5]]=TRUE),1,0)</f>
        <v>0</v>
      </c>
      <c r="CT167" s="120">
        <f ca="1">IF(OR(Tbl_ResidentData[[#This Row],[S6]]=TRUE,Tbl_ResidentData[[#This Row],[P6]]=TRUE),1,0)</f>
        <v>0</v>
      </c>
      <c r="CU167" s="120">
        <f ca="1">IF(OR(Tbl_ResidentData[[#This Row],[S7]]=TRUE,Tbl_ResidentData[[#This Row],[P7]]=TRUE),1,0)</f>
        <v>0</v>
      </c>
      <c r="CV167" s="120">
        <f ca="1">IF(OR(Tbl_ResidentData[[#This Row],[S8]]=TRUE,Tbl_ResidentData[[#This Row],[P8]]=TRUE),1,0)</f>
        <v>0</v>
      </c>
      <c r="CW167" s="120">
        <f ca="1">IF(OR(Tbl_ResidentData[[#This Row],[S9]]=TRUE,Tbl_ResidentData[[#This Row],[P9]]=TRUE),1,0)</f>
        <v>0</v>
      </c>
      <c r="CX167" s="120">
        <f ca="1">IF(OR(Tbl_ResidentData[[#This Row],[S10]]=TRUE,Tbl_ResidentData[[#This Row],[P10]]=TRUE),1,0)</f>
        <v>0</v>
      </c>
      <c r="CY167" s="120">
        <f ca="1">IF(OR(Tbl_ResidentData[[#This Row],[S11]]=TRUE,Tbl_ResidentData[[#This Row],[P11]]=TRUE),1,0)</f>
        <v>0</v>
      </c>
      <c r="CZ167" s="120">
        <f ca="1">IF(OR(Tbl_ResidentData[[#This Row],[S12]]=TRUE,Tbl_ResidentData[[#This Row],[P12]]=TRUE),1,0)</f>
        <v>0</v>
      </c>
      <c r="DA167" s="120">
        <f ca="1">IF(OR(Tbl_ResidentData[[#This Row],[S13]]=TRUE,Tbl_ResidentData[[#This Row],[P13]]=TRUE),1,0)</f>
        <v>0</v>
      </c>
      <c r="DB167" s="120">
        <f ca="1">IF(OR(Tbl_ResidentData[[#This Row],[S14]]=TRUE,Tbl_ResidentData[[#This Row],[P14]]=TRUE),1,0)</f>
        <v>0</v>
      </c>
      <c r="DC167" s="120">
        <f ca="1">IF(OR(Tbl_ResidentData[[#This Row],[S15]]=TRUE,Tbl_ResidentData[[#This Row],[P15]]=TRUE),1,0)</f>
        <v>0</v>
      </c>
      <c r="DD167" s="120">
        <f ca="1">IF(OR(Tbl_ResidentData[[#This Row],[S16]]=TRUE,Tbl_ResidentData[[#This Row],[P16]]=TRUE),1,0)</f>
        <v>0</v>
      </c>
      <c r="DE167" s="120">
        <f ca="1">IF(OR(Tbl_ResidentData[[#This Row],[S17]]=TRUE,Tbl_ResidentData[[#This Row],[P17]]=TRUE),1,0)</f>
        <v>0</v>
      </c>
      <c r="DF167" s="120">
        <f ca="1">IF(OR(Tbl_ResidentData[[#This Row],[S18]]=TRUE,Tbl_ResidentData[[#This Row],[P18]]=TRUE),1,0)</f>
        <v>0</v>
      </c>
      <c r="DG167" s="120">
        <f ca="1">IF(OR(Tbl_ResidentData[[#This Row],[S19]]=TRUE,Tbl_ResidentData[[#This Row],[P19]]=TRUE),1,0)</f>
        <v>0</v>
      </c>
      <c r="DH167" s="120">
        <f ca="1">IF(OR(Tbl_ResidentData[[#This Row],[S20]]=TRUE,Tbl_ResidentData[[#This Row],[P20]]=TRUE),1,0)</f>
        <v>0</v>
      </c>
      <c r="DI167" s="120">
        <f ca="1">IF(OR(Tbl_ResidentData[[#This Row],[S21]]=TRUE,Tbl_ResidentData[[#This Row],[P21]]=TRUE),1,0)</f>
        <v>0</v>
      </c>
      <c r="DJ167" s="120">
        <f ca="1">IF(OR(Tbl_ResidentData[[#This Row],[S22]]=TRUE,Tbl_ResidentData[[#This Row],[P22]]=TRUE),1,0)</f>
        <v>0</v>
      </c>
      <c r="DK167" s="120">
        <f ca="1">IF(OR(Tbl_ResidentData[[#This Row],[S23]]=TRUE,Tbl_ResidentData[[#This Row],[P23]]=TRUE),1,0)</f>
        <v>0</v>
      </c>
      <c r="DL167" s="120">
        <f ca="1">IF(OR(Tbl_ResidentData[[#This Row],[S24]]=TRUE,Tbl_ResidentData[[#This Row],[P24]]=TRUE),1,0)</f>
        <v>0</v>
      </c>
      <c r="DM167" s="123" t="str">
        <f ca="1">IFERROR(INDEX($CO$4:$DL$4,MATCH(TRUE,INDEX((Tbl_ResidentData[[#This Row],[Over1]:[Over24]]&lt;&gt;0),0),0)),"")</f>
        <v/>
      </c>
      <c r="DN167" s="133" t="str">
        <f>IFERROR(INDEX(Tbl_PDSAData[Last DRT],MATCH(Tbl_ResidentData[Resident Name '[last, first']],Tbl_PDSAData[Resident Name (last, first)],0)),"")</f>
        <v/>
      </c>
      <c r="DO167" s="222" t="str">
        <f>IFERROR(INDEX(Tbl_PDSAData[Last MR],MATCH(Tbl_ResidentData[Resident Name '[last, first']],Tbl_PDSAData[Resident Name (last, first)],0)),"")</f>
        <v/>
      </c>
    </row>
    <row r="168" spans="1:119" x14ac:dyDescent="0.25">
      <c r="A168" s="179"/>
      <c r="B168" s="180"/>
      <c r="C168" s="180"/>
      <c r="D168" s="218"/>
      <c r="E168" s="179"/>
      <c r="F168" s="179"/>
      <c r="G168" s="181"/>
      <c r="H168" s="182"/>
      <c r="I168" s="185"/>
      <c r="J168" s="387"/>
      <c r="K168" s="178"/>
      <c r="L168" s="388"/>
      <c r="M168" s="185"/>
      <c r="N168" s="386"/>
      <c r="O168" s="178"/>
      <c r="P168" s="388"/>
      <c r="Q168" s="394"/>
      <c r="R168" s="388"/>
      <c r="S168" s="131" t="str">
        <f>IF(ISBLANK(Tbl_ResidentData[[#This Row],[Discharge '[mmm-yyyy']]]),IF(ISBLANK(Tbl_ResidentData[[#This Row],[Enrollment '[mmm-yyyy']]]),"","In Care Home"),"Discharged")</f>
        <v/>
      </c>
      <c r="T168" s="119" t="str">
        <f>IF(ISBLANK(Tbl_ResidentData[[#This Row],[Diagnosis (RAI)]]),IF(ISBLANK(Tbl_ResidentData[[#This Row],[Resident Name '[last, first']]]),"",0),IF(Tbl_ResidentData[[#This Row],[Diagnosis (RAI)]]="Other (see clinical notes)",0,1))</f>
        <v/>
      </c>
      <c r="U168" s="120" t="str">
        <f ca="1">IF(U$4&gt;NOW(),"-",IF(ISBLANK(Tbl_ResidentData[[#This Row],[Enrollment '[mmm-yyyy']]]),"-",AND((Tbl_ResidentData[[#This Row],[Enrollment '[mmm-yyyy']]]&lt;=U$4),IF(ISBLANK(Tbl_ResidentData[[#This Row],[Discharge '[mmm-yyyy']]]),TRUE,(Tbl_ResidentData[[#This Row],[Discharge '[mmm-yyyy']]]&gt;=U$4)))))</f>
        <v>-</v>
      </c>
      <c r="V168" s="121" t="str">
        <f ca="1">IF(V$4&gt;NOW(),"-",IF(ISBLANK(Tbl_ResidentData[[#This Row],[Enrollment '[mmm-yyyy']]]),"-",AND((Tbl_ResidentData[[#This Row],[Enrollment '[mmm-yyyy']]]&lt;=V$4),IF(ISBLANK(Tbl_ResidentData[[#This Row],[Discharge '[mmm-yyyy']]]),TRUE,(Tbl_ResidentData[[#This Row],[Discharge '[mmm-yyyy']]]&gt;=V$4)))))</f>
        <v>-</v>
      </c>
      <c r="W168" s="121" t="str">
        <f ca="1">IF(W$4&gt;NOW(),"-",IF(ISBLANK(Tbl_ResidentData[[#This Row],[Enrollment '[mmm-yyyy']]]),"-",AND((Tbl_ResidentData[[#This Row],[Enrollment '[mmm-yyyy']]]&lt;=W$4),IF(ISBLANK(Tbl_ResidentData[[#This Row],[Discharge '[mmm-yyyy']]]),TRUE,(Tbl_ResidentData[[#This Row],[Discharge '[mmm-yyyy']]]&gt;=W$4)))))</f>
        <v>-</v>
      </c>
      <c r="X168" s="121" t="str">
        <f ca="1">IF(X$4&gt;NOW(),"-",IF(ISBLANK(Tbl_ResidentData[[#This Row],[Enrollment '[mmm-yyyy']]]),"-",AND((Tbl_ResidentData[[#This Row],[Enrollment '[mmm-yyyy']]]&lt;=X$4),IF(ISBLANK(Tbl_ResidentData[[#This Row],[Discharge '[mmm-yyyy']]]),TRUE,(Tbl_ResidentData[[#This Row],[Discharge '[mmm-yyyy']]]&gt;=X$4)))))</f>
        <v>-</v>
      </c>
      <c r="Y168" s="121" t="str">
        <f ca="1">IF(Y$4&gt;NOW(),"-",IF(ISBLANK(Tbl_ResidentData[[#This Row],[Enrollment '[mmm-yyyy']]]),"-",AND((Tbl_ResidentData[[#This Row],[Enrollment '[mmm-yyyy']]]&lt;=Y$4),IF(ISBLANK(Tbl_ResidentData[[#This Row],[Discharge '[mmm-yyyy']]]),TRUE,(Tbl_ResidentData[[#This Row],[Discharge '[mmm-yyyy']]]&gt;=Y$4)))))</f>
        <v>-</v>
      </c>
      <c r="Z168" s="121" t="str">
        <f ca="1">IF(Z$4&gt;NOW(),"-",IF(ISBLANK(Tbl_ResidentData[[#This Row],[Enrollment '[mmm-yyyy']]]),"-",AND((Tbl_ResidentData[[#This Row],[Enrollment '[mmm-yyyy']]]&lt;=Z$4),IF(ISBLANK(Tbl_ResidentData[[#This Row],[Discharge '[mmm-yyyy']]]),TRUE,(Tbl_ResidentData[[#This Row],[Discharge '[mmm-yyyy']]]&gt;=Z$4)))))</f>
        <v>-</v>
      </c>
      <c r="AA168" s="121" t="str">
        <f ca="1">IF(AA$4&gt;NOW(),"-",IF(ISBLANK(Tbl_ResidentData[[#This Row],[Enrollment '[mmm-yyyy']]]),"-",AND((Tbl_ResidentData[[#This Row],[Enrollment '[mmm-yyyy']]]&lt;=AA$4),IF(ISBLANK(Tbl_ResidentData[[#This Row],[Discharge '[mmm-yyyy']]]),TRUE,(Tbl_ResidentData[[#This Row],[Discharge '[mmm-yyyy']]]&gt;=AA$4)))))</f>
        <v>-</v>
      </c>
      <c r="AB168" s="121" t="str">
        <f ca="1">IF(AB$4&gt;NOW(),"-",IF(ISBLANK(Tbl_ResidentData[[#This Row],[Enrollment '[mmm-yyyy']]]),"-",AND((Tbl_ResidentData[[#This Row],[Enrollment '[mmm-yyyy']]]&lt;=AB$4),IF(ISBLANK(Tbl_ResidentData[[#This Row],[Discharge '[mmm-yyyy']]]),TRUE,(Tbl_ResidentData[[#This Row],[Discharge '[mmm-yyyy']]]&gt;=AB$4)))))</f>
        <v>-</v>
      </c>
      <c r="AC168" s="121" t="str">
        <f ca="1">IF(AC$4&gt;NOW(),"-",IF(ISBLANK(Tbl_ResidentData[[#This Row],[Enrollment '[mmm-yyyy']]]),"-",AND((Tbl_ResidentData[[#This Row],[Enrollment '[mmm-yyyy']]]&lt;=AC$4),IF(ISBLANK(Tbl_ResidentData[[#This Row],[Discharge '[mmm-yyyy']]]),TRUE,(Tbl_ResidentData[[#This Row],[Discharge '[mmm-yyyy']]]&gt;=AC$4)))))</f>
        <v>-</v>
      </c>
      <c r="AD168" s="121" t="str">
        <f ca="1">IF(AD$4&gt;NOW(),"-",IF(ISBLANK(Tbl_ResidentData[[#This Row],[Enrollment '[mmm-yyyy']]]),"-",AND((Tbl_ResidentData[[#This Row],[Enrollment '[mmm-yyyy']]]&lt;=AD$4),IF(ISBLANK(Tbl_ResidentData[[#This Row],[Discharge '[mmm-yyyy']]]),TRUE,(Tbl_ResidentData[[#This Row],[Discharge '[mmm-yyyy']]]&gt;=AD$4)))))</f>
        <v>-</v>
      </c>
      <c r="AE168" s="121" t="str">
        <f ca="1">IF(AE$4&gt;NOW(),"-",IF(ISBLANK(Tbl_ResidentData[[#This Row],[Enrollment '[mmm-yyyy']]]),"-",AND((Tbl_ResidentData[[#This Row],[Enrollment '[mmm-yyyy']]]&lt;=AE$4),IF(ISBLANK(Tbl_ResidentData[[#This Row],[Discharge '[mmm-yyyy']]]),TRUE,(Tbl_ResidentData[[#This Row],[Discharge '[mmm-yyyy']]]&gt;=AE$4)))))</f>
        <v>-</v>
      </c>
      <c r="AF168" s="121" t="str">
        <f ca="1">IF(AF$4&gt;NOW(),"-",IF(ISBLANK(Tbl_ResidentData[[#This Row],[Enrollment '[mmm-yyyy']]]),"-",AND((Tbl_ResidentData[[#This Row],[Enrollment '[mmm-yyyy']]]&lt;=AF$4),IF(ISBLANK(Tbl_ResidentData[[#This Row],[Discharge '[mmm-yyyy']]]),TRUE,(Tbl_ResidentData[[#This Row],[Discharge '[mmm-yyyy']]]&gt;=AF$4)))))</f>
        <v>-</v>
      </c>
      <c r="AG168" s="121" t="str">
        <f ca="1">IF(AG$4&gt;NOW(),"-",IF(ISBLANK(Tbl_ResidentData[[#This Row],[Enrollment '[mmm-yyyy']]]),"-",AND((Tbl_ResidentData[[#This Row],[Enrollment '[mmm-yyyy']]]&lt;=AG$4),IF(ISBLANK(Tbl_ResidentData[[#This Row],[Discharge '[mmm-yyyy']]]),TRUE,(Tbl_ResidentData[[#This Row],[Discharge '[mmm-yyyy']]]&gt;=AG$4)))))</f>
        <v>-</v>
      </c>
      <c r="AH168" s="121" t="str">
        <f ca="1">IF(AH$4&gt;NOW(),"-",IF(ISBLANK(Tbl_ResidentData[[#This Row],[Enrollment '[mmm-yyyy']]]),"-",AND((Tbl_ResidentData[[#This Row],[Enrollment '[mmm-yyyy']]]&lt;=AH$4),IF(ISBLANK(Tbl_ResidentData[[#This Row],[Discharge '[mmm-yyyy']]]),TRUE,(Tbl_ResidentData[[#This Row],[Discharge '[mmm-yyyy']]]&gt;=AH$4)))))</f>
        <v>-</v>
      </c>
      <c r="AI168" s="121" t="str">
        <f ca="1">IF(AI$4&gt;NOW(),"-",IF(ISBLANK(Tbl_ResidentData[[#This Row],[Enrollment '[mmm-yyyy']]]),"-",AND((Tbl_ResidentData[[#This Row],[Enrollment '[mmm-yyyy']]]&lt;=AI$4),IF(ISBLANK(Tbl_ResidentData[[#This Row],[Discharge '[mmm-yyyy']]]),TRUE,(Tbl_ResidentData[[#This Row],[Discharge '[mmm-yyyy']]]&gt;=AI$4)))))</f>
        <v>-</v>
      </c>
      <c r="AJ168" s="121" t="str">
        <f ca="1">IF(AJ$4&gt;NOW(),"-",IF(ISBLANK(Tbl_ResidentData[[#This Row],[Enrollment '[mmm-yyyy']]]),"-",AND((Tbl_ResidentData[[#This Row],[Enrollment '[mmm-yyyy']]]&lt;=AJ$4),IF(ISBLANK(Tbl_ResidentData[[#This Row],[Discharge '[mmm-yyyy']]]),TRUE,(Tbl_ResidentData[[#This Row],[Discharge '[mmm-yyyy']]]&gt;=AJ$4)))))</f>
        <v>-</v>
      </c>
      <c r="AK168" s="121" t="str">
        <f ca="1">IF(AK$4&gt;NOW(),"-",IF(ISBLANK(Tbl_ResidentData[[#This Row],[Enrollment '[mmm-yyyy']]]),"-",AND((Tbl_ResidentData[[#This Row],[Enrollment '[mmm-yyyy']]]&lt;=AK$4),IF(ISBLANK(Tbl_ResidentData[[#This Row],[Discharge '[mmm-yyyy']]]),TRUE,(Tbl_ResidentData[[#This Row],[Discharge '[mmm-yyyy']]]&gt;=AK$4)))))</f>
        <v>-</v>
      </c>
      <c r="AL168" s="121" t="str">
        <f ca="1">IF(AL$4&gt;NOW(),"-",IF(ISBLANK(Tbl_ResidentData[[#This Row],[Enrollment '[mmm-yyyy']]]),"-",AND((Tbl_ResidentData[[#This Row],[Enrollment '[mmm-yyyy']]]&lt;=AL$4),IF(ISBLANK(Tbl_ResidentData[[#This Row],[Discharge '[mmm-yyyy']]]),TRUE,(Tbl_ResidentData[[#This Row],[Discharge '[mmm-yyyy']]]&gt;=AL$4)))))</f>
        <v>-</v>
      </c>
      <c r="AM168" s="121" t="str">
        <f ca="1">IF(AM$4&gt;NOW(),"-",IF(ISBLANK(Tbl_ResidentData[[#This Row],[Enrollment '[mmm-yyyy']]]),"-",AND((Tbl_ResidentData[[#This Row],[Enrollment '[mmm-yyyy']]]&lt;=AM$4),IF(ISBLANK(Tbl_ResidentData[[#This Row],[Discharge '[mmm-yyyy']]]),TRUE,(Tbl_ResidentData[[#This Row],[Discharge '[mmm-yyyy']]]&gt;=AM$4)))))</f>
        <v>-</v>
      </c>
      <c r="AN168" s="121" t="str">
        <f ca="1">IF(AN$4&gt;NOW(),"-",IF(ISBLANK(Tbl_ResidentData[[#This Row],[Enrollment '[mmm-yyyy']]]),"-",AND((Tbl_ResidentData[[#This Row],[Enrollment '[mmm-yyyy']]]&lt;=AN$4),IF(ISBLANK(Tbl_ResidentData[[#This Row],[Discharge '[mmm-yyyy']]]),TRUE,(Tbl_ResidentData[[#This Row],[Discharge '[mmm-yyyy']]]&gt;=AN$4)))))</f>
        <v>-</v>
      </c>
      <c r="AO168" s="121" t="str">
        <f ca="1">IF(AO$4&gt;NOW(),"-",IF(ISBLANK(Tbl_ResidentData[[#This Row],[Enrollment '[mmm-yyyy']]]),"-",AND((Tbl_ResidentData[[#This Row],[Enrollment '[mmm-yyyy']]]&lt;=AO$4),IF(ISBLANK(Tbl_ResidentData[[#This Row],[Discharge '[mmm-yyyy']]]),TRUE,(Tbl_ResidentData[[#This Row],[Discharge '[mmm-yyyy']]]&gt;=AO$4)))))</f>
        <v>-</v>
      </c>
      <c r="AP168" s="121" t="str">
        <f ca="1">IF(AP$4&gt;NOW(),"-",IF(ISBLANK(Tbl_ResidentData[[#This Row],[Enrollment '[mmm-yyyy']]]),"-",AND((Tbl_ResidentData[[#This Row],[Enrollment '[mmm-yyyy']]]&lt;=AP$4),IF(ISBLANK(Tbl_ResidentData[[#This Row],[Discharge '[mmm-yyyy']]]),TRUE,(Tbl_ResidentData[[#This Row],[Discharge '[mmm-yyyy']]]&gt;=AP$4)))))</f>
        <v>-</v>
      </c>
      <c r="AQ168" s="121" t="str">
        <f ca="1">IF(AQ$4&gt;NOW(),"-",IF(ISBLANK(Tbl_ResidentData[[#This Row],[Enrollment '[mmm-yyyy']]]),"-",AND((Tbl_ResidentData[[#This Row],[Enrollment '[mmm-yyyy']]]&lt;=AQ$4),IF(ISBLANK(Tbl_ResidentData[[#This Row],[Discharge '[mmm-yyyy']]]),TRUE,(Tbl_ResidentData[[#This Row],[Discharge '[mmm-yyyy']]]&gt;=AQ$4)))))</f>
        <v>-</v>
      </c>
      <c r="AR168" s="122" t="str">
        <f ca="1">IF(AR$4&gt;NOW(),"-",IF(ISBLANK(Tbl_ResidentData[[#This Row],[Enrollment '[mmm-yyyy']]]),"-",AND((Tbl_ResidentData[[#This Row],[Enrollment '[mmm-yyyy']]]&lt;=AR$4),IF(ISBLANK(Tbl_ResidentData[[#This Row],[Discharge '[mmm-yyyy']]]),TRUE,(Tbl_ResidentData[[#This Row],[Discharge '[mmm-yyyy']]]&gt;=AR$4)))))</f>
        <v>-</v>
      </c>
      <c r="AS16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8" s="120" t="b">
        <f ca="1">AND(Tbl_ResidentData[[#This Row],[PRN Med Started]]&lt;&gt;"",Tbl_ResidentData[[#This Row],[PRN Med Started]]&lt;=NOW(),Tbl_ResidentData[[#This Row],[PRN Med Started]]&lt;=AS$4,OR(Tbl_ResidentData[[#This Row],[PRN Med Discontinued]]&gt;AS$4,ISBLANK(Tbl_ResidentData[[#This Row],[PRN Med Discontinued]])))</f>
        <v>0</v>
      </c>
      <c r="BR168" s="121" t="b">
        <f ca="1">AND(Tbl_ResidentData[[#This Row],[PRN Med Started]]&lt;&gt;"",Tbl_ResidentData[[#This Row],[PRN Med Started]]&lt;=NOW(),Tbl_ResidentData[[#This Row],[PRN Med Started]]&lt;=AT$4,OR(Tbl_ResidentData[[#This Row],[PRN Med Discontinued]]&gt;AT$4,ISBLANK(Tbl_ResidentData[[#This Row],[PRN Med Discontinued]])))</f>
        <v>0</v>
      </c>
      <c r="BS168" s="121" t="b">
        <f ca="1">AND(Tbl_ResidentData[[#This Row],[PRN Med Started]]&lt;&gt;"",Tbl_ResidentData[[#This Row],[PRN Med Started]]&lt;=NOW(),Tbl_ResidentData[[#This Row],[PRN Med Started]]&lt;=AU$4,OR(Tbl_ResidentData[[#This Row],[PRN Med Discontinued]]&gt;AU$4,ISBLANK(Tbl_ResidentData[[#This Row],[PRN Med Discontinued]])))</f>
        <v>0</v>
      </c>
      <c r="BT168" s="121" t="b">
        <f ca="1">AND(Tbl_ResidentData[[#This Row],[PRN Med Started]]&lt;&gt;"",Tbl_ResidentData[[#This Row],[PRN Med Started]]&lt;=NOW(),Tbl_ResidentData[[#This Row],[PRN Med Started]]&lt;=AV$4,OR(Tbl_ResidentData[[#This Row],[PRN Med Discontinued]]&gt;AV$4,ISBLANK(Tbl_ResidentData[[#This Row],[PRN Med Discontinued]])))</f>
        <v>0</v>
      </c>
      <c r="BU168" s="121" t="b">
        <f ca="1">AND(Tbl_ResidentData[[#This Row],[PRN Med Started]]&lt;&gt;"",Tbl_ResidentData[[#This Row],[PRN Med Started]]&lt;=NOW(),Tbl_ResidentData[[#This Row],[PRN Med Started]]&lt;=AW$4,OR(Tbl_ResidentData[[#This Row],[PRN Med Discontinued]]&gt;AW$4,ISBLANK(Tbl_ResidentData[[#This Row],[PRN Med Discontinued]])))</f>
        <v>0</v>
      </c>
      <c r="BV168" s="121" t="b">
        <f ca="1">AND(Tbl_ResidentData[[#This Row],[PRN Med Started]]&lt;&gt;"",Tbl_ResidentData[[#This Row],[PRN Med Started]]&lt;=NOW(),Tbl_ResidentData[[#This Row],[PRN Med Started]]&lt;=AX$4,OR(Tbl_ResidentData[[#This Row],[PRN Med Discontinued]]&gt;AX$4,ISBLANK(Tbl_ResidentData[[#This Row],[PRN Med Discontinued]])))</f>
        <v>0</v>
      </c>
      <c r="BW168" s="121" t="b">
        <f ca="1">AND(Tbl_ResidentData[[#This Row],[PRN Med Started]]&lt;&gt;"",Tbl_ResidentData[[#This Row],[PRN Med Started]]&lt;=NOW(),Tbl_ResidentData[[#This Row],[PRN Med Started]]&lt;=AY$4,OR(Tbl_ResidentData[[#This Row],[PRN Med Discontinued]]&gt;AY$4,ISBLANK(Tbl_ResidentData[[#This Row],[PRN Med Discontinued]])))</f>
        <v>0</v>
      </c>
      <c r="BX168" s="121" t="b">
        <f ca="1">AND(Tbl_ResidentData[[#This Row],[PRN Med Started]]&lt;&gt;"",Tbl_ResidentData[[#This Row],[PRN Med Started]]&lt;=NOW(),Tbl_ResidentData[[#This Row],[PRN Med Started]]&lt;=AZ$4,OR(Tbl_ResidentData[[#This Row],[PRN Med Discontinued]]&gt;AZ$4,ISBLANK(Tbl_ResidentData[[#This Row],[PRN Med Discontinued]])))</f>
        <v>0</v>
      </c>
      <c r="BY168" s="121" t="b">
        <f ca="1">AND(Tbl_ResidentData[[#This Row],[PRN Med Started]]&lt;&gt;"",Tbl_ResidentData[[#This Row],[PRN Med Started]]&lt;=NOW(),Tbl_ResidentData[[#This Row],[PRN Med Started]]&lt;=BA$4,OR(Tbl_ResidentData[[#This Row],[PRN Med Discontinued]]&gt;BA$4,ISBLANK(Tbl_ResidentData[[#This Row],[PRN Med Discontinued]])))</f>
        <v>0</v>
      </c>
      <c r="BZ168" s="121" t="b">
        <f ca="1">AND(Tbl_ResidentData[[#This Row],[PRN Med Started]]&lt;&gt;"",Tbl_ResidentData[[#This Row],[PRN Med Started]]&lt;=NOW(),Tbl_ResidentData[[#This Row],[PRN Med Started]]&lt;=BB$4,OR(Tbl_ResidentData[[#This Row],[PRN Med Discontinued]]&gt;BB$4,ISBLANK(Tbl_ResidentData[[#This Row],[PRN Med Discontinued]])))</f>
        <v>0</v>
      </c>
      <c r="CA168" s="121" t="b">
        <f ca="1">AND(Tbl_ResidentData[[#This Row],[PRN Med Started]]&lt;&gt;"",Tbl_ResidentData[[#This Row],[PRN Med Started]]&lt;=NOW(),Tbl_ResidentData[[#This Row],[PRN Med Started]]&lt;=BC$4,OR(Tbl_ResidentData[[#This Row],[PRN Med Discontinued]]&gt;BC$4,ISBLANK(Tbl_ResidentData[[#This Row],[PRN Med Discontinued]])))</f>
        <v>0</v>
      </c>
      <c r="CB168" s="121" t="b">
        <f ca="1">AND(Tbl_ResidentData[[#This Row],[PRN Med Started]]&lt;&gt;"",Tbl_ResidentData[[#This Row],[PRN Med Started]]&lt;=NOW(),Tbl_ResidentData[[#This Row],[PRN Med Started]]&lt;=BD$4,OR(Tbl_ResidentData[[#This Row],[PRN Med Discontinued]]&gt;BD$4,ISBLANK(Tbl_ResidentData[[#This Row],[PRN Med Discontinued]])))</f>
        <v>0</v>
      </c>
      <c r="CC168" s="121" t="b">
        <f ca="1">AND(Tbl_ResidentData[[#This Row],[PRN Med Started]]&lt;&gt;"",Tbl_ResidentData[[#This Row],[PRN Med Started]]&lt;=NOW(),Tbl_ResidentData[[#This Row],[PRN Med Started]]&lt;=BE$4,OR(Tbl_ResidentData[[#This Row],[PRN Med Discontinued]]&gt;BE$4,ISBLANK(Tbl_ResidentData[[#This Row],[PRN Med Discontinued]])))</f>
        <v>0</v>
      </c>
      <c r="CD168" s="121" t="b">
        <f ca="1">AND(Tbl_ResidentData[[#This Row],[PRN Med Started]]&lt;&gt;"",Tbl_ResidentData[[#This Row],[PRN Med Started]]&lt;=NOW(),Tbl_ResidentData[[#This Row],[PRN Med Started]]&lt;=BF$4,OR(Tbl_ResidentData[[#This Row],[PRN Med Discontinued]]&gt;BF$4,ISBLANK(Tbl_ResidentData[[#This Row],[PRN Med Discontinued]])))</f>
        <v>0</v>
      </c>
      <c r="CE168" s="121" t="b">
        <f ca="1">AND(Tbl_ResidentData[[#This Row],[PRN Med Started]]&lt;&gt;"",Tbl_ResidentData[[#This Row],[PRN Med Started]]&lt;=NOW(),Tbl_ResidentData[[#This Row],[PRN Med Started]]&lt;=BG$4,OR(Tbl_ResidentData[[#This Row],[PRN Med Discontinued]]&gt;BG$4,ISBLANK(Tbl_ResidentData[[#This Row],[PRN Med Discontinued]])))</f>
        <v>0</v>
      </c>
      <c r="CF168" s="121" t="b">
        <f ca="1">AND(Tbl_ResidentData[[#This Row],[PRN Med Started]]&lt;&gt;"",Tbl_ResidentData[[#This Row],[PRN Med Started]]&lt;=NOW(),Tbl_ResidentData[[#This Row],[PRN Med Started]]&lt;=BH$4,OR(Tbl_ResidentData[[#This Row],[PRN Med Discontinued]]&gt;BH$4,ISBLANK(Tbl_ResidentData[[#This Row],[PRN Med Discontinued]])))</f>
        <v>0</v>
      </c>
      <c r="CG168" s="121" t="b">
        <f ca="1">AND(Tbl_ResidentData[[#This Row],[PRN Med Started]]&lt;&gt;"",Tbl_ResidentData[[#This Row],[PRN Med Started]]&lt;=NOW(),Tbl_ResidentData[[#This Row],[PRN Med Started]]&lt;=BI$4,OR(Tbl_ResidentData[[#This Row],[PRN Med Discontinued]]&gt;BI$4,ISBLANK(Tbl_ResidentData[[#This Row],[PRN Med Discontinued]])))</f>
        <v>0</v>
      </c>
      <c r="CH168" s="121" t="b">
        <f ca="1">AND(Tbl_ResidentData[[#This Row],[PRN Med Started]]&lt;&gt;"",Tbl_ResidentData[[#This Row],[PRN Med Started]]&lt;=NOW(),Tbl_ResidentData[[#This Row],[PRN Med Started]]&lt;=BJ$4,OR(Tbl_ResidentData[[#This Row],[PRN Med Discontinued]]&gt;BJ$4,ISBLANK(Tbl_ResidentData[[#This Row],[PRN Med Discontinued]])))</f>
        <v>0</v>
      </c>
      <c r="CI168" s="121" t="b">
        <f ca="1">AND(Tbl_ResidentData[[#This Row],[PRN Med Started]]&lt;&gt;"",Tbl_ResidentData[[#This Row],[PRN Med Started]]&lt;=NOW(),Tbl_ResidentData[[#This Row],[PRN Med Started]]&lt;=BK$4,OR(Tbl_ResidentData[[#This Row],[PRN Med Discontinued]]&gt;BK$4,ISBLANK(Tbl_ResidentData[[#This Row],[PRN Med Discontinued]])))</f>
        <v>0</v>
      </c>
      <c r="CJ168" s="121" t="b">
        <f ca="1">AND(Tbl_ResidentData[[#This Row],[PRN Med Started]]&lt;&gt;"",Tbl_ResidentData[[#This Row],[PRN Med Started]]&lt;=NOW(),Tbl_ResidentData[[#This Row],[PRN Med Started]]&lt;=BL$4,OR(Tbl_ResidentData[[#This Row],[PRN Med Discontinued]]&gt;BL$4,ISBLANK(Tbl_ResidentData[[#This Row],[PRN Med Discontinued]])))</f>
        <v>0</v>
      </c>
      <c r="CK168" s="121" t="b">
        <f ca="1">AND(Tbl_ResidentData[[#This Row],[PRN Med Started]]&lt;&gt;"",Tbl_ResidentData[[#This Row],[PRN Med Started]]&lt;=NOW(),Tbl_ResidentData[[#This Row],[PRN Med Started]]&lt;=BM$4,OR(Tbl_ResidentData[[#This Row],[PRN Med Discontinued]]&gt;BM$4,ISBLANK(Tbl_ResidentData[[#This Row],[PRN Med Discontinued]])))</f>
        <v>0</v>
      </c>
      <c r="CL168" s="121" t="b">
        <f ca="1">AND(Tbl_ResidentData[[#This Row],[PRN Med Started]]&lt;&gt;"",Tbl_ResidentData[[#This Row],[PRN Med Started]]&lt;=NOW(),Tbl_ResidentData[[#This Row],[PRN Med Started]]&lt;=BN$4,OR(Tbl_ResidentData[[#This Row],[PRN Med Discontinued]]&gt;BN$4,ISBLANK(Tbl_ResidentData[[#This Row],[PRN Med Discontinued]])))</f>
        <v>0</v>
      </c>
      <c r="CM168" s="121" t="b">
        <f ca="1">AND(Tbl_ResidentData[[#This Row],[PRN Med Started]]&lt;&gt;"",Tbl_ResidentData[[#This Row],[PRN Med Started]]&lt;=NOW(),Tbl_ResidentData[[#This Row],[PRN Med Started]]&lt;=BO$4,OR(Tbl_ResidentData[[#This Row],[PRN Med Discontinued]]&gt;BO$4,ISBLANK(Tbl_ResidentData[[#This Row],[PRN Med Discontinued]])))</f>
        <v>0</v>
      </c>
      <c r="CN168" s="122" t="b">
        <f ca="1">AND(Tbl_ResidentData[[#This Row],[PRN Med Started]]&lt;&gt;"",Tbl_ResidentData[[#This Row],[PRN Med Started]]&lt;=NOW(),Tbl_ResidentData[[#This Row],[PRN Med Started]]&lt;=BP$4,OR(Tbl_ResidentData[[#This Row],[PRN Med Discontinued]]&gt;BP$4,ISBLANK(Tbl_ResidentData[[#This Row],[PRN Med Discontinued]])))</f>
        <v>0</v>
      </c>
      <c r="CO168" s="120">
        <f ca="1">IF(OR(Tbl_ResidentData[[#This Row],[S1]]=TRUE,Tbl_ResidentData[[#This Row],[P1]]=TRUE),1,0)</f>
        <v>0</v>
      </c>
      <c r="CP168" s="121">
        <f ca="1">IF(OR(Tbl_ResidentData[[#This Row],[S2]]=TRUE,Tbl_ResidentData[[#This Row],[P2]]=TRUE),1,0)</f>
        <v>0</v>
      </c>
      <c r="CQ168" s="121">
        <f ca="1">IF(OR(Tbl_ResidentData[[#This Row],[S3]]=TRUE,Tbl_ResidentData[[#This Row],[P3]]=TRUE),1,0)</f>
        <v>0</v>
      </c>
      <c r="CR168" s="120">
        <f ca="1">IF(OR(Tbl_ResidentData[[#This Row],[S4]]=TRUE,Tbl_ResidentData[[#This Row],[P4]]=TRUE),1,0)</f>
        <v>0</v>
      </c>
      <c r="CS168" s="120">
        <f ca="1">IF(OR(Tbl_ResidentData[[#This Row],[S5]]=TRUE,Tbl_ResidentData[[#This Row],[P5]]=TRUE),1,0)</f>
        <v>0</v>
      </c>
      <c r="CT168" s="120">
        <f ca="1">IF(OR(Tbl_ResidentData[[#This Row],[S6]]=TRUE,Tbl_ResidentData[[#This Row],[P6]]=TRUE),1,0)</f>
        <v>0</v>
      </c>
      <c r="CU168" s="120">
        <f ca="1">IF(OR(Tbl_ResidentData[[#This Row],[S7]]=TRUE,Tbl_ResidentData[[#This Row],[P7]]=TRUE),1,0)</f>
        <v>0</v>
      </c>
      <c r="CV168" s="120">
        <f ca="1">IF(OR(Tbl_ResidentData[[#This Row],[S8]]=TRUE,Tbl_ResidentData[[#This Row],[P8]]=TRUE),1,0)</f>
        <v>0</v>
      </c>
      <c r="CW168" s="120">
        <f ca="1">IF(OR(Tbl_ResidentData[[#This Row],[S9]]=TRUE,Tbl_ResidentData[[#This Row],[P9]]=TRUE),1,0)</f>
        <v>0</v>
      </c>
      <c r="CX168" s="120">
        <f ca="1">IF(OR(Tbl_ResidentData[[#This Row],[S10]]=TRUE,Tbl_ResidentData[[#This Row],[P10]]=TRUE),1,0)</f>
        <v>0</v>
      </c>
      <c r="CY168" s="120">
        <f ca="1">IF(OR(Tbl_ResidentData[[#This Row],[S11]]=TRUE,Tbl_ResidentData[[#This Row],[P11]]=TRUE),1,0)</f>
        <v>0</v>
      </c>
      <c r="CZ168" s="120">
        <f ca="1">IF(OR(Tbl_ResidentData[[#This Row],[S12]]=TRUE,Tbl_ResidentData[[#This Row],[P12]]=TRUE),1,0)</f>
        <v>0</v>
      </c>
      <c r="DA168" s="120">
        <f ca="1">IF(OR(Tbl_ResidentData[[#This Row],[S13]]=TRUE,Tbl_ResidentData[[#This Row],[P13]]=TRUE),1,0)</f>
        <v>0</v>
      </c>
      <c r="DB168" s="120">
        <f ca="1">IF(OR(Tbl_ResidentData[[#This Row],[S14]]=TRUE,Tbl_ResidentData[[#This Row],[P14]]=TRUE),1,0)</f>
        <v>0</v>
      </c>
      <c r="DC168" s="120">
        <f ca="1">IF(OR(Tbl_ResidentData[[#This Row],[S15]]=TRUE,Tbl_ResidentData[[#This Row],[P15]]=TRUE),1,0)</f>
        <v>0</v>
      </c>
      <c r="DD168" s="120">
        <f ca="1">IF(OR(Tbl_ResidentData[[#This Row],[S16]]=TRUE,Tbl_ResidentData[[#This Row],[P16]]=TRUE),1,0)</f>
        <v>0</v>
      </c>
      <c r="DE168" s="120">
        <f ca="1">IF(OR(Tbl_ResidentData[[#This Row],[S17]]=TRUE,Tbl_ResidentData[[#This Row],[P17]]=TRUE),1,0)</f>
        <v>0</v>
      </c>
      <c r="DF168" s="120">
        <f ca="1">IF(OR(Tbl_ResidentData[[#This Row],[S18]]=TRUE,Tbl_ResidentData[[#This Row],[P18]]=TRUE),1,0)</f>
        <v>0</v>
      </c>
      <c r="DG168" s="120">
        <f ca="1">IF(OR(Tbl_ResidentData[[#This Row],[S19]]=TRUE,Tbl_ResidentData[[#This Row],[P19]]=TRUE),1,0)</f>
        <v>0</v>
      </c>
      <c r="DH168" s="120">
        <f ca="1">IF(OR(Tbl_ResidentData[[#This Row],[S20]]=TRUE,Tbl_ResidentData[[#This Row],[P20]]=TRUE),1,0)</f>
        <v>0</v>
      </c>
      <c r="DI168" s="120">
        <f ca="1">IF(OR(Tbl_ResidentData[[#This Row],[S21]]=TRUE,Tbl_ResidentData[[#This Row],[P21]]=TRUE),1,0)</f>
        <v>0</v>
      </c>
      <c r="DJ168" s="120">
        <f ca="1">IF(OR(Tbl_ResidentData[[#This Row],[S22]]=TRUE,Tbl_ResidentData[[#This Row],[P22]]=TRUE),1,0)</f>
        <v>0</v>
      </c>
      <c r="DK168" s="120">
        <f ca="1">IF(OR(Tbl_ResidentData[[#This Row],[S23]]=TRUE,Tbl_ResidentData[[#This Row],[P23]]=TRUE),1,0)</f>
        <v>0</v>
      </c>
      <c r="DL168" s="120">
        <f ca="1">IF(OR(Tbl_ResidentData[[#This Row],[S24]]=TRUE,Tbl_ResidentData[[#This Row],[P24]]=TRUE),1,0)</f>
        <v>0</v>
      </c>
      <c r="DM168" s="123" t="str">
        <f ca="1">IFERROR(INDEX($CO$4:$DL$4,MATCH(TRUE,INDEX((Tbl_ResidentData[[#This Row],[Over1]:[Over24]]&lt;&gt;0),0),0)),"")</f>
        <v/>
      </c>
      <c r="DN168" s="133" t="str">
        <f>IFERROR(INDEX(Tbl_PDSAData[Last DRT],MATCH(Tbl_ResidentData[Resident Name '[last, first']],Tbl_PDSAData[Resident Name (last, first)],0)),"")</f>
        <v/>
      </c>
      <c r="DO168" s="222" t="str">
        <f>IFERROR(INDEX(Tbl_PDSAData[Last MR],MATCH(Tbl_ResidentData[Resident Name '[last, first']],Tbl_PDSAData[Resident Name (last, first)],0)),"")</f>
        <v/>
      </c>
    </row>
    <row r="169" spans="1:119" x14ac:dyDescent="0.25">
      <c r="A169" s="179"/>
      <c r="B169" s="180"/>
      <c r="C169" s="180"/>
      <c r="D169" s="218"/>
      <c r="E169" s="179"/>
      <c r="F169" s="179"/>
      <c r="G169" s="181"/>
      <c r="H169" s="375"/>
      <c r="I169" s="185"/>
      <c r="J169" s="387"/>
      <c r="K169" s="178"/>
      <c r="L169" s="388"/>
      <c r="M169" s="185"/>
      <c r="N169" s="386"/>
      <c r="O169" s="178"/>
      <c r="P169" s="388"/>
      <c r="Q169" s="395"/>
      <c r="R169" s="396"/>
      <c r="S169" s="131" t="str">
        <f>IF(ISBLANK(Tbl_ResidentData[[#This Row],[Discharge '[mmm-yyyy']]]),IF(ISBLANK(Tbl_ResidentData[[#This Row],[Enrollment '[mmm-yyyy']]]),"","In Care Home"),"Discharged")</f>
        <v/>
      </c>
      <c r="T169" s="119" t="str">
        <f>IF(ISBLANK(Tbl_ResidentData[[#This Row],[Diagnosis (RAI)]]),IF(ISBLANK(Tbl_ResidentData[[#This Row],[Resident Name '[last, first']]]),"",0),IF(Tbl_ResidentData[[#This Row],[Diagnosis (RAI)]]="Other (see clinical notes)",0,1))</f>
        <v/>
      </c>
      <c r="U169" s="120" t="str">
        <f ca="1">IF(U$4&gt;NOW(),"-",IF(ISBLANK(Tbl_ResidentData[[#This Row],[Enrollment '[mmm-yyyy']]]),"-",AND((Tbl_ResidentData[[#This Row],[Enrollment '[mmm-yyyy']]]&lt;=U$4),IF(ISBLANK(Tbl_ResidentData[[#This Row],[Discharge '[mmm-yyyy']]]),TRUE,(Tbl_ResidentData[[#This Row],[Discharge '[mmm-yyyy']]]&gt;=U$4)))))</f>
        <v>-</v>
      </c>
      <c r="V169" s="121" t="str">
        <f ca="1">IF(V$4&gt;NOW(),"-",IF(ISBLANK(Tbl_ResidentData[[#This Row],[Enrollment '[mmm-yyyy']]]),"-",AND((Tbl_ResidentData[[#This Row],[Enrollment '[mmm-yyyy']]]&lt;=V$4),IF(ISBLANK(Tbl_ResidentData[[#This Row],[Discharge '[mmm-yyyy']]]),TRUE,(Tbl_ResidentData[[#This Row],[Discharge '[mmm-yyyy']]]&gt;=V$4)))))</f>
        <v>-</v>
      </c>
      <c r="W169" s="121" t="str">
        <f ca="1">IF(W$4&gt;NOW(),"-",IF(ISBLANK(Tbl_ResidentData[[#This Row],[Enrollment '[mmm-yyyy']]]),"-",AND((Tbl_ResidentData[[#This Row],[Enrollment '[mmm-yyyy']]]&lt;=W$4),IF(ISBLANK(Tbl_ResidentData[[#This Row],[Discharge '[mmm-yyyy']]]),TRUE,(Tbl_ResidentData[[#This Row],[Discharge '[mmm-yyyy']]]&gt;=W$4)))))</f>
        <v>-</v>
      </c>
      <c r="X169" s="121" t="str">
        <f ca="1">IF(X$4&gt;NOW(),"-",IF(ISBLANK(Tbl_ResidentData[[#This Row],[Enrollment '[mmm-yyyy']]]),"-",AND((Tbl_ResidentData[[#This Row],[Enrollment '[mmm-yyyy']]]&lt;=X$4),IF(ISBLANK(Tbl_ResidentData[[#This Row],[Discharge '[mmm-yyyy']]]),TRUE,(Tbl_ResidentData[[#This Row],[Discharge '[mmm-yyyy']]]&gt;=X$4)))))</f>
        <v>-</v>
      </c>
      <c r="Y169" s="121" t="str">
        <f ca="1">IF(Y$4&gt;NOW(),"-",IF(ISBLANK(Tbl_ResidentData[[#This Row],[Enrollment '[mmm-yyyy']]]),"-",AND((Tbl_ResidentData[[#This Row],[Enrollment '[mmm-yyyy']]]&lt;=Y$4),IF(ISBLANK(Tbl_ResidentData[[#This Row],[Discharge '[mmm-yyyy']]]),TRUE,(Tbl_ResidentData[[#This Row],[Discharge '[mmm-yyyy']]]&gt;=Y$4)))))</f>
        <v>-</v>
      </c>
      <c r="Z169" s="121" t="str">
        <f ca="1">IF(Z$4&gt;NOW(),"-",IF(ISBLANK(Tbl_ResidentData[[#This Row],[Enrollment '[mmm-yyyy']]]),"-",AND((Tbl_ResidentData[[#This Row],[Enrollment '[mmm-yyyy']]]&lt;=Z$4),IF(ISBLANK(Tbl_ResidentData[[#This Row],[Discharge '[mmm-yyyy']]]),TRUE,(Tbl_ResidentData[[#This Row],[Discharge '[mmm-yyyy']]]&gt;=Z$4)))))</f>
        <v>-</v>
      </c>
      <c r="AA169" s="121" t="str">
        <f ca="1">IF(AA$4&gt;NOW(),"-",IF(ISBLANK(Tbl_ResidentData[[#This Row],[Enrollment '[mmm-yyyy']]]),"-",AND((Tbl_ResidentData[[#This Row],[Enrollment '[mmm-yyyy']]]&lt;=AA$4),IF(ISBLANK(Tbl_ResidentData[[#This Row],[Discharge '[mmm-yyyy']]]),TRUE,(Tbl_ResidentData[[#This Row],[Discharge '[mmm-yyyy']]]&gt;=AA$4)))))</f>
        <v>-</v>
      </c>
      <c r="AB169" s="121" t="str">
        <f ca="1">IF(AB$4&gt;NOW(),"-",IF(ISBLANK(Tbl_ResidentData[[#This Row],[Enrollment '[mmm-yyyy']]]),"-",AND((Tbl_ResidentData[[#This Row],[Enrollment '[mmm-yyyy']]]&lt;=AB$4),IF(ISBLANK(Tbl_ResidentData[[#This Row],[Discharge '[mmm-yyyy']]]),TRUE,(Tbl_ResidentData[[#This Row],[Discharge '[mmm-yyyy']]]&gt;=AB$4)))))</f>
        <v>-</v>
      </c>
      <c r="AC169" s="121" t="str">
        <f ca="1">IF(AC$4&gt;NOW(),"-",IF(ISBLANK(Tbl_ResidentData[[#This Row],[Enrollment '[mmm-yyyy']]]),"-",AND((Tbl_ResidentData[[#This Row],[Enrollment '[mmm-yyyy']]]&lt;=AC$4),IF(ISBLANK(Tbl_ResidentData[[#This Row],[Discharge '[mmm-yyyy']]]),TRUE,(Tbl_ResidentData[[#This Row],[Discharge '[mmm-yyyy']]]&gt;=AC$4)))))</f>
        <v>-</v>
      </c>
      <c r="AD169" s="121" t="str">
        <f ca="1">IF(AD$4&gt;NOW(),"-",IF(ISBLANK(Tbl_ResidentData[[#This Row],[Enrollment '[mmm-yyyy']]]),"-",AND((Tbl_ResidentData[[#This Row],[Enrollment '[mmm-yyyy']]]&lt;=AD$4),IF(ISBLANK(Tbl_ResidentData[[#This Row],[Discharge '[mmm-yyyy']]]),TRUE,(Tbl_ResidentData[[#This Row],[Discharge '[mmm-yyyy']]]&gt;=AD$4)))))</f>
        <v>-</v>
      </c>
      <c r="AE169" s="121" t="str">
        <f ca="1">IF(AE$4&gt;NOW(),"-",IF(ISBLANK(Tbl_ResidentData[[#This Row],[Enrollment '[mmm-yyyy']]]),"-",AND((Tbl_ResidentData[[#This Row],[Enrollment '[mmm-yyyy']]]&lt;=AE$4),IF(ISBLANK(Tbl_ResidentData[[#This Row],[Discharge '[mmm-yyyy']]]),TRUE,(Tbl_ResidentData[[#This Row],[Discharge '[mmm-yyyy']]]&gt;=AE$4)))))</f>
        <v>-</v>
      </c>
      <c r="AF169" s="121" t="str">
        <f ca="1">IF(AF$4&gt;NOW(),"-",IF(ISBLANK(Tbl_ResidentData[[#This Row],[Enrollment '[mmm-yyyy']]]),"-",AND((Tbl_ResidentData[[#This Row],[Enrollment '[mmm-yyyy']]]&lt;=AF$4),IF(ISBLANK(Tbl_ResidentData[[#This Row],[Discharge '[mmm-yyyy']]]),TRUE,(Tbl_ResidentData[[#This Row],[Discharge '[mmm-yyyy']]]&gt;=AF$4)))))</f>
        <v>-</v>
      </c>
      <c r="AG169" s="121" t="str">
        <f ca="1">IF(AG$4&gt;NOW(),"-",IF(ISBLANK(Tbl_ResidentData[[#This Row],[Enrollment '[mmm-yyyy']]]),"-",AND((Tbl_ResidentData[[#This Row],[Enrollment '[mmm-yyyy']]]&lt;=AG$4),IF(ISBLANK(Tbl_ResidentData[[#This Row],[Discharge '[mmm-yyyy']]]),TRUE,(Tbl_ResidentData[[#This Row],[Discharge '[mmm-yyyy']]]&gt;=AG$4)))))</f>
        <v>-</v>
      </c>
      <c r="AH169" s="121" t="str">
        <f ca="1">IF(AH$4&gt;NOW(),"-",IF(ISBLANK(Tbl_ResidentData[[#This Row],[Enrollment '[mmm-yyyy']]]),"-",AND((Tbl_ResidentData[[#This Row],[Enrollment '[mmm-yyyy']]]&lt;=AH$4),IF(ISBLANK(Tbl_ResidentData[[#This Row],[Discharge '[mmm-yyyy']]]),TRUE,(Tbl_ResidentData[[#This Row],[Discharge '[mmm-yyyy']]]&gt;=AH$4)))))</f>
        <v>-</v>
      </c>
      <c r="AI169" s="121" t="str">
        <f ca="1">IF(AI$4&gt;NOW(),"-",IF(ISBLANK(Tbl_ResidentData[[#This Row],[Enrollment '[mmm-yyyy']]]),"-",AND((Tbl_ResidentData[[#This Row],[Enrollment '[mmm-yyyy']]]&lt;=AI$4),IF(ISBLANK(Tbl_ResidentData[[#This Row],[Discharge '[mmm-yyyy']]]),TRUE,(Tbl_ResidentData[[#This Row],[Discharge '[mmm-yyyy']]]&gt;=AI$4)))))</f>
        <v>-</v>
      </c>
      <c r="AJ169" s="121" t="str">
        <f ca="1">IF(AJ$4&gt;NOW(),"-",IF(ISBLANK(Tbl_ResidentData[[#This Row],[Enrollment '[mmm-yyyy']]]),"-",AND((Tbl_ResidentData[[#This Row],[Enrollment '[mmm-yyyy']]]&lt;=AJ$4),IF(ISBLANK(Tbl_ResidentData[[#This Row],[Discharge '[mmm-yyyy']]]),TRUE,(Tbl_ResidentData[[#This Row],[Discharge '[mmm-yyyy']]]&gt;=AJ$4)))))</f>
        <v>-</v>
      </c>
      <c r="AK169" s="121" t="str">
        <f ca="1">IF(AK$4&gt;NOW(),"-",IF(ISBLANK(Tbl_ResidentData[[#This Row],[Enrollment '[mmm-yyyy']]]),"-",AND((Tbl_ResidentData[[#This Row],[Enrollment '[mmm-yyyy']]]&lt;=AK$4),IF(ISBLANK(Tbl_ResidentData[[#This Row],[Discharge '[mmm-yyyy']]]),TRUE,(Tbl_ResidentData[[#This Row],[Discharge '[mmm-yyyy']]]&gt;=AK$4)))))</f>
        <v>-</v>
      </c>
      <c r="AL169" s="121" t="str">
        <f ca="1">IF(AL$4&gt;NOW(),"-",IF(ISBLANK(Tbl_ResidentData[[#This Row],[Enrollment '[mmm-yyyy']]]),"-",AND((Tbl_ResidentData[[#This Row],[Enrollment '[mmm-yyyy']]]&lt;=AL$4),IF(ISBLANK(Tbl_ResidentData[[#This Row],[Discharge '[mmm-yyyy']]]),TRUE,(Tbl_ResidentData[[#This Row],[Discharge '[mmm-yyyy']]]&gt;=AL$4)))))</f>
        <v>-</v>
      </c>
      <c r="AM169" s="121" t="str">
        <f ca="1">IF(AM$4&gt;NOW(),"-",IF(ISBLANK(Tbl_ResidentData[[#This Row],[Enrollment '[mmm-yyyy']]]),"-",AND((Tbl_ResidentData[[#This Row],[Enrollment '[mmm-yyyy']]]&lt;=AM$4),IF(ISBLANK(Tbl_ResidentData[[#This Row],[Discharge '[mmm-yyyy']]]),TRUE,(Tbl_ResidentData[[#This Row],[Discharge '[mmm-yyyy']]]&gt;=AM$4)))))</f>
        <v>-</v>
      </c>
      <c r="AN169" s="121" t="str">
        <f ca="1">IF(AN$4&gt;NOW(),"-",IF(ISBLANK(Tbl_ResidentData[[#This Row],[Enrollment '[mmm-yyyy']]]),"-",AND((Tbl_ResidentData[[#This Row],[Enrollment '[mmm-yyyy']]]&lt;=AN$4),IF(ISBLANK(Tbl_ResidentData[[#This Row],[Discharge '[mmm-yyyy']]]),TRUE,(Tbl_ResidentData[[#This Row],[Discharge '[mmm-yyyy']]]&gt;=AN$4)))))</f>
        <v>-</v>
      </c>
      <c r="AO169" s="121" t="str">
        <f ca="1">IF(AO$4&gt;NOW(),"-",IF(ISBLANK(Tbl_ResidentData[[#This Row],[Enrollment '[mmm-yyyy']]]),"-",AND((Tbl_ResidentData[[#This Row],[Enrollment '[mmm-yyyy']]]&lt;=AO$4),IF(ISBLANK(Tbl_ResidentData[[#This Row],[Discharge '[mmm-yyyy']]]),TRUE,(Tbl_ResidentData[[#This Row],[Discharge '[mmm-yyyy']]]&gt;=AO$4)))))</f>
        <v>-</v>
      </c>
      <c r="AP169" s="121" t="str">
        <f ca="1">IF(AP$4&gt;NOW(),"-",IF(ISBLANK(Tbl_ResidentData[[#This Row],[Enrollment '[mmm-yyyy']]]),"-",AND((Tbl_ResidentData[[#This Row],[Enrollment '[mmm-yyyy']]]&lt;=AP$4),IF(ISBLANK(Tbl_ResidentData[[#This Row],[Discharge '[mmm-yyyy']]]),TRUE,(Tbl_ResidentData[[#This Row],[Discharge '[mmm-yyyy']]]&gt;=AP$4)))))</f>
        <v>-</v>
      </c>
      <c r="AQ169" s="121" t="str">
        <f ca="1">IF(AQ$4&gt;NOW(),"-",IF(ISBLANK(Tbl_ResidentData[[#This Row],[Enrollment '[mmm-yyyy']]]),"-",AND((Tbl_ResidentData[[#This Row],[Enrollment '[mmm-yyyy']]]&lt;=AQ$4),IF(ISBLANK(Tbl_ResidentData[[#This Row],[Discharge '[mmm-yyyy']]]),TRUE,(Tbl_ResidentData[[#This Row],[Discharge '[mmm-yyyy']]]&gt;=AQ$4)))))</f>
        <v>-</v>
      </c>
      <c r="AR169" s="122" t="str">
        <f ca="1">IF(AR$4&gt;NOW(),"-",IF(ISBLANK(Tbl_ResidentData[[#This Row],[Enrollment '[mmm-yyyy']]]),"-",AND((Tbl_ResidentData[[#This Row],[Enrollment '[mmm-yyyy']]]&lt;=AR$4),IF(ISBLANK(Tbl_ResidentData[[#This Row],[Discharge '[mmm-yyyy']]]),TRUE,(Tbl_ResidentData[[#This Row],[Discharge '[mmm-yyyy']]]&gt;=AR$4)))))</f>
        <v>-</v>
      </c>
      <c r="AS16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9" s="120" t="b">
        <f ca="1">AND(Tbl_ResidentData[[#This Row],[PRN Med Started]]&lt;&gt;"",Tbl_ResidentData[[#This Row],[PRN Med Started]]&lt;=NOW(),Tbl_ResidentData[[#This Row],[PRN Med Started]]&lt;=AS$4,OR(Tbl_ResidentData[[#This Row],[PRN Med Discontinued]]&gt;AS$4,ISBLANK(Tbl_ResidentData[[#This Row],[PRN Med Discontinued]])))</f>
        <v>0</v>
      </c>
      <c r="BR169" s="121" t="b">
        <f ca="1">AND(Tbl_ResidentData[[#This Row],[PRN Med Started]]&lt;&gt;"",Tbl_ResidentData[[#This Row],[PRN Med Started]]&lt;=NOW(),Tbl_ResidentData[[#This Row],[PRN Med Started]]&lt;=AT$4,OR(Tbl_ResidentData[[#This Row],[PRN Med Discontinued]]&gt;AT$4,ISBLANK(Tbl_ResidentData[[#This Row],[PRN Med Discontinued]])))</f>
        <v>0</v>
      </c>
      <c r="BS169" s="121" t="b">
        <f ca="1">AND(Tbl_ResidentData[[#This Row],[PRN Med Started]]&lt;&gt;"",Tbl_ResidentData[[#This Row],[PRN Med Started]]&lt;=NOW(),Tbl_ResidentData[[#This Row],[PRN Med Started]]&lt;=AU$4,OR(Tbl_ResidentData[[#This Row],[PRN Med Discontinued]]&gt;AU$4,ISBLANK(Tbl_ResidentData[[#This Row],[PRN Med Discontinued]])))</f>
        <v>0</v>
      </c>
      <c r="BT169" s="121" t="b">
        <f ca="1">AND(Tbl_ResidentData[[#This Row],[PRN Med Started]]&lt;&gt;"",Tbl_ResidentData[[#This Row],[PRN Med Started]]&lt;=NOW(),Tbl_ResidentData[[#This Row],[PRN Med Started]]&lt;=AV$4,OR(Tbl_ResidentData[[#This Row],[PRN Med Discontinued]]&gt;AV$4,ISBLANK(Tbl_ResidentData[[#This Row],[PRN Med Discontinued]])))</f>
        <v>0</v>
      </c>
      <c r="BU169" s="121" t="b">
        <f ca="1">AND(Tbl_ResidentData[[#This Row],[PRN Med Started]]&lt;&gt;"",Tbl_ResidentData[[#This Row],[PRN Med Started]]&lt;=NOW(),Tbl_ResidentData[[#This Row],[PRN Med Started]]&lt;=AW$4,OR(Tbl_ResidentData[[#This Row],[PRN Med Discontinued]]&gt;AW$4,ISBLANK(Tbl_ResidentData[[#This Row],[PRN Med Discontinued]])))</f>
        <v>0</v>
      </c>
      <c r="BV169" s="121" t="b">
        <f ca="1">AND(Tbl_ResidentData[[#This Row],[PRN Med Started]]&lt;&gt;"",Tbl_ResidentData[[#This Row],[PRN Med Started]]&lt;=NOW(),Tbl_ResidentData[[#This Row],[PRN Med Started]]&lt;=AX$4,OR(Tbl_ResidentData[[#This Row],[PRN Med Discontinued]]&gt;AX$4,ISBLANK(Tbl_ResidentData[[#This Row],[PRN Med Discontinued]])))</f>
        <v>0</v>
      </c>
      <c r="BW169" s="121" t="b">
        <f ca="1">AND(Tbl_ResidentData[[#This Row],[PRN Med Started]]&lt;&gt;"",Tbl_ResidentData[[#This Row],[PRN Med Started]]&lt;=NOW(),Tbl_ResidentData[[#This Row],[PRN Med Started]]&lt;=AY$4,OR(Tbl_ResidentData[[#This Row],[PRN Med Discontinued]]&gt;AY$4,ISBLANK(Tbl_ResidentData[[#This Row],[PRN Med Discontinued]])))</f>
        <v>0</v>
      </c>
      <c r="BX169" s="121" t="b">
        <f ca="1">AND(Tbl_ResidentData[[#This Row],[PRN Med Started]]&lt;&gt;"",Tbl_ResidentData[[#This Row],[PRN Med Started]]&lt;=NOW(),Tbl_ResidentData[[#This Row],[PRN Med Started]]&lt;=AZ$4,OR(Tbl_ResidentData[[#This Row],[PRN Med Discontinued]]&gt;AZ$4,ISBLANK(Tbl_ResidentData[[#This Row],[PRN Med Discontinued]])))</f>
        <v>0</v>
      </c>
      <c r="BY169" s="121" t="b">
        <f ca="1">AND(Tbl_ResidentData[[#This Row],[PRN Med Started]]&lt;&gt;"",Tbl_ResidentData[[#This Row],[PRN Med Started]]&lt;=NOW(),Tbl_ResidentData[[#This Row],[PRN Med Started]]&lt;=BA$4,OR(Tbl_ResidentData[[#This Row],[PRN Med Discontinued]]&gt;BA$4,ISBLANK(Tbl_ResidentData[[#This Row],[PRN Med Discontinued]])))</f>
        <v>0</v>
      </c>
      <c r="BZ169" s="121" t="b">
        <f ca="1">AND(Tbl_ResidentData[[#This Row],[PRN Med Started]]&lt;&gt;"",Tbl_ResidentData[[#This Row],[PRN Med Started]]&lt;=NOW(),Tbl_ResidentData[[#This Row],[PRN Med Started]]&lt;=BB$4,OR(Tbl_ResidentData[[#This Row],[PRN Med Discontinued]]&gt;BB$4,ISBLANK(Tbl_ResidentData[[#This Row],[PRN Med Discontinued]])))</f>
        <v>0</v>
      </c>
      <c r="CA169" s="121" t="b">
        <f ca="1">AND(Tbl_ResidentData[[#This Row],[PRN Med Started]]&lt;&gt;"",Tbl_ResidentData[[#This Row],[PRN Med Started]]&lt;=NOW(),Tbl_ResidentData[[#This Row],[PRN Med Started]]&lt;=BC$4,OR(Tbl_ResidentData[[#This Row],[PRN Med Discontinued]]&gt;BC$4,ISBLANK(Tbl_ResidentData[[#This Row],[PRN Med Discontinued]])))</f>
        <v>0</v>
      </c>
      <c r="CB169" s="121" t="b">
        <f ca="1">AND(Tbl_ResidentData[[#This Row],[PRN Med Started]]&lt;&gt;"",Tbl_ResidentData[[#This Row],[PRN Med Started]]&lt;=NOW(),Tbl_ResidentData[[#This Row],[PRN Med Started]]&lt;=BD$4,OR(Tbl_ResidentData[[#This Row],[PRN Med Discontinued]]&gt;BD$4,ISBLANK(Tbl_ResidentData[[#This Row],[PRN Med Discontinued]])))</f>
        <v>0</v>
      </c>
      <c r="CC169" s="121" t="b">
        <f ca="1">AND(Tbl_ResidentData[[#This Row],[PRN Med Started]]&lt;&gt;"",Tbl_ResidentData[[#This Row],[PRN Med Started]]&lt;=NOW(),Tbl_ResidentData[[#This Row],[PRN Med Started]]&lt;=BE$4,OR(Tbl_ResidentData[[#This Row],[PRN Med Discontinued]]&gt;BE$4,ISBLANK(Tbl_ResidentData[[#This Row],[PRN Med Discontinued]])))</f>
        <v>0</v>
      </c>
      <c r="CD169" s="121" t="b">
        <f ca="1">AND(Tbl_ResidentData[[#This Row],[PRN Med Started]]&lt;&gt;"",Tbl_ResidentData[[#This Row],[PRN Med Started]]&lt;=NOW(),Tbl_ResidentData[[#This Row],[PRN Med Started]]&lt;=BF$4,OR(Tbl_ResidentData[[#This Row],[PRN Med Discontinued]]&gt;BF$4,ISBLANK(Tbl_ResidentData[[#This Row],[PRN Med Discontinued]])))</f>
        <v>0</v>
      </c>
      <c r="CE169" s="121" t="b">
        <f ca="1">AND(Tbl_ResidentData[[#This Row],[PRN Med Started]]&lt;&gt;"",Tbl_ResidentData[[#This Row],[PRN Med Started]]&lt;=NOW(),Tbl_ResidentData[[#This Row],[PRN Med Started]]&lt;=BG$4,OR(Tbl_ResidentData[[#This Row],[PRN Med Discontinued]]&gt;BG$4,ISBLANK(Tbl_ResidentData[[#This Row],[PRN Med Discontinued]])))</f>
        <v>0</v>
      </c>
      <c r="CF169" s="121" t="b">
        <f ca="1">AND(Tbl_ResidentData[[#This Row],[PRN Med Started]]&lt;&gt;"",Tbl_ResidentData[[#This Row],[PRN Med Started]]&lt;=NOW(),Tbl_ResidentData[[#This Row],[PRN Med Started]]&lt;=BH$4,OR(Tbl_ResidentData[[#This Row],[PRN Med Discontinued]]&gt;BH$4,ISBLANK(Tbl_ResidentData[[#This Row],[PRN Med Discontinued]])))</f>
        <v>0</v>
      </c>
      <c r="CG169" s="121" t="b">
        <f ca="1">AND(Tbl_ResidentData[[#This Row],[PRN Med Started]]&lt;&gt;"",Tbl_ResidentData[[#This Row],[PRN Med Started]]&lt;=NOW(),Tbl_ResidentData[[#This Row],[PRN Med Started]]&lt;=BI$4,OR(Tbl_ResidentData[[#This Row],[PRN Med Discontinued]]&gt;BI$4,ISBLANK(Tbl_ResidentData[[#This Row],[PRN Med Discontinued]])))</f>
        <v>0</v>
      </c>
      <c r="CH169" s="121" t="b">
        <f ca="1">AND(Tbl_ResidentData[[#This Row],[PRN Med Started]]&lt;&gt;"",Tbl_ResidentData[[#This Row],[PRN Med Started]]&lt;=NOW(),Tbl_ResidentData[[#This Row],[PRN Med Started]]&lt;=BJ$4,OR(Tbl_ResidentData[[#This Row],[PRN Med Discontinued]]&gt;BJ$4,ISBLANK(Tbl_ResidentData[[#This Row],[PRN Med Discontinued]])))</f>
        <v>0</v>
      </c>
      <c r="CI169" s="121" t="b">
        <f ca="1">AND(Tbl_ResidentData[[#This Row],[PRN Med Started]]&lt;&gt;"",Tbl_ResidentData[[#This Row],[PRN Med Started]]&lt;=NOW(),Tbl_ResidentData[[#This Row],[PRN Med Started]]&lt;=BK$4,OR(Tbl_ResidentData[[#This Row],[PRN Med Discontinued]]&gt;BK$4,ISBLANK(Tbl_ResidentData[[#This Row],[PRN Med Discontinued]])))</f>
        <v>0</v>
      </c>
      <c r="CJ169" s="121" t="b">
        <f ca="1">AND(Tbl_ResidentData[[#This Row],[PRN Med Started]]&lt;&gt;"",Tbl_ResidentData[[#This Row],[PRN Med Started]]&lt;=NOW(),Tbl_ResidentData[[#This Row],[PRN Med Started]]&lt;=BL$4,OR(Tbl_ResidentData[[#This Row],[PRN Med Discontinued]]&gt;BL$4,ISBLANK(Tbl_ResidentData[[#This Row],[PRN Med Discontinued]])))</f>
        <v>0</v>
      </c>
      <c r="CK169" s="121" t="b">
        <f ca="1">AND(Tbl_ResidentData[[#This Row],[PRN Med Started]]&lt;&gt;"",Tbl_ResidentData[[#This Row],[PRN Med Started]]&lt;=NOW(),Tbl_ResidentData[[#This Row],[PRN Med Started]]&lt;=BM$4,OR(Tbl_ResidentData[[#This Row],[PRN Med Discontinued]]&gt;BM$4,ISBLANK(Tbl_ResidentData[[#This Row],[PRN Med Discontinued]])))</f>
        <v>0</v>
      </c>
      <c r="CL169" s="121" t="b">
        <f ca="1">AND(Tbl_ResidentData[[#This Row],[PRN Med Started]]&lt;&gt;"",Tbl_ResidentData[[#This Row],[PRN Med Started]]&lt;=NOW(),Tbl_ResidentData[[#This Row],[PRN Med Started]]&lt;=BN$4,OR(Tbl_ResidentData[[#This Row],[PRN Med Discontinued]]&gt;BN$4,ISBLANK(Tbl_ResidentData[[#This Row],[PRN Med Discontinued]])))</f>
        <v>0</v>
      </c>
      <c r="CM169" s="121" t="b">
        <f ca="1">AND(Tbl_ResidentData[[#This Row],[PRN Med Started]]&lt;&gt;"",Tbl_ResidentData[[#This Row],[PRN Med Started]]&lt;=NOW(),Tbl_ResidentData[[#This Row],[PRN Med Started]]&lt;=BO$4,OR(Tbl_ResidentData[[#This Row],[PRN Med Discontinued]]&gt;BO$4,ISBLANK(Tbl_ResidentData[[#This Row],[PRN Med Discontinued]])))</f>
        <v>0</v>
      </c>
      <c r="CN169" s="122" t="b">
        <f ca="1">AND(Tbl_ResidentData[[#This Row],[PRN Med Started]]&lt;&gt;"",Tbl_ResidentData[[#This Row],[PRN Med Started]]&lt;=NOW(),Tbl_ResidentData[[#This Row],[PRN Med Started]]&lt;=BP$4,OR(Tbl_ResidentData[[#This Row],[PRN Med Discontinued]]&gt;BP$4,ISBLANK(Tbl_ResidentData[[#This Row],[PRN Med Discontinued]])))</f>
        <v>0</v>
      </c>
      <c r="CO169" s="120">
        <f ca="1">IF(OR(Tbl_ResidentData[[#This Row],[S1]]=TRUE,Tbl_ResidentData[[#This Row],[P1]]=TRUE),1,0)</f>
        <v>0</v>
      </c>
      <c r="CP169" s="121">
        <f ca="1">IF(OR(Tbl_ResidentData[[#This Row],[S2]]=TRUE,Tbl_ResidentData[[#This Row],[P2]]=TRUE),1,0)</f>
        <v>0</v>
      </c>
      <c r="CQ169" s="121">
        <f ca="1">IF(OR(Tbl_ResidentData[[#This Row],[S3]]=TRUE,Tbl_ResidentData[[#This Row],[P3]]=TRUE),1,0)</f>
        <v>0</v>
      </c>
      <c r="CR169" s="120">
        <f ca="1">IF(OR(Tbl_ResidentData[[#This Row],[S4]]=TRUE,Tbl_ResidentData[[#This Row],[P4]]=TRUE),1,0)</f>
        <v>0</v>
      </c>
      <c r="CS169" s="120">
        <f ca="1">IF(OR(Tbl_ResidentData[[#This Row],[S5]]=TRUE,Tbl_ResidentData[[#This Row],[P5]]=TRUE),1,0)</f>
        <v>0</v>
      </c>
      <c r="CT169" s="120">
        <f ca="1">IF(OR(Tbl_ResidentData[[#This Row],[S6]]=TRUE,Tbl_ResidentData[[#This Row],[P6]]=TRUE),1,0)</f>
        <v>0</v>
      </c>
      <c r="CU169" s="120">
        <f ca="1">IF(OR(Tbl_ResidentData[[#This Row],[S7]]=TRUE,Tbl_ResidentData[[#This Row],[P7]]=TRUE),1,0)</f>
        <v>0</v>
      </c>
      <c r="CV169" s="120">
        <f ca="1">IF(OR(Tbl_ResidentData[[#This Row],[S8]]=TRUE,Tbl_ResidentData[[#This Row],[P8]]=TRUE),1,0)</f>
        <v>0</v>
      </c>
      <c r="CW169" s="120">
        <f ca="1">IF(OR(Tbl_ResidentData[[#This Row],[S9]]=TRUE,Tbl_ResidentData[[#This Row],[P9]]=TRUE),1,0)</f>
        <v>0</v>
      </c>
      <c r="CX169" s="120">
        <f ca="1">IF(OR(Tbl_ResidentData[[#This Row],[S10]]=TRUE,Tbl_ResidentData[[#This Row],[P10]]=TRUE),1,0)</f>
        <v>0</v>
      </c>
      <c r="CY169" s="120">
        <f ca="1">IF(OR(Tbl_ResidentData[[#This Row],[S11]]=TRUE,Tbl_ResidentData[[#This Row],[P11]]=TRUE),1,0)</f>
        <v>0</v>
      </c>
      <c r="CZ169" s="120">
        <f ca="1">IF(OR(Tbl_ResidentData[[#This Row],[S12]]=TRUE,Tbl_ResidentData[[#This Row],[P12]]=TRUE),1,0)</f>
        <v>0</v>
      </c>
      <c r="DA169" s="120">
        <f ca="1">IF(OR(Tbl_ResidentData[[#This Row],[S13]]=TRUE,Tbl_ResidentData[[#This Row],[P13]]=TRUE),1,0)</f>
        <v>0</v>
      </c>
      <c r="DB169" s="120">
        <f ca="1">IF(OR(Tbl_ResidentData[[#This Row],[S14]]=TRUE,Tbl_ResidentData[[#This Row],[P14]]=TRUE),1,0)</f>
        <v>0</v>
      </c>
      <c r="DC169" s="120">
        <f ca="1">IF(OR(Tbl_ResidentData[[#This Row],[S15]]=TRUE,Tbl_ResidentData[[#This Row],[P15]]=TRUE),1,0)</f>
        <v>0</v>
      </c>
      <c r="DD169" s="120">
        <f ca="1">IF(OR(Tbl_ResidentData[[#This Row],[S16]]=TRUE,Tbl_ResidentData[[#This Row],[P16]]=TRUE),1,0)</f>
        <v>0</v>
      </c>
      <c r="DE169" s="120">
        <f ca="1">IF(OR(Tbl_ResidentData[[#This Row],[S17]]=TRUE,Tbl_ResidentData[[#This Row],[P17]]=TRUE),1,0)</f>
        <v>0</v>
      </c>
      <c r="DF169" s="120">
        <f ca="1">IF(OR(Tbl_ResidentData[[#This Row],[S18]]=TRUE,Tbl_ResidentData[[#This Row],[P18]]=TRUE),1,0)</f>
        <v>0</v>
      </c>
      <c r="DG169" s="120">
        <f ca="1">IF(OR(Tbl_ResidentData[[#This Row],[S19]]=TRUE,Tbl_ResidentData[[#This Row],[P19]]=TRUE),1,0)</f>
        <v>0</v>
      </c>
      <c r="DH169" s="120">
        <f ca="1">IF(OR(Tbl_ResidentData[[#This Row],[S20]]=TRUE,Tbl_ResidentData[[#This Row],[P20]]=TRUE),1,0)</f>
        <v>0</v>
      </c>
      <c r="DI169" s="120">
        <f ca="1">IF(OR(Tbl_ResidentData[[#This Row],[S21]]=TRUE,Tbl_ResidentData[[#This Row],[P21]]=TRUE),1,0)</f>
        <v>0</v>
      </c>
      <c r="DJ169" s="120">
        <f ca="1">IF(OR(Tbl_ResidentData[[#This Row],[S22]]=TRUE,Tbl_ResidentData[[#This Row],[P22]]=TRUE),1,0)</f>
        <v>0</v>
      </c>
      <c r="DK169" s="120">
        <f ca="1">IF(OR(Tbl_ResidentData[[#This Row],[S23]]=TRUE,Tbl_ResidentData[[#This Row],[P23]]=TRUE),1,0)</f>
        <v>0</v>
      </c>
      <c r="DL169" s="120">
        <f ca="1">IF(OR(Tbl_ResidentData[[#This Row],[S24]]=TRUE,Tbl_ResidentData[[#This Row],[P24]]=TRUE),1,0)</f>
        <v>0</v>
      </c>
      <c r="DM169" s="123" t="str">
        <f ca="1">IFERROR(INDEX($CO$4:$DL$4,MATCH(TRUE,INDEX((Tbl_ResidentData[[#This Row],[Over1]:[Over24]]&lt;&gt;0),0),0)),"")</f>
        <v/>
      </c>
      <c r="DN169" s="133" t="str">
        <f>IFERROR(INDEX(Tbl_PDSAData[Last DRT],MATCH(Tbl_ResidentData[Resident Name '[last, first']],Tbl_PDSAData[Resident Name (last, first)],0)),"")</f>
        <v/>
      </c>
      <c r="DO169" s="222" t="str">
        <f>IFERROR(INDEX(Tbl_PDSAData[Last MR],MATCH(Tbl_ResidentData[Resident Name '[last, first']],Tbl_PDSAData[Resident Name (last, first)],0)),"")</f>
        <v/>
      </c>
    </row>
    <row r="170" spans="1:119" x14ac:dyDescent="0.25">
      <c r="A170" s="179"/>
      <c r="B170" s="180"/>
      <c r="C170" s="180"/>
      <c r="D170" s="218"/>
      <c r="E170" s="179"/>
      <c r="F170" s="179"/>
      <c r="G170" s="181"/>
      <c r="H170" s="375"/>
      <c r="I170" s="185"/>
      <c r="J170" s="387"/>
      <c r="K170" s="178"/>
      <c r="L170" s="388"/>
      <c r="M170" s="185"/>
      <c r="N170" s="386"/>
      <c r="O170" s="178"/>
      <c r="P170" s="388"/>
      <c r="Q170" s="394"/>
      <c r="R170" s="388"/>
      <c r="S170" s="131" t="str">
        <f>IF(ISBLANK(Tbl_ResidentData[[#This Row],[Discharge '[mmm-yyyy']]]),IF(ISBLANK(Tbl_ResidentData[[#This Row],[Enrollment '[mmm-yyyy']]]),"","In Care Home"),"Discharged")</f>
        <v/>
      </c>
      <c r="T170" s="119" t="str">
        <f>IF(ISBLANK(Tbl_ResidentData[[#This Row],[Diagnosis (RAI)]]),IF(ISBLANK(Tbl_ResidentData[[#This Row],[Resident Name '[last, first']]]),"",0),IF(Tbl_ResidentData[[#This Row],[Diagnosis (RAI)]]="Other (see clinical notes)",0,1))</f>
        <v/>
      </c>
      <c r="U170" s="120" t="str">
        <f ca="1">IF(U$4&gt;NOW(),"-",IF(ISBLANK(Tbl_ResidentData[[#This Row],[Enrollment '[mmm-yyyy']]]),"-",AND((Tbl_ResidentData[[#This Row],[Enrollment '[mmm-yyyy']]]&lt;=U$4),IF(ISBLANK(Tbl_ResidentData[[#This Row],[Discharge '[mmm-yyyy']]]),TRUE,(Tbl_ResidentData[[#This Row],[Discharge '[mmm-yyyy']]]&gt;=U$4)))))</f>
        <v>-</v>
      </c>
      <c r="V170" s="121" t="str">
        <f ca="1">IF(V$4&gt;NOW(),"-",IF(ISBLANK(Tbl_ResidentData[[#This Row],[Enrollment '[mmm-yyyy']]]),"-",AND((Tbl_ResidentData[[#This Row],[Enrollment '[mmm-yyyy']]]&lt;=V$4),IF(ISBLANK(Tbl_ResidentData[[#This Row],[Discharge '[mmm-yyyy']]]),TRUE,(Tbl_ResidentData[[#This Row],[Discharge '[mmm-yyyy']]]&gt;=V$4)))))</f>
        <v>-</v>
      </c>
      <c r="W170" s="121" t="str">
        <f ca="1">IF(W$4&gt;NOW(),"-",IF(ISBLANK(Tbl_ResidentData[[#This Row],[Enrollment '[mmm-yyyy']]]),"-",AND((Tbl_ResidentData[[#This Row],[Enrollment '[mmm-yyyy']]]&lt;=W$4),IF(ISBLANK(Tbl_ResidentData[[#This Row],[Discharge '[mmm-yyyy']]]),TRUE,(Tbl_ResidentData[[#This Row],[Discharge '[mmm-yyyy']]]&gt;=W$4)))))</f>
        <v>-</v>
      </c>
      <c r="X170" s="121" t="str">
        <f ca="1">IF(X$4&gt;NOW(),"-",IF(ISBLANK(Tbl_ResidentData[[#This Row],[Enrollment '[mmm-yyyy']]]),"-",AND((Tbl_ResidentData[[#This Row],[Enrollment '[mmm-yyyy']]]&lt;=X$4),IF(ISBLANK(Tbl_ResidentData[[#This Row],[Discharge '[mmm-yyyy']]]),TRUE,(Tbl_ResidentData[[#This Row],[Discharge '[mmm-yyyy']]]&gt;=X$4)))))</f>
        <v>-</v>
      </c>
      <c r="Y170" s="121" t="str">
        <f ca="1">IF(Y$4&gt;NOW(),"-",IF(ISBLANK(Tbl_ResidentData[[#This Row],[Enrollment '[mmm-yyyy']]]),"-",AND((Tbl_ResidentData[[#This Row],[Enrollment '[mmm-yyyy']]]&lt;=Y$4),IF(ISBLANK(Tbl_ResidentData[[#This Row],[Discharge '[mmm-yyyy']]]),TRUE,(Tbl_ResidentData[[#This Row],[Discharge '[mmm-yyyy']]]&gt;=Y$4)))))</f>
        <v>-</v>
      </c>
      <c r="Z170" s="121" t="str">
        <f ca="1">IF(Z$4&gt;NOW(),"-",IF(ISBLANK(Tbl_ResidentData[[#This Row],[Enrollment '[mmm-yyyy']]]),"-",AND((Tbl_ResidentData[[#This Row],[Enrollment '[mmm-yyyy']]]&lt;=Z$4),IF(ISBLANK(Tbl_ResidentData[[#This Row],[Discharge '[mmm-yyyy']]]),TRUE,(Tbl_ResidentData[[#This Row],[Discharge '[mmm-yyyy']]]&gt;=Z$4)))))</f>
        <v>-</v>
      </c>
      <c r="AA170" s="121" t="str">
        <f ca="1">IF(AA$4&gt;NOW(),"-",IF(ISBLANK(Tbl_ResidentData[[#This Row],[Enrollment '[mmm-yyyy']]]),"-",AND((Tbl_ResidentData[[#This Row],[Enrollment '[mmm-yyyy']]]&lt;=AA$4),IF(ISBLANK(Tbl_ResidentData[[#This Row],[Discharge '[mmm-yyyy']]]),TRUE,(Tbl_ResidentData[[#This Row],[Discharge '[mmm-yyyy']]]&gt;=AA$4)))))</f>
        <v>-</v>
      </c>
      <c r="AB170" s="121" t="str">
        <f ca="1">IF(AB$4&gt;NOW(),"-",IF(ISBLANK(Tbl_ResidentData[[#This Row],[Enrollment '[mmm-yyyy']]]),"-",AND((Tbl_ResidentData[[#This Row],[Enrollment '[mmm-yyyy']]]&lt;=AB$4),IF(ISBLANK(Tbl_ResidentData[[#This Row],[Discharge '[mmm-yyyy']]]),TRUE,(Tbl_ResidentData[[#This Row],[Discharge '[mmm-yyyy']]]&gt;=AB$4)))))</f>
        <v>-</v>
      </c>
      <c r="AC170" s="121" t="str">
        <f ca="1">IF(AC$4&gt;NOW(),"-",IF(ISBLANK(Tbl_ResidentData[[#This Row],[Enrollment '[mmm-yyyy']]]),"-",AND((Tbl_ResidentData[[#This Row],[Enrollment '[mmm-yyyy']]]&lt;=AC$4),IF(ISBLANK(Tbl_ResidentData[[#This Row],[Discharge '[mmm-yyyy']]]),TRUE,(Tbl_ResidentData[[#This Row],[Discharge '[mmm-yyyy']]]&gt;=AC$4)))))</f>
        <v>-</v>
      </c>
      <c r="AD170" s="121" t="str">
        <f ca="1">IF(AD$4&gt;NOW(),"-",IF(ISBLANK(Tbl_ResidentData[[#This Row],[Enrollment '[mmm-yyyy']]]),"-",AND((Tbl_ResidentData[[#This Row],[Enrollment '[mmm-yyyy']]]&lt;=AD$4),IF(ISBLANK(Tbl_ResidentData[[#This Row],[Discharge '[mmm-yyyy']]]),TRUE,(Tbl_ResidentData[[#This Row],[Discharge '[mmm-yyyy']]]&gt;=AD$4)))))</f>
        <v>-</v>
      </c>
      <c r="AE170" s="121" t="str">
        <f ca="1">IF(AE$4&gt;NOW(),"-",IF(ISBLANK(Tbl_ResidentData[[#This Row],[Enrollment '[mmm-yyyy']]]),"-",AND((Tbl_ResidentData[[#This Row],[Enrollment '[mmm-yyyy']]]&lt;=AE$4),IF(ISBLANK(Tbl_ResidentData[[#This Row],[Discharge '[mmm-yyyy']]]),TRUE,(Tbl_ResidentData[[#This Row],[Discharge '[mmm-yyyy']]]&gt;=AE$4)))))</f>
        <v>-</v>
      </c>
      <c r="AF170" s="121" t="str">
        <f ca="1">IF(AF$4&gt;NOW(),"-",IF(ISBLANK(Tbl_ResidentData[[#This Row],[Enrollment '[mmm-yyyy']]]),"-",AND((Tbl_ResidentData[[#This Row],[Enrollment '[mmm-yyyy']]]&lt;=AF$4),IF(ISBLANK(Tbl_ResidentData[[#This Row],[Discharge '[mmm-yyyy']]]),TRUE,(Tbl_ResidentData[[#This Row],[Discharge '[mmm-yyyy']]]&gt;=AF$4)))))</f>
        <v>-</v>
      </c>
      <c r="AG170" s="121" t="str">
        <f ca="1">IF(AG$4&gt;NOW(),"-",IF(ISBLANK(Tbl_ResidentData[[#This Row],[Enrollment '[mmm-yyyy']]]),"-",AND((Tbl_ResidentData[[#This Row],[Enrollment '[mmm-yyyy']]]&lt;=AG$4),IF(ISBLANK(Tbl_ResidentData[[#This Row],[Discharge '[mmm-yyyy']]]),TRUE,(Tbl_ResidentData[[#This Row],[Discharge '[mmm-yyyy']]]&gt;=AG$4)))))</f>
        <v>-</v>
      </c>
      <c r="AH170" s="121" t="str">
        <f ca="1">IF(AH$4&gt;NOW(),"-",IF(ISBLANK(Tbl_ResidentData[[#This Row],[Enrollment '[mmm-yyyy']]]),"-",AND((Tbl_ResidentData[[#This Row],[Enrollment '[mmm-yyyy']]]&lt;=AH$4),IF(ISBLANK(Tbl_ResidentData[[#This Row],[Discharge '[mmm-yyyy']]]),TRUE,(Tbl_ResidentData[[#This Row],[Discharge '[mmm-yyyy']]]&gt;=AH$4)))))</f>
        <v>-</v>
      </c>
      <c r="AI170" s="121" t="str">
        <f ca="1">IF(AI$4&gt;NOW(),"-",IF(ISBLANK(Tbl_ResidentData[[#This Row],[Enrollment '[mmm-yyyy']]]),"-",AND((Tbl_ResidentData[[#This Row],[Enrollment '[mmm-yyyy']]]&lt;=AI$4),IF(ISBLANK(Tbl_ResidentData[[#This Row],[Discharge '[mmm-yyyy']]]),TRUE,(Tbl_ResidentData[[#This Row],[Discharge '[mmm-yyyy']]]&gt;=AI$4)))))</f>
        <v>-</v>
      </c>
      <c r="AJ170" s="121" t="str">
        <f ca="1">IF(AJ$4&gt;NOW(),"-",IF(ISBLANK(Tbl_ResidentData[[#This Row],[Enrollment '[mmm-yyyy']]]),"-",AND((Tbl_ResidentData[[#This Row],[Enrollment '[mmm-yyyy']]]&lt;=AJ$4),IF(ISBLANK(Tbl_ResidentData[[#This Row],[Discharge '[mmm-yyyy']]]),TRUE,(Tbl_ResidentData[[#This Row],[Discharge '[mmm-yyyy']]]&gt;=AJ$4)))))</f>
        <v>-</v>
      </c>
      <c r="AK170" s="121" t="str">
        <f ca="1">IF(AK$4&gt;NOW(),"-",IF(ISBLANK(Tbl_ResidentData[[#This Row],[Enrollment '[mmm-yyyy']]]),"-",AND((Tbl_ResidentData[[#This Row],[Enrollment '[mmm-yyyy']]]&lt;=AK$4),IF(ISBLANK(Tbl_ResidentData[[#This Row],[Discharge '[mmm-yyyy']]]),TRUE,(Tbl_ResidentData[[#This Row],[Discharge '[mmm-yyyy']]]&gt;=AK$4)))))</f>
        <v>-</v>
      </c>
      <c r="AL170" s="121" t="str">
        <f ca="1">IF(AL$4&gt;NOW(),"-",IF(ISBLANK(Tbl_ResidentData[[#This Row],[Enrollment '[mmm-yyyy']]]),"-",AND((Tbl_ResidentData[[#This Row],[Enrollment '[mmm-yyyy']]]&lt;=AL$4),IF(ISBLANK(Tbl_ResidentData[[#This Row],[Discharge '[mmm-yyyy']]]),TRUE,(Tbl_ResidentData[[#This Row],[Discharge '[mmm-yyyy']]]&gt;=AL$4)))))</f>
        <v>-</v>
      </c>
      <c r="AM170" s="121" t="str">
        <f ca="1">IF(AM$4&gt;NOW(),"-",IF(ISBLANK(Tbl_ResidentData[[#This Row],[Enrollment '[mmm-yyyy']]]),"-",AND((Tbl_ResidentData[[#This Row],[Enrollment '[mmm-yyyy']]]&lt;=AM$4),IF(ISBLANK(Tbl_ResidentData[[#This Row],[Discharge '[mmm-yyyy']]]),TRUE,(Tbl_ResidentData[[#This Row],[Discharge '[mmm-yyyy']]]&gt;=AM$4)))))</f>
        <v>-</v>
      </c>
      <c r="AN170" s="121" t="str">
        <f ca="1">IF(AN$4&gt;NOW(),"-",IF(ISBLANK(Tbl_ResidentData[[#This Row],[Enrollment '[mmm-yyyy']]]),"-",AND((Tbl_ResidentData[[#This Row],[Enrollment '[mmm-yyyy']]]&lt;=AN$4),IF(ISBLANK(Tbl_ResidentData[[#This Row],[Discharge '[mmm-yyyy']]]),TRUE,(Tbl_ResidentData[[#This Row],[Discharge '[mmm-yyyy']]]&gt;=AN$4)))))</f>
        <v>-</v>
      </c>
      <c r="AO170" s="121" t="str">
        <f ca="1">IF(AO$4&gt;NOW(),"-",IF(ISBLANK(Tbl_ResidentData[[#This Row],[Enrollment '[mmm-yyyy']]]),"-",AND((Tbl_ResidentData[[#This Row],[Enrollment '[mmm-yyyy']]]&lt;=AO$4),IF(ISBLANK(Tbl_ResidentData[[#This Row],[Discharge '[mmm-yyyy']]]),TRUE,(Tbl_ResidentData[[#This Row],[Discharge '[mmm-yyyy']]]&gt;=AO$4)))))</f>
        <v>-</v>
      </c>
      <c r="AP170" s="121" t="str">
        <f ca="1">IF(AP$4&gt;NOW(),"-",IF(ISBLANK(Tbl_ResidentData[[#This Row],[Enrollment '[mmm-yyyy']]]),"-",AND((Tbl_ResidentData[[#This Row],[Enrollment '[mmm-yyyy']]]&lt;=AP$4),IF(ISBLANK(Tbl_ResidentData[[#This Row],[Discharge '[mmm-yyyy']]]),TRUE,(Tbl_ResidentData[[#This Row],[Discharge '[mmm-yyyy']]]&gt;=AP$4)))))</f>
        <v>-</v>
      </c>
      <c r="AQ170" s="121" t="str">
        <f ca="1">IF(AQ$4&gt;NOW(),"-",IF(ISBLANK(Tbl_ResidentData[[#This Row],[Enrollment '[mmm-yyyy']]]),"-",AND((Tbl_ResidentData[[#This Row],[Enrollment '[mmm-yyyy']]]&lt;=AQ$4),IF(ISBLANK(Tbl_ResidentData[[#This Row],[Discharge '[mmm-yyyy']]]),TRUE,(Tbl_ResidentData[[#This Row],[Discharge '[mmm-yyyy']]]&gt;=AQ$4)))))</f>
        <v>-</v>
      </c>
      <c r="AR170" s="122" t="str">
        <f ca="1">IF(AR$4&gt;NOW(),"-",IF(ISBLANK(Tbl_ResidentData[[#This Row],[Enrollment '[mmm-yyyy']]]),"-",AND((Tbl_ResidentData[[#This Row],[Enrollment '[mmm-yyyy']]]&lt;=AR$4),IF(ISBLANK(Tbl_ResidentData[[#This Row],[Discharge '[mmm-yyyy']]]),TRUE,(Tbl_ResidentData[[#This Row],[Discharge '[mmm-yyyy']]]&gt;=AR$4)))))</f>
        <v>-</v>
      </c>
      <c r="AS17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0" s="120" t="b">
        <f ca="1">AND(Tbl_ResidentData[[#This Row],[PRN Med Started]]&lt;&gt;"",Tbl_ResidentData[[#This Row],[PRN Med Started]]&lt;=NOW(),Tbl_ResidentData[[#This Row],[PRN Med Started]]&lt;=AS$4,OR(Tbl_ResidentData[[#This Row],[PRN Med Discontinued]]&gt;AS$4,ISBLANK(Tbl_ResidentData[[#This Row],[PRN Med Discontinued]])))</f>
        <v>0</v>
      </c>
      <c r="BR170" s="121" t="b">
        <f ca="1">AND(Tbl_ResidentData[[#This Row],[PRN Med Started]]&lt;&gt;"",Tbl_ResidentData[[#This Row],[PRN Med Started]]&lt;=NOW(),Tbl_ResidentData[[#This Row],[PRN Med Started]]&lt;=AT$4,OR(Tbl_ResidentData[[#This Row],[PRN Med Discontinued]]&gt;AT$4,ISBLANK(Tbl_ResidentData[[#This Row],[PRN Med Discontinued]])))</f>
        <v>0</v>
      </c>
      <c r="BS170" s="121" t="b">
        <f ca="1">AND(Tbl_ResidentData[[#This Row],[PRN Med Started]]&lt;&gt;"",Tbl_ResidentData[[#This Row],[PRN Med Started]]&lt;=NOW(),Tbl_ResidentData[[#This Row],[PRN Med Started]]&lt;=AU$4,OR(Tbl_ResidentData[[#This Row],[PRN Med Discontinued]]&gt;AU$4,ISBLANK(Tbl_ResidentData[[#This Row],[PRN Med Discontinued]])))</f>
        <v>0</v>
      </c>
      <c r="BT170" s="121" t="b">
        <f ca="1">AND(Tbl_ResidentData[[#This Row],[PRN Med Started]]&lt;&gt;"",Tbl_ResidentData[[#This Row],[PRN Med Started]]&lt;=NOW(),Tbl_ResidentData[[#This Row],[PRN Med Started]]&lt;=AV$4,OR(Tbl_ResidentData[[#This Row],[PRN Med Discontinued]]&gt;AV$4,ISBLANK(Tbl_ResidentData[[#This Row],[PRN Med Discontinued]])))</f>
        <v>0</v>
      </c>
      <c r="BU170" s="121" t="b">
        <f ca="1">AND(Tbl_ResidentData[[#This Row],[PRN Med Started]]&lt;&gt;"",Tbl_ResidentData[[#This Row],[PRN Med Started]]&lt;=NOW(),Tbl_ResidentData[[#This Row],[PRN Med Started]]&lt;=AW$4,OR(Tbl_ResidentData[[#This Row],[PRN Med Discontinued]]&gt;AW$4,ISBLANK(Tbl_ResidentData[[#This Row],[PRN Med Discontinued]])))</f>
        <v>0</v>
      </c>
      <c r="BV170" s="121" t="b">
        <f ca="1">AND(Tbl_ResidentData[[#This Row],[PRN Med Started]]&lt;&gt;"",Tbl_ResidentData[[#This Row],[PRN Med Started]]&lt;=NOW(),Tbl_ResidentData[[#This Row],[PRN Med Started]]&lt;=AX$4,OR(Tbl_ResidentData[[#This Row],[PRN Med Discontinued]]&gt;AX$4,ISBLANK(Tbl_ResidentData[[#This Row],[PRN Med Discontinued]])))</f>
        <v>0</v>
      </c>
      <c r="BW170" s="121" t="b">
        <f ca="1">AND(Tbl_ResidentData[[#This Row],[PRN Med Started]]&lt;&gt;"",Tbl_ResidentData[[#This Row],[PRN Med Started]]&lt;=NOW(),Tbl_ResidentData[[#This Row],[PRN Med Started]]&lt;=AY$4,OR(Tbl_ResidentData[[#This Row],[PRN Med Discontinued]]&gt;AY$4,ISBLANK(Tbl_ResidentData[[#This Row],[PRN Med Discontinued]])))</f>
        <v>0</v>
      </c>
      <c r="BX170" s="121" t="b">
        <f ca="1">AND(Tbl_ResidentData[[#This Row],[PRN Med Started]]&lt;&gt;"",Tbl_ResidentData[[#This Row],[PRN Med Started]]&lt;=NOW(),Tbl_ResidentData[[#This Row],[PRN Med Started]]&lt;=AZ$4,OR(Tbl_ResidentData[[#This Row],[PRN Med Discontinued]]&gt;AZ$4,ISBLANK(Tbl_ResidentData[[#This Row],[PRN Med Discontinued]])))</f>
        <v>0</v>
      </c>
      <c r="BY170" s="121" t="b">
        <f ca="1">AND(Tbl_ResidentData[[#This Row],[PRN Med Started]]&lt;&gt;"",Tbl_ResidentData[[#This Row],[PRN Med Started]]&lt;=NOW(),Tbl_ResidentData[[#This Row],[PRN Med Started]]&lt;=BA$4,OR(Tbl_ResidentData[[#This Row],[PRN Med Discontinued]]&gt;BA$4,ISBLANK(Tbl_ResidentData[[#This Row],[PRN Med Discontinued]])))</f>
        <v>0</v>
      </c>
      <c r="BZ170" s="121" t="b">
        <f ca="1">AND(Tbl_ResidentData[[#This Row],[PRN Med Started]]&lt;&gt;"",Tbl_ResidentData[[#This Row],[PRN Med Started]]&lt;=NOW(),Tbl_ResidentData[[#This Row],[PRN Med Started]]&lt;=BB$4,OR(Tbl_ResidentData[[#This Row],[PRN Med Discontinued]]&gt;BB$4,ISBLANK(Tbl_ResidentData[[#This Row],[PRN Med Discontinued]])))</f>
        <v>0</v>
      </c>
      <c r="CA170" s="121" t="b">
        <f ca="1">AND(Tbl_ResidentData[[#This Row],[PRN Med Started]]&lt;&gt;"",Tbl_ResidentData[[#This Row],[PRN Med Started]]&lt;=NOW(),Tbl_ResidentData[[#This Row],[PRN Med Started]]&lt;=BC$4,OR(Tbl_ResidentData[[#This Row],[PRN Med Discontinued]]&gt;BC$4,ISBLANK(Tbl_ResidentData[[#This Row],[PRN Med Discontinued]])))</f>
        <v>0</v>
      </c>
      <c r="CB170" s="121" t="b">
        <f ca="1">AND(Tbl_ResidentData[[#This Row],[PRN Med Started]]&lt;&gt;"",Tbl_ResidentData[[#This Row],[PRN Med Started]]&lt;=NOW(),Tbl_ResidentData[[#This Row],[PRN Med Started]]&lt;=BD$4,OR(Tbl_ResidentData[[#This Row],[PRN Med Discontinued]]&gt;BD$4,ISBLANK(Tbl_ResidentData[[#This Row],[PRN Med Discontinued]])))</f>
        <v>0</v>
      </c>
      <c r="CC170" s="121" t="b">
        <f ca="1">AND(Tbl_ResidentData[[#This Row],[PRN Med Started]]&lt;&gt;"",Tbl_ResidentData[[#This Row],[PRN Med Started]]&lt;=NOW(),Tbl_ResidentData[[#This Row],[PRN Med Started]]&lt;=BE$4,OR(Tbl_ResidentData[[#This Row],[PRN Med Discontinued]]&gt;BE$4,ISBLANK(Tbl_ResidentData[[#This Row],[PRN Med Discontinued]])))</f>
        <v>0</v>
      </c>
      <c r="CD170" s="121" t="b">
        <f ca="1">AND(Tbl_ResidentData[[#This Row],[PRN Med Started]]&lt;&gt;"",Tbl_ResidentData[[#This Row],[PRN Med Started]]&lt;=NOW(),Tbl_ResidentData[[#This Row],[PRN Med Started]]&lt;=BF$4,OR(Tbl_ResidentData[[#This Row],[PRN Med Discontinued]]&gt;BF$4,ISBLANK(Tbl_ResidentData[[#This Row],[PRN Med Discontinued]])))</f>
        <v>0</v>
      </c>
      <c r="CE170" s="121" t="b">
        <f ca="1">AND(Tbl_ResidentData[[#This Row],[PRN Med Started]]&lt;&gt;"",Tbl_ResidentData[[#This Row],[PRN Med Started]]&lt;=NOW(),Tbl_ResidentData[[#This Row],[PRN Med Started]]&lt;=BG$4,OR(Tbl_ResidentData[[#This Row],[PRN Med Discontinued]]&gt;BG$4,ISBLANK(Tbl_ResidentData[[#This Row],[PRN Med Discontinued]])))</f>
        <v>0</v>
      </c>
      <c r="CF170" s="121" t="b">
        <f ca="1">AND(Tbl_ResidentData[[#This Row],[PRN Med Started]]&lt;&gt;"",Tbl_ResidentData[[#This Row],[PRN Med Started]]&lt;=NOW(),Tbl_ResidentData[[#This Row],[PRN Med Started]]&lt;=BH$4,OR(Tbl_ResidentData[[#This Row],[PRN Med Discontinued]]&gt;BH$4,ISBLANK(Tbl_ResidentData[[#This Row],[PRN Med Discontinued]])))</f>
        <v>0</v>
      </c>
      <c r="CG170" s="121" t="b">
        <f ca="1">AND(Tbl_ResidentData[[#This Row],[PRN Med Started]]&lt;&gt;"",Tbl_ResidentData[[#This Row],[PRN Med Started]]&lt;=NOW(),Tbl_ResidentData[[#This Row],[PRN Med Started]]&lt;=BI$4,OR(Tbl_ResidentData[[#This Row],[PRN Med Discontinued]]&gt;BI$4,ISBLANK(Tbl_ResidentData[[#This Row],[PRN Med Discontinued]])))</f>
        <v>0</v>
      </c>
      <c r="CH170" s="121" t="b">
        <f ca="1">AND(Tbl_ResidentData[[#This Row],[PRN Med Started]]&lt;&gt;"",Tbl_ResidentData[[#This Row],[PRN Med Started]]&lt;=NOW(),Tbl_ResidentData[[#This Row],[PRN Med Started]]&lt;=BJ$4,OR(Tbl_ResidentData[[#This Row],[PRN Med Discontinued]]&gt;BJ$4,ISBLANK(Tbl_ResidentData[[#This Row],[PRN Med Discontinued]])))</f>
        <v>0</v>
      </c>
      <c r="CI170" s="121" t="b">
        <f ca="1">AND(Tbl_ResidentData[[#This Row],[PRN Med Started]]&lt;&gt;"",Tbl_ResidentData[[#This Row],[PRN Med Started]]&lt;=NOW(),Tbl_ResidentData[[#This Row],[PRN Med Started]]&lt;=BK$4,OR(Tbl_ResidentData[[#This Row],[PRN Med Discontinued]]&gt;BK$4,ISBLANK(Tbl_ResidentData[[#This Row],[PRN Med Discontinued]])))</f>
        <v>0</v>
      </c>
      <c r="CJ170" s="121" t="b">
        <f ca="1">AND(Tbl_ResidentData[[#This Row],[PRN Med Started]]&lt;&gt;"",Tbl_ResidentData[[#This Row],[PRN Med Started]]&lt;=NOW(),Tbl_ResidentData[[#This Row],[PRN Med Started]]&lt;=BL$4,OR(Tbl_ResidentData[[#This Row],[PRN Med Discontinued]]&gt;BL$4,ISBLANK(Tbl_ResidentData[[#This Row],[PRN Med Discontinued]])))</f>
        <v>0</v>
      </c>
      <c r="CK170" s="121" t="b">
        <f ca="1">AND(Tbl_ResidentData[[#This Row],[PRN Med Started]]&lt;&gt;"",Tbl_ResidentData[[#This Row],[PRN Med Started]]&lt;=NOW(),Tbl_ResidentData[[#This Row],[PRN Med Started]]&lt;=BM$4,OR(Tbl_ResidentData[[#This Row],[PRN Med Discontinued]]&gt;BM$4,ISBLANK(Tbl_ResidentData[[#This Row],[PRN Med Discontinued]])))</f>
        <v>0</v>
      </c>
      <c r="CL170" s="121" t="b">
        <f ca="1">AND(Tbl_ResidentData[[#This Row],[PRN Med Started]]&lt;&gt;"",Tbl_ResidentData[[#This Row],[PRN Med Started]]&lt;=NOW(),Tbl_ResidentData[[#This Row],[PRN Med Started]]&lt;=BN$4,OR(Tbl_ResidentData[[#This Row],[PRN Med Discontinued]]&gt;BN$4,ISBLANK(Tbl_ResidentData[[#This Row],[PRN Med Discontinued]])))</f>
        <v>0</v>
      </c>
      <c r="CM170" s="121" t="b">
        <f ca="1">AND(Tbl_ResidentData[[#This Row],[PRN Med Started]]&lt;&gt;"",Tbl_ResidentData[[#This Row],[PRN Med Started]]&lt;=NOW(),Tbl_ResidentData[[#This Row],[PRN Med Started]]&lt;=BO$4,OR(Tbl_ResidentData[[#This Row],[PRN Med Discontinued]]&gt;BO$4,ISBLANK(Tbl_ResidentData[[#This Row],[PRN Med Discontinued]])))</f>
        <v>0</v>
      </c>
      <c r="CN170" s="122" t="b">
        <f ca="1">AND(Tbl_ResidentData[[#This Row],[PRN Med Started]]&lt;&gt;"",Tbl_ResidentData[[#This Row],[PRN Med Started]]&lt;=NOW(),Tbl_ResidentData[[#This Row],[PRN Med Started]]&lt;=BP$4,OR(Tbl_ResidentData[[#This Row],[PRN Med Discontinued]]&gt;BP$4,ISBLANK(Tbl_ResidentData[[#This Row],[PRN Med Discontinued]])))</f>
        <v>0</v>
      </c>
      <c r="CO170" s="120">
        <f ca="1">IF(OR(Tbl_ResidentData[[#This Row],[S1]]=TRUE,Tbl_ResidentData[[#This Row],[P1]]=TRUE),1,0)</f>
        <v>0</v>
      </c>
      <c r="CP170" s="121">
        <f ca="1">IF(OR(Tbl_ResidentData[[#This Row],[S2]]=TRUE,Tbl_ResidentData[[#This Row],[P2]]=TRUE),1,0)</f>
        <v>0</v>
      </c>
      <c r="CQ170" s="121">
        <f ca="1">IF(OR(Tbl_ResidentData[[#This Row],[S3]]=TRUE,Tbl_ResidentData[[#This Row],[P3]]=TRUE),1,0)</f>
        <v>0</v>
      </c>
      <c r="CR170" s="120">
        <f ca="1">IF(OR(Tbl_ResidentData[[#This Row],[S4]]=TRUE,Tbl_ResidentData[[#This Row],[P4]]=TRUE),1,0)</f>
        <v>0</v>
      </c>
      <c r="CS170" s="120">
        <f ca="1">IF(OR(Tbl_ResidentData[[#This Row],[S5]]=TRUE,Tbl_ResidentData[[#This Row],[P5]]=TRUE),1,0)</f>
        <v>0</v>
      </c>
      <c r="CT170" s="120">
        <f ca="1">IF(OR(Tbl_ResidentData[[#This Row],[S6]]=TRUE,Tbl_ResidentData[[#This Row],[P6]]=TRUE),1,0)</f>
        <v>0</v>
      </c>
      <c r="CU170" s="120">
        <f ca="1">IF(OR(Tbl_ResidentData[[#This Row],[S7]]=TRUE,Tbl_ResidentData[[#This Row],[P7]]=TRUE),1,0)</f>
        <v>0</v>
      </c>
      <c r="CV170" s="120">
        <f ca="1">IF(OR(Tbl_ResidentData[[#This Row],[S8]]=TRUE,Tbl_ResidentData[[#This Row],[P8]]=TRUE),1,0)</f>
        <v>0</v>
      </c>
      <c r="CW170" s="120">
        <f ca="1">IF(OR(Tbl_ResidentData[[#This Row],[S9]]=TRUE,Tbl_ResidentData[[#This Row],[P9]]=TRUE),1,0)</f>
        <v>0</v>
      </c>
      <c r="CX170" s="120">
        <f ca="1">IF(OR(Tbl_ResidentData[[#This Row],[S10]]=TRUE,Tbl_ResidentData[[#This Row],[P10]]=TRUE),1,0)</f>
        <v>0</v>
      </c>
      <c r="CY170" s="120">
        <f ca="1">IF(OR(Tbl_ResidentData[[#This Row],[S11]]=TRUE,Tbl_ResidentData[[#This Row],[P11]]=TRUE),1,0)</f>
        <v>0</v>
      </c>
      <c r="CZ170" s="120">
        <f ca="1">IF(OR(Tbl_ResidentData[[#This Row],[S12]]=TRUE,Tbl_ResidentData[[#This Row],[P12]]=TRUE),1,0)</f>
        <v>0</v>
      </c>
      <c r="DA170" s="120">
        <f ca="1">IF(OR(Tbl_ResidentData[[#This Row],[S13]]=TRUE,Tbl_ResidentData[[#This Row],[P13]]=TRUE),1,0)</f>
        <v>0</v>
      </c>
      <c r="DB170" s="120">
        <f ca="1">IF(OR(Tbl_ResidentData[[#This Row],[S14]]=TRUE,Tbl_ResidentData[[#This Row],[P14]]=TRUE),1,0)</f>
        <v>0</v>
      </c>
      <c r="DC170" s="120">
        <f ca="1">IF(OR(Tbl_ResidentData[[#This Row],[S15]]=TRUE,Tbl_ResidentData[[#This Row],[P15]]=TRUE),1,0)</f>
        <v>0</v>
      </c>
      <c r="DD170" s="120">
        <f ca="1">IF(OR(Tbl_ResidentData[[#This Row],[S16]]=TRUE,Tbl_ResidentData[[#This Row],[P16]]=TRUE),1,0)</f>
        <v>0</v>
      </c>
      <c r="DE170" s="120">
        <f ca="1">IF(OR(Tbl_ResidentData[[#This Row],[S17]]=TRUE,Tbl_ResidentData[[#This Row],[P17]]=TRUE),1,0)</f>
        <v>0</v>
      </c>
      <c r="DF170" s="120">
        <f ca="1">IF(OR(Tbl_ResidentData[[#This Row],[S18]]=TRUE,Tbl_ResidentData[[#This Row],[P18]]=TRUE),1,0)</f>
        <v>0</v>
      </c>
      <c r="DG170" s="120">
        <f ca="1">IF(OR(Tbl_ResidentData[[#This Row],[S19]]=TRUE,Tbl_ResidentData[[#This Row],[P19]]=TRUE),1,0)</f>
        <v>0</v>
      </c>
      <c r="DH170" s="120">
        <f ca="1">IF(OR(Tbl_ResidentData[[#This Row],[S20]]=TRUE,Tbl_ResidentData[[#This Row],[P20]]=TRUE),1,0)</f>
        <v>0</v>
      </c>
      <c r="DI170" s="120">
        <f ca="1">IF(OR(Tbl_ResidentData[[#This Row],[S21]]=TRUE,Tbl_ResidentData[[#This Row],[P21]]=TRUE),1,0)</f>
        <v>0</v>
      </c>
      <c r="DJ170" s="120">
        <f ca="1">IF(OR(Tbl_ResidentData[[#This Row],[S22]]=TRUE,Tbl_ResidentData[[#This Row],[P22]]=TRUE),1,0)</f>
        <v>0</v>
      </c>
      <c r="DK170" s="120">
        <f ca="1">IF(OR(Tbl_ResidentData[[#This Row],[S23]]=TRUE,Tbl_ResidentData[[#This Row],[P23]]=TRUE),1,0)</f>
        <v>0</v>
      </c>
      <c r="DL170" s="120">
        <f ca="1">IF(OR(Tbl_ResidentData[[#This Row],[S24]]=TRUE,Tbl_ResidentData[[#This Row],[P24]]=TRUE),1,0)</f>
        <v>0</v>
      </c>
      <c r="DM170" s="123" t="str">
        <f ca="1">IFERROR(INDEX($CO$4:$DL$4,MATCH(TRUE,INDEX((Tbl_ResidentData[[#This Row],[Over1]:[Over24]]&lt;&gt;0),0),0)),"")</f>
        <v/>
      </c>
      <c r="DN170" s="133" t="str">
        <f>IFERROR(INDEX(Tbl_PDSAData[Last DRT],MATCH(Tbl_ResidentData[Resident Name '[last, first']],Tbl_PDSAData[Resident Name (last, first)],0)),"")</f>
        <v/>
      </c>
      <c r="DO170" s="222" t="str">
        <f>IFERROR(INDEX(Tbl_PDSAData[Last MR],MATCH(Tbl_ResidentData[Resident Name '[last, first']],Tbl_PDSAData[Resident Name (last, first)],0)),"")</f>
        <v/>
      </c>
    </row>
    <row r="171" spans="1:119" x14ac:dyDescent="0.25">
      <c r="A171" s="179"/>
      <c r="B171" s="180"/>
      <c r="C171" s="180"/>
      <c r="D171" s="217"/>
      <c r="E171" s="179"/>
      <c r="F171" s="179"/>
      <c r="G171" s="181"/>
      <c r="H171" s="182"/>
      <c r="I171" s="185"/>
      <c r="J171" s="387"/>
      <c r="K171" s="178"/>
      <c r="L171" s="388"/>
      <c r="M171" s="185"/>
      <c r="N171" s="386"/>
      <c r="O171" s="178"/>
      <c r="P171" s="388"/>
      <c r="Q171" s="395"/>
      <c r="R171" s="396"/>
      <c r="S171" s="131" t="str">
        <f>IF(ISBLANK(Tbl_ResidentData[[#This Row],[Discharge '[mmm-yyyy']]]),IF(ISBLANK(Tbl_ResidentData[[#This Row],[Enrollment '[mmm-yyyy']]]),"","In Care Home"),"Discharged")</f>
        <v/>
      </c>
      <c r="T171" s="119" t="str">
        <f>IF(ISBLANK(Tbl_ResidentData[[#This Row],[Diagnosis (RAI)]]),IF(ISBLANK(Tbl_ResidentData[[#This Row],[Resident Name '[last, first']]]),"",0),IF(Tbl_ResidentData[[#This Row],[Diagnosis (RAI)]]="Other (see clinical notes)",0,1))</f>
        <v/>
      </c>
      <c r="U171" s="120" t="str">
        <f ca="1">IF(U$4&gt;NOW(),"-",IF(ISBLANK(Tbl_ResidentData[[#This Row],[Enrollment '[mmm-yyyy']]]),"-",AND((Tbl_ResidentData[[#This Row],[Enrollment '[mmm-yyyy']]]&lt;=U$4),IF(ISBLANK(Tbl_ResidentData[[#This Row],[Discharge '[mmm-yyyy']]]),TRUE,(Tbl_ResidentData[[#This Row],[Discharge '[mmm-yyyy']]]&gt;=U$4)))))</f>
        <v>-</v>
      </c>
      <c r="V171" s="121" t="str">
        <f ca="1">IF(V$4&gt;NOW(),"-",IF(ISBLANK(Tbl_ResidentData[[#This Row],[Enrollment '[mmm-yyyy']]]),"-",AND((Tbl_ResidentData[[#This Row],[Enrollment '[mmm-yyyy']]]&lt;=V$4),IF(ISBLANK(Tbl_ResidentData[[#This Row],[Discharge '[mmm-yyyy']]]),TRUE,(Tbl_ResidentData[[#This Row],[Discharge '[mmm-yyyy']]]&gt;=V$4)))))</f>
        <v>-</v>
      </c>
      <c r="W171" s="121" t="str">
        <f ca="1">IF(W$4&gt;NOW(),"-",IF(ISBLANK(Tbl_ResidentData[[#This Row],[Enrollment '[mmm-yyyy']]]),"-",AND((Tbl_ResidentData[[#This Row],[Enrollment '[mmm-yyyy']]]&lt;=W$4),IF(ISBLANK(Tbl_ResidentData[[#This Row],[Discharge '[mmm-yyyy']]]),TRUE,(Tbl_ResidentData[[#This Row],[Discharge '[mmm-yyyy']]]&gt;=W$4)))))</f>
        <v>-</v>
      </c>
      <c r="X171" s="121" t="str">
        <f ca="1">IF(X$4&gt;NOW(),"-",IF(ISBLANK(Tbl_ResidentData[[#This Row],[Enrollment '[mmm-yyyy']]]),"-",AND((Tbl_ResidentData[[#This Row],[Enrollment '[mmm-yyyy']]]&lt;=X$4),IF(ISBLANK(Tbl_ResidentData[[#This Row],[Discharge '[mmm-yyyy']]]),TRUE,(Tbl_ResidentData[[#This Row],[Discharge '[mmm-yyyy']]]&gt;=X$4)))))</f>
        <v>-</v>
      </c>
      <c r="Y171" s="121" t="str">
        <f ca="1">IF(Y$4&gt;NOW(),"-",IF(ISBLANK(Tbl_ResidentData[[#This Row],[Enrollment '[mmm-yyyy']]]),"-",AND((Tbl_ResidentData[[#This Row],[Enrollment '[mmm-yyyy']]]&lt;=Y$4),IF(ISBLANK(Tbl_ResidentData[[#This Row],[Discharge '[mmm-yyyy']]]),TRUE,(Tbl_ResidentData[[#This Row],[Discharge '[mmm-yyyy']]]&gt;=Y$4)))))</f>
        <v>-</v>
      </c>
      <c r="Z171" s="121" t="str">
        <f ca="1">IF(Z$4&gt;NOW(),"-",IF(ISBLANK(Tbl_ResidentData[[#This Row],[Enrollment '[mmm-yyyy']]]),"-",AND((Tbl_ResidentData[[#This Row],[Enrollment '[mmm-yyyy']]]&lt;=Z$4),IF(ISBLANK(Tbl_ResidentData[[#This Row],[Discharge '[mmm-yyyy']]]),TRUE,(Tbl_ResidentData[[#This Row],[Discharge '[mmm-yyyy']]]&gt;=Z$4)))))</f>
        <v>-</v>
      </c>
      <c r="AA171" s="121" t="str">
        <f ca="1">IF(AA$4&gt;NOW(),"-",IF(ISBLANK(Tbl_ResidentData[[#This Row],[Enrollment '[mmm-yyyy']]]),"-",AND((Tbl_ResidentData[[#This Row],[Enrollment '[mmm-yyyy']]]&lt;=AA$4),IF(ISBLANK(Tbl_ResidentData[[#This Row],[Discharge '[mmm-yyyy']]]),TRUE,(Tbl_ResidentData[[#This Row],[Discharge '[mmm-yyyy']]]&gt;=AA$4)))))</f>
        <v>-</v>
      </c>
      <c r="AB171" s="121" t="str">
        <f ca="1">IF(AB$4&gt;NOW(),"-",IF(ISBLANK(Tbl_ResidentData[[#This Row],[Enrollment '[mmm-yyyy']]]),"-",AND((Tbl_ResidentData[[#This Row],[Enrollment '[mmm-yyyy']]]&lt;=AB$4),IF(ISBLANK(Tbl_ResidentData[[#This Row],[Discharge '[mmm-yyyy']]]),TRUE,(Tbl_ResidentData[[#This Row],[Discharge '[mmm-yyyy']]]&gt;=AB$4)))))</f>
        <v>-</v>
      </c>
      <c r="AC171" s="121" t="str">
        <f ca="1">IF(AC$4&gt;NOW(),"-",IF(ISBLANK(Tbl_ResidentData[[#This Row],[Enrollment '[mmm-yyyy']]]),"-",AND((Tbl_ResidentData[[#This Row],[Enrollment '[mmm-yyyy']]]&lt;=AC$4),IF(ISBLANK(Tbl_ResidentData[[#This Row],[Discharge '[mmm-yyyy']]]),TRUE,(Tbl_ResidentData[[#This Row],[Discharge '[mmm-yyyy']]]&gt;=AC$4)))))</f>
        <v>-</v>
      </c>
      <c r="AD171" s="121" t="str">
        <f ca="1">IF(AD$4&gt;NOW(),"-",IF(ISBLANK(Tbl_ResidentData[[#This Row],[Enrollment '[mmm-yyyy']]]),"-",AND((Tbl_ResidentData[[#This Row],[Enrollment '[mmm-yyyy']]]&lt;=AD$4),IF(ISBLANK(Tbl_ResidentData[[#This Row],[Discharge '[mmm-yyyy']]]),TRUE,(Tbl_ResidentData[[#This Row],[Discharge '[mmm-yyyy']]]&gt;=AD$4)))))</f>
        <v>-</v>
      </c>
      <c r="AE171" s="121" t="str">
        <f ca="1">IF(AE$4&gt;NOW(),"-",IF(ISBLANK(Tbl_ResidentData[[#This Row],[Enrollment '[mmm-yyyy']]]),"-",AND((Tbl_ResidentData[[#This Row],[Enrollment '[mmm-yyyy']]]&lt;=AE$4),IF(ISBLANK(Tbl_ResidentData[[#This Row],[Discharge '[mmm-yyyy']]]),TRUE,(Tbl_ResidentData[[#This Row],[Discharge '[mmm-yyyy']]]&gt;=AE$4)))))</f>
        <v>-</v>
      </c>
      <c r="AF171" s="121" t="str">
        <f ca="1">IF(AF$4&gt;NOW(),"-",IF(ISBLANK(Tbl_ResidentData[[#This Row],[Enrollment '[mmm-yyyy']]]),"-",AND((Tbl_ResidentData[[#This Row],[Enrollment '[mmm-yyyy']]]&lt;=AF$4),IF(ISBLANK(Tbl_ResidentData[[#This Row],[Discharge '[mmm-yyyy']]]),TRUE,(Tbl_ResidentData[[#This Row],[Discharge '[mmm-yyyy']]]&gt;=AF$4)))))</f>
        <v>-</v>
      </c>
      <c r="AG171" s="121" t="str">
        <f ca="1">IF(AG$4&gt;NOW(),"-",IF(ISBLANK(Tbl_ResidentData[[#This Row],[Enrollment '[mmm-yyyy']]]),"-",AND((Tbl_ResidentData[[#This Row],[Enrollment '[mmm-yyyy']]]&lt;=AG$4),IF(ISBLANK(Tbl_ResidentData[[#This Row],[Discharge '[mmm-yyyy']]]),TRUE,(Tbl_ResidentData[[#This Row],[Discharge '[mmm-yyyy']]]&gt;=AG$4)))))</f>
        <v>-</v>
      </c>
      <c r="AH171" s="121" t="str">
        <f ca="1">IF(AH$4&gt;NOW(),"-",IF(ISBLANK(Tbl_ResidentData[[#This Row],[Enrollment '[mmm-yyyy']]]),"-",AND((Tbl_ResidentData[[#This Row],[Enrollment '[mmm-yyyy']]]&lt;=AH$4),IF(ISBLANK(Tbl_ResidentData[[#This Row],[Discharge '[mmm-yyyy']]]),TRUE,(Tbl_ResidentData[[#This Row],[Discharge '[mmm-yyyy']]]&gt;=AH$4)))))</f>
        <v>-</v>
      </c>
      <c r="AI171" s="121" t="str">
        <f ca="1">IF(AI$4&gt;NOW(),"-",IF(ISBLANK(Tbl_ResidentData[[#This Row],[Enrollment '[mmm-yyyy']]]),"-",AND((Tbl_ResidentData[[#This Row],[Enrollment '[mmm-yyyy']]]&lt;=AI$4),IF(ISBLANK(Tbl_ResidentData[[#This Row],[Discharge '[mmm-yyyy']]]),TRUE,(Tbl_ResidentData[[#This Row],[Discharge '[mmm-yyyy']]]&gt;=AI$4)))))</f>
        <v>-</v>
      </c>
      <c r="AJ171" s="121" t="str">
        <f ca="1">IF(AJ$4&gt;NOW(),"-",IF(ISBLANK(Tbl_ResidentData[[#This Row],[Enrollment '[mmm-yyyy']]]),"-",AND((Tbl_ResidentData[[#This Row],[Enrollment '[mmm-yyyy']]]&lt;=AJ$4),IF(ISBLANK(Tbl_ResidentData[[#This Row],[Discharge '[mmm-yyyy']]]),TRUE,(Tbl_ResidentData[[#This Row],[Discharge '[mmm-yyyy']]]&gt;=AJ$4)))))</f>
        <v>-</v>
      </c>
      <c r="AK171" s="121" t="str">
        <f ca="1">IF(AK$4&gt;NOW(),"-",IF(ISBLANK(Tbl_ResidentData[[#This Row],[Enrollment '[mmm-yyyy']]]),"-",AND((Tbl_ResidentData[[#This Row],[Enrollment '[mmm-yyyy']]]&lt;=AK$4),IF(ISBLANK(Tbl_ResidentData[[#This Row],[Discharge '[mmm-yyyy']]]),TRUE,(Tbl_ResidentData[[#This Row],[Discharge '[mmm-yyyy']]]&gt;=AK$4)))))</f>
        <v>-</v>
      </c>
      <c r="AL171" s="121" t="str">
        <f ca="1">IF(AL$4&gt;NOW(),"-",IF(ISBLANK(Tbl_ResidentData[[#This Row],[Enrollment '[mmm-yyyy']]]),"-",AND((Tbl_ResidentData[[#This Row],[Enrollment '[mmm-yyyy']]]&lt;=AL$4),IF(ISBLANK(Tbl_ResidentData[[#This Row],[Discharge '[mmm-yyyy']]]),TRUE,(Tbl_ResidentData[[#This Row],[Discharge '[mmm-yyyy']]]&gt;=AL$4)))))</f>
        <v>-</v>
      </c>
      <c r="AM171" s="121" t="str">
        <f ca="1">IF(AM$4&gt;NOW(),"-",IF(ISBLANK(Tbl_ResidentData[[#This Row],[Enrollment '[mmm-yyyy']]]),"-",AND((Tbl_ResidentData[[#This Row],[Enrollment '[mmm-yyyy']]]&lt;=AM$4),IF(ISBLANK(Tbl_ResidentData[[#This Row],[Discharge '[mmm-yyyy']]]),TRUE,(Tbl_ResidentData[[#This Row],[Discharge '[mmm-yyyy']]]&gt;=AM$4)))))</f>
        <v>-</v>
      </c>
      <c r="AN171" s="121" t="str">
        <f ca="1">IF(AN$4&gt;NOW(),"-",IF(ISBLANK(Tbl_ResidentData[[#This Row],[Enrollment '[mmm-yyyy']]]),"-",AND((Tbl_ResidentData[[#This Row],[Enrollment '[mmm-yyyy']]]&lt;=AN$4),IF(ISBLANK(Tbl_ResidentData[[#This Row],[Discharge '[mmm-yyyy']]]),TRUE,(Tbl_ResidentData[[#This Row],[Discharge '[mmm-yyyy']]]&gt;=AN$4)))))</f>
        <v>-</v>
      </c>
      <c r="AO171" s="121" t="str">
        <f ca="1">IF(AO$4&gt;NOW(),"-",IF(ISBLANK(Tbl_ResidentData[[#This Row],[Enrollment '[mmm-yyyy']]]),"-",AND((Tbl_ResidentData[[#This Row],[Enrollment '[mmm-yyyy']]]&lt;=AO$4),IF(ISBLANK(Tbl_ResidentData[[#This Row],[Discharge '[mmm-yyyy']]]),TRUE,(Tbl_ResidentData[[#This Row],[Discharge '[mmm-yyyy']]]&gt;=AO$4)))))</f>
        <v>-</v>
      </c>
      <c r="AP171" s="121" t="str">
        <f ca="1">IF(AP$4&gt;NOW(),"-",IF(ISBLANK(Tbl_ResidentData[[#This Row],[Enrollment '[mmm-yyyy']]]),"-",AND((Tbl_ResidentData[[#This Row],[Enrollment '[mmm-yyyy']]]&lt;=AP$4),IF(ISBLANK(Tbl_ResidentData[[#This Row],[Discharge '[mmm-yyyy']]]),TRUE,(Tbl_ResidentData[[#This Row],[Discharge '[mmm-yyyy']]]&gt;=AP$4)))))</f>
        <v>-</v>
      </c>
      <c r="AQ171" s="121" t="str">
        <f ca="1">IF(AQ$4&gt;NOW(),"-",IF(ISBLANK(Tbl_ResidentData[[#This Row],[Enrollment '[mmm-yyyy']]]),"-",AND((Tbl_ResidentData[[#This Row],[Enrollment '[mmm-yyyy']]]&lt;=AQ$4),IF(ISBLANK(Tbl_ResidentData[[#This Row],[Discharge '[mmm-yyyy']]]),TRUE,(Tbl_ResidentData[[#This Row],[Discharge '[mmm-yyyy']]]&gt;=AQ$4)))))</f>
        <v>-</v>
      </c>
      <c r="AR171" s="122" t="str">
        <f ca="1">IF(AR$4&gt;NOW(),"-",IF(ISBLANK(Tbl_ResidentData[[#This Row],[Enrollment '[mmm-yyyy']]]),"-",AND((Tbl_ResidentData[[#This Row],[Enrollment '[mmm-yyyy']]]&lt;=AR$4),IF(ISBLANK(Tbl_ResidentData[[#This Row],[Discharge '[mmm-yyyy']]]),TRUE,(Tbl_ResidentData[[#This Row],[Discharge '[mmm-yyyy']]]&gt;=AR$4)))))</f>
        <v>-</v>
      </c>
      <c r="AS17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1" s="120" t="b">
        <f ca="1">AND(Tbl_ResidentData[[#This Row],[PRN Med Started]]&lt;&gt;"",Tbl_ResidentData[[#This Row],[PRN Med Started]]&lt;=NOW(),Tbl_ResidentData[[#This Row],[PRN Med Started]]&lt;=AS$4,OR(Tbl_ResidentData[[#This Row],[PRN Med Discontinued]]&gt;AS$4,ISBLANK(Tbl_ResidentData[[#This Row],[PRN Med Discontinued]])))</f>
        <v>0</v>
      </c>
      <c r="BR171" s="121" t="b">
        <f ca="1">AND(Tbl_ResidentData[[#This Row],[PRN Med Started]]&lt;&gt;"",Tbl_ResidentData[[#This Row],[PRN Med Started]]&lt;=NOW(),Tbl_ResidentData[[#This Row],[PRN Med Started]]&lt;=AT$4,OR(Tbl_ResidentData[[#This Row],[PRN Med Discontinued]]&gt;AT$4,ISBLANK(Tbl_ResidentData[[#This Row],[PRN Med Discontinued]])))</f>
        <v>0</v>
      </c>
      <c r="BS171" s="121" t="b">
        <f ca="1">AND(Tbl_ResidentData[[#This Row],[PRN Med Started]]&lt;&gt;"",Tbl_ResidentData[[#This Row],[PRN Med Started]]&lt;=NOW(),Tbl_ResidentData[[#This Row],[PRN Med Started]]&lt;=AU$4,OR(Tbl_ResidentData[[#This Row],[PRN Med Discontinued]]&gt;AU$4,ISBLANK(Tbl_ResidentData[[#This Row],[PRN Med Discontinued]])))</f>
        <v>0</v>
      </c>
      <c r="BT171" s="121" t="b">
        <f ca="1">AND(Tbl_ResidentData[[#This Row],[PRN Med Started]]&lt;&gt;"",Tbl_ResidentData[[#This Row],[PRN Med Started]]&lt;=NOW(),Tbl_ResidentData[[#This Row],[PRN Med Started]]&lt;=AV$4,OR(Tbl_ResidentData[[#This Row],[PRN Med Discontinued]]&gt;AV$4,ISBLANK(Tbl_ResidentData[[#This Row],[PRN Med Discontinued]])))</f>
        <v>0</v>
      </c>
      <c r="BU171" s="121" t="b">
        <f ca="1">AND(Tbl_ResidentData[[#This Row],[PRN Med Started]]&lt;&gt;"",Tbl_ResidentData[[#This Row],[PRN Med Started]]&lt;=NOW(),Tbl_ResidentData[[#This Row],[PRN Med Started]]&lt;=AW$4,OR(Tbl_ResidentData[[#This Row],[PRN Med Discontinued]]&gt;AW$4,ISBLANK(Tbl_ResidentData[[#This Row],[PRN Med Discontinued]])))</f>
        <v>0</v>
      </c>
      <c r="BV171" s="121" t="b">
        <f ca="1">AND(Tbl_ResidentData[[#This Row],[PRN Med Started]]&lt;&gt;"",Tbl_ResidentData[[#This Row],[PRN Med Started]]&lt;=NOW(),Tbl_ResidentData[[#This Row],[PRN Med Started]]&lt;=AX$4,OR(Tbl_ResidentData[[#This Row],[PRN Med Discontinued]]&gt;AX$4,ISBLANK(Tbl_ResidentData[[#This Row],[PRN Med Discontinued]])))</f>
        <v>0</v>
      </c>
      <c r="BW171" s="121" t="b">
        <f ca="1">AND(Tbl_ResidentData[[#This Row],[PRN Med Started]]&lt;&gt;"",Tbl_ResidentData[[#This Row],[PRN Med Started]]&lt;=NOW(),Tbl_ResidentData[[#This Row],[PRN Med Started]]&lt;=AY$4,OR(Tbl_ResidentData[[#This Row],[PRN Med Discontinued]]&gt;AY$4,ISBLANK(Tbl_ResidentData[[#This Row],[PRN Med Discontinued]])))</f>
        <v>0</v>
      </c>
      <c r="BX171" s="121" t="b">
        <f ca="1">AND(Tbl_ResidentData[[#This Row],[PRN Med Started]]&lt;&gt;"",Tbl_ResidentData[[#This Row],[PRN Med Started]]&lt;=NOW(),Tbl_ResidentData[[#This Row],[PRN Med Started]]&lt;=AZ$4,OR(Tbl_ResidentData[[#This Row],[PRN Med Discontinued]]&gt;AZ$4,ISBLANK(Tbl_ResidentData[[#This Row],[PRN Med Discontinued]])))</f>
        <v>0</v>
      </c>
      <c r="BY171" s="121" t="b">
        <f ca="1">AND(Tbl_ResidentData[[#This Row],[PRN Med Started]]&lt;&gt;"",Tbl_ResidentData[[#This Row],[PRN Med Started]]&lt;=NOW(),Tbl_ResidentData[[#This Row],[PRN Med Started]]&lt;=BA$4,OR(Tbl_ResidentData[[#This Row],[PRN Med Discontinued]]&gt;BA$4,ISBLANK(Tbl_ResidentData[[#This Row],[PRN Med Discontinued]])))</f>
        <v>0</v>
      </c>
      <c r="BZ171" s="121" t="b">
        <f ca="1">AND(Tbl_ResidentData[[#This Row],[PRN Med Started]]&lt;&gt;"",Tbl_ResidentData[[#This Row],[PRN Med Started]]&lt;=NOW(),Tbl_ResidentData[[#This Row],[PRN Med Started]]&lt;=BB$4,OR(Tbl_ResidentData[[#This Row],[PRN Med Discontinued]]&gt;BB$4,ISBLANK(Tbl_ResidentData[[#This Row],[PRN Med Discontinued]])))</f>
        <v>0</v>
      </c>
      <c r="CA171" s="121" t="b">
        <f ca="1">AND(Tbl_ResidentData[[#This Row],[PRN Med Started]]&lt;&gt;"",Tbl_ResidentData[[#This Row],[PRN Med Started]]&lt;=NOW(),Tbl_ResidentData[[#This Row],[PRN Med Started]]&lt;=BC$4,OR(Tbl_ResidentData[[#This Row],[PRN Med Discontinued]]&gt;BC$4,ISBLANK(Tbl_ResidentData[[#This Row],[PRN Med Discontinued]])))</f>
        <v>0</v>
      </c>
      <c r="CB171" s="121" t="b">
        <f ca="1">AND(Tbl_ResidentData[[#This Row],[PRN Med Started]]&lt;&gt;"",Tbl_ResidentData[[#This Row],[PRN Med Started]]&lt;=NOW(),Tbl_ResidentData[[#This Row],[PRN Med Started]]&lt;=BD$4,OR(Tbl_ResidentData[[#This Row],[PRN Med Discontinued]]&gt;BD$4,ISBLANK(Tbl_ResidentData[[#This Row],[PRN Med Discontinued]])))</f>
        <v>0</v>
      </c>
      <c r="CC171" s="121" t="b">
        <f ca="1">AND(Tbl_ResidentData[[#This Row],[PRN Med Started]]&lt;&gt;"",Tbl_ResidentData[[#This Row],[PRN Med Started]]&lt;=NOW(),Tbl_ResidentData[[#This Row],[PRN Med Started]]&lt;=BE$4,OR(Tbl_ResidentData[[#This Row],[PRN Med Discontinued]]&gt;BE$4,ISBLANK(Tbl_ResidentData[[#This Row],[PRN Med Discontinued]])))</f>
        <v>0</v>
      </c>
      <c r="CD171" s="121" t="b">
        <f ca="1">AND(Tbl_ResidentData[[#This Row],[PRN Med Started]]&lt;&gt;"",Tbl_ResidentData[[#This Row],[PRN Med Started]]&lt;=NOW(),Tbl_ResidentData[[#This Row],[PRN Med Started]]&lt;=BF$4,OR(Tbl_ResidentData[[#This Row],[PRN Med Discontinued]]&gt;BF$4,ISBLANK(Tbl_ResidentData[[#This Row],[PRN Med Discontinued]])))</f>
        <v>0</v>
      </c>
      <c r="CE171" s="121" t="b">
        <f ca="1">AND(Tbl_ResidentData[[#This Row],[PRN Med Started]]&lt;&gt;"",Tbl_ResidentData[[#This Row],[PRN Med Started]]&lt;=NOW(),Tbl_ResidentData[[#This Row],[PRN Med Started]]&lt;=BG$4,OR(Tbl_ResidentData[[#This Row],[PRN Med Discontinued]]&gt;BG$4,ISBLANK(Tbl_ResidentData[[#This Row],[PRN Med Discontinued]])))</f>
        <v>0</v>
      </c>
      <c r="CF171" s="121" t="b">
        <f ca="1">AND(Tbl_ResidentData[[#This Row],[PRN Med Started]]&lt;&gt;"",Tbl_ResidentData[[#This Row],[PRN Med Started]]&lt;=NOW(),Tbl_ResidentData[[#This Row],[PRN Med Started]]&lt;=BH$4,OR(Tbl_ResidentData[[#This Row],[PRN Med Discontinued]]&gt;BH$4,ISBLANK(Tbl_ResidentData[[#This Row],[PRN Med Discontinued]])))</f>
        <v>0</v>
      </c>
      <c r="CG171" s="121" t="b">
        <f ca="1">AND(Tbl_ResidentData[[#This Row],[PRN Med Started]]&lt;&gt;"",Tbl_ResidentData[[#This Row],[PRN Med Started]]&lt;=NOW(),Tbl_ResidentData[[#This Row],[PRN Med Started]]&lt;=BI$4,OR(Tbl_ResidentData[[#This Row],[PRN Med Discontinued]]&gt;BI$4,ISBLANK(Tbl_ResidentData[[#This Row],[PRN Med Discontinued]])))</f>
        <v>0</v>
      </c>
      <c r="CH171" s="121" t="b">
        <f ca="1">AND(Tbl_ResidentData[[#This Row],[PRN Med Started]]&lt;&gt;"",Tbl_ResidentData[[#This Row],[PRN Med Started]]&lt;=NOW(),Tbl_ResidentData[[#This Row],[PRN Med Started]]&lt;=BJ$4,OR(Tbl_ResidentData[[#This Row],[PRN Med Discontinued]]&gt;BJ$4,ISBLANK(Tbl_ResidentData[[#This Row],[PRN Med Discontinued]])))</f>
        <v>0</v>
      </c>
      <c r="CI171" s="121" t="b">
        <f ca="1">AND(Tbl_ResidentData[[#This Row],[PRN Med Started]]&lt;&gt;"",Tbl_ResidentData[[#This Row],[PRN Med Started]]&lt;=NOW(),Tbl_ResidentData[[#This Row],[PRN Med Started]]&lt;=BK$4,OR(Tbl_ResidentData[[#This Row],[PRN Med Discontinued]]&gt;BK$4,ISBLANK(Tbl_ResidentData[[#This Row],[PRN Med Discontinued]])))</f>
        <v>0</v>
      </c>
      <c r="CJ171" s="121" t="b">
        <f ca="1">AND(Tbl_ResidentData[[#This Row],[PRN Med Started]]&lt;&gt;"",Tbl_ResidentData[[#This Row],[PRN Med Started]]&lt;=NOW(),Tbl_ResidentData[[#This Row],[PRN Med Started]]&lt;=BL$4,OR(Tbl_ResidentData[[#This Row],[PRN Med Discontinued]]&gt;BL$4,ISBLANK(Tbl_ResidentData[[#This Row],[PRN Med Discontinued]])))</f>
        <v>0</v>
      </c>
      <c r="CK171" s="121" t="b">
        <f ca="1">AND(Tbl_ResidentData[[#This Row],[PRN Med Started]]&lt;&gt;"",Tbl_ResidentData[[#This Row],[PRN Med Started]]&lt;=NOW(),Tbl_ResidentData[[#This Row],[PRN Med Started]]&lt;=BM$4,OR(Tbl_ResidentData[[#This Row],[PRN Med Discontinued]]&gt;BM$4,ISBLANK(Tbl_ResidentData[[#This Row],[PRN Med Discontinued]])))</f>
        <v>0</v>
      </c>
      <c r="CL171" s="121" t="b">
        <f ca="1">AND(Tbl_ResidentData[[#This Row],[PRN Med Started]]&lt;&gt;"",Tbl_ResidentData[[#This Row],[PRN Med Started]]&lt;=NOW(),Tbl_ResidentData[[#This Row],[PRN Med Started]]&lt;=BN$4,OR(Tbl_ResidentData[[#This Row],[PRN Med Discontinued]]&gt;BN$4,ISBLANK(Tbl_ResidentData[[#This Row],[PRN Med Discontinued]])))</f>
        <v>0</v>
      </c>
      <c r="CM171" s="121" t="b">
        <f ca="1">AND(Tbl_ResidentData[[#This Row],[PRN Med Started]]&lt;&gt;"",Tbl_ResidentData[[#This Row],[PRN Med Started]]&lt;=NOW(),Tbl_ResidentData[[#This Row],[PRN Med Started]]&lt;=BO$4,OR(Tbl_ResidentData[[#This Row],[PRN Med Discontinued]]&gt;BO$4,ISBLANK(Tbl_ResidentData[[#This Row],[PRN Med Discontinued]])))</f>
        <v>0</v>
      </c>
      <c r="CN171" s="122" t="b">
        <f ca="1">AND(Tbl_ResidentData[[#This Row],[PRN Med Started]]&lt;&gt;"",Tbl_ResidentData[[#This Row],[PRN Med Started]]&lt;=NOW(),Tbl_ResidentData[[#This Row],[PRN Med Started]]&lt;=BP$4,OR(Tbl_ResidentData[[#This Row],[PRN Med Discontinued]]&gt;BP$4,ISBLANK(Tbl_ResidentData[[#This Row],[PRN Med Discontinued]])))</f>
        <v>0</v>
      </c>
      <c r="CO171" s="120">
        <f ca="1">IF(OR(Tbl_ResidentData[[#This Row],[S1]]=TRUE,Tbl_ResidentData[[#This Row],[P1]]=TRUE),1,0)</f>
        <v>0</v>
      </c>
      <c r="CP171" s="121">
        <f ca="1">IF(OR(Tbl_ResidentData[[#This Row],[S2]]=TRUE,Tbl_ResidentData[[#This Row],[P2]]=TRUE),1,0)</f>
        <v>0</v>
      </c>
      <c r="CQ171" s="121">
        <f ca="1">IF(OR(Tbl_ResidentData[[#This Row],[S3]]=TRUE,Tbl_ResidentData[[#This Row],[P3]]=TRUE),1,0)</f>
        <v>0</v>
      </c>
      <c r="CR171" s="120">
        <f ca="1">IF(OR(Tbl_ResidentData[[#This Row],[S4]]=TRUE,Tbl_ResidentData[[#This Row],[P4]]=TRUE),1,0)</f>
        <v>0</v>
      </c>
      <c r="CS171" s="120">
        <f ca="1">IF(OR(Tbl_ResidentData[[#This Row],[S5]]=TRUE,Tbl_ResidentData[[#This Row],[P5]]=TRUE),1,0)</f>
        <v>0</v>
      </c>
      <c r="CT171" s="120">
        <f ca="1">IF(OR(Tbl_ResidentData[[#This Row],[S6]]=TRUE,Tbl_ResidentData[[#This Row],[P6]]=TRUE),1,0)</f>
        <v>0</v>
      </c>
      <c r="CU171" s="120">
        <f ca="1">IF(OR(Tbl_ResidentData[[#This Row],[S7]]=TRUE,Tbl_ResidentData[[#This Row],[P7]]=TRUE),1,0)</f>
        <v>0</v>
      </c>
      <c r="CV171" s="120">
        <f ca="1">IF(OR(Tbl_ResidentData[[#This Row],[S8]]=TRUE,Tbl_ResidentData[[#This Row],[P8]]=TRUE),1,0)</f>
        <v>0</v>
      </c>
      <c r="CW171" s="120">
        <f ca="1">IF(OR(Tbl_ResidentData[[#This Row],[S9]]=TRUE,Tbl_ResidentData[[#This Row],[P9]]=TRUE),1,0)</f>
        <v>0</v>
      </c>
      <c r="CX171" s="120">
        <f ca="1">IF(OR(Tbl_ResidentData[[#This Row],[S10]]=TRUE,Tbl_ResidentData[[#This Row],[P10]]=TRUE),1,0)</f>
        <v>0</v>
      </c>
      <c r="CY171" s="120">
        <f ca="1">IF(OR(Tbl_ResidentData[[#This Row],[S11]]=TRUE,Tbl_ResidentData[[#This Row],[P11]]=TRUE),1,0)</f>
        <v>0</v>
      </c>
      <c r="CZ171" s="120">
        <f ca="1">IF(OR(Tbl_ResidentData[[#This Row],[S12]]=TRUE,Tbl_ResidentData[[#This Row],[P12]]=TRUE),1,0)</f>
        <v>0</v>
      </c>
      <c r="DA171" s="120">
        <f ca="1">IF(OR(Tbl_ResidentData[[#This Row],[S13]]=TRUE,Tbl_ResidentData[[#This Row],[P13]]=TRUE),1,0)</f>
        <v>0</v>
      </c>
      <c r="DB171" s="120">
        <f ca="1">IF(OR(Tbl_ResidentData[[#This Row],[S14]]=TRUE,Tbl_ResidentData[[#This Row],[P14]]=TRUE),1,0)</f>
        <v>0</v>
      </c>
      <c r="DC171" s="120">
        <f ca="1">IF(OR(Tbl_ResidentData[[#This Row],[S15]]=TRUE,Tbl_ResidentData[[#This Row],[P15]]=TRUE),1,0)</f>
        <v>0</v>
      </c>
      <c r="DD171" s="120">
        <f ca="1">IF(OR(Tbl_ResidentData[[#This Row],[S16]]=TRUE,Tbl_ResidentData[[#This Row],[P16]]=TRUE),1,0)</f>
        <v>0</v>
      </c>
      <c r="DE171" s="120">
        <f ca="1">IF(OR(Tbl_ResidentData[[#This Row],[S17]]=TRUE,Tbl_ResidentData[[#This Row],[P17]]=TRUE),1,0)</f>
        <v>0</v>
      </c>
      <c r="DF171" s="120">
        <f ca="1">IF(OR(Tbl_ResidentData[[#This Row],[S18]]=TRUE,Tbl_ResidentData[[#This Row],[P18]]=TRUE),1,0)</f>
        <v>0</v>
      </c>
      <c r="DG171" s="120">
        <f ca="1">IF(OR(Tbl_ResidentData[[#This Row],[S19]]=TRUE,Tbl_ResidentData[[#This Row],[P19]]=TRUE),1,0)</f>
        <v>0</v>
      </c>
      <c r="DH171" s="120">
        <f ca="1">IF(OR(Tbl_ResidentData[[#This Row],[S20]]=TRUE,Tbl_ResidentData[[#This Row],[P20]]=TRUE),1,0)</f>
        <v>0</v>
      </c>
      <c r="DI171" s="120">
        <f ca="1">IF(OR(Tbl_ResidentData[[#This Row],[S21]]=TRUE,Tbl_ResidentData[[#This Row],[P21]]=TRUE),1,0)</f>
        <v>0</v>
      </c>
      <c r="DJ171" s="120">
        <f ca="1">IF(OR(Tbl_ResidentData[[#This Row],[S22]]=TRUE,Tbl_ResidentData[[#This Row],[P22]]=TRUE),1,0)</f>
        <v>0</v>
      </c>
      <c r="DK171" s="120">
        <f ca="1">IF(OR(Tbl_ResidentData[[#This Row],[S23]]=TRUE,Tbl_ResidentData[[#This Row],[P23]]=TRUE),1,0)</f>
        <v>0</v>
      </c>
      <c r="DL171" s="120">
        <f ca="1">IF(OR(Tbl_ResidentData[[#This Row],[S24]]=TRUE,Tbl_ResidentData[[#This Row],[P24]]=TRUE),1,0)</f>
        <v>0</v>
      </c>
      <c r="DM171" s="123" t="str">
        <f ca="1">IFERROR(INDEX($CO$4:$DL$4,MATCH(TRUE,INDEX((Tbl_ResidentData[[#This Row],[Over1]:[Over24]]&lt;&gt;0),0),0)),"")</f>
        <v/>
      </c>
      <c r="DN171" s="133" t="str">
        <f>IFERROR(INDEX(Tbl_PDSAData[Last DRT],MATCH(Tbl_ResidentData[Resident Name '[last, first']],Tbl_PDSAData[Resident Name (last, first)],0)),"")</f>
        <v/>
      </c>
      <c r="DO171" s="222" t="str">
        <f>IFERROR(INDEX(Tbl_PDSAData[Last MR],MATCH(Tbl_ResidentData[Resident Name '[last, first']],Tbl_PDSAData[Resident Name (last, first)],0)),"")</f>
        <v/>
      </c>
    </row>
    <row r="172" spans="1:119" x14ac:dyDescent="0.25">
      <c r="A172" s="179"/>
      <c r="B172" s="180"/>
      <c r="C172" s="180"/>
      <c r="D172" s="218"/>
      <c r="E172" s="179"/>
      <c r="F172" s="179"/>
      <c r="G172" s="181"/>
      <c r="H172" s="375"/>
      <c r="I172" s="185"/>
      <c r="J172" s="387"/>
      <c r="K172" s="178"/>
      <c r="L172" s="388"/>
      <c r="M172" s="185"/>
      <c r="N172" s="386"/>
      <c r="O172" s="178"/>
      <c r="P172" s="388"/>
      <c r="Q172" s="394"/>
      <c r="R172" s="388"/>
      <c r="S172" s="131" t="str">
        <f>IF(ISBLANK(Tbl_ResidentData[[#This Row],[Discharge '[mmm-yyyy']]]),IF(ISBLANK(Tbl_ResidentData[[#This Row],[Enrollment '[mmm-yyyy']]]),"","In Care Home"),"Discharged")</f>
        <v/>
      </c>
      <c r="T172" s="119" t="str">
        <f>IF(ISBLANK(Tbl_ResidentData[[#This Row],[Diagnosis (RAI)]]),IF(ISBLANK(Tbl_ResidentData[[#This Row],[Resident Name '[last, first']]]),"",0),IF(Tbl_ResidentData[[#This Row],[Diagnosis (RAI)]]="Other (see clinical notes)",0,1))</f>
        <v/>
      </c>
      <c r="U172" s="120" t="str">
        <f ca="1">IF(U$4&gt;NOW(),"-",IF(ISBLANK(Tbl_ResidentData[[#This Row],[Enrollment '[mmm-yyyy']]]),"-",AND((Tbl_ResidentData[[#This Row],[Enrollment '[mmm-yyyy']]]&lt;=U$4),IF(ISBLANK(Tbl_ResidentData[[#This Row],[Discharge '[mmm-yyyy']]]),TRUE,(Tbl_ResidentData[[#This Row],[Discharge '[mmm-yyyy']]]&gt;=U$4)))))</f>
        <v>-</v>
      </c>
      <c r="V172" s="121" t="str">
        <f ca="1">IF(V$4&gt;NOW(),"-",IF(ISBLANK(Tbl_ResidentData[[#This Row],[Enrollment '[mmm-yyyy']]]),"-",AND((Tbl_ResidentData[[#This Row],[Enrollment '[mmm-yyyy']]]&lt;=V$4),IF(ISBLANK(Tbl_ResidentData[[#This Row],[Discharge '[mmm-yyyy']]]),TRUE,(Tbl_ResidentData[[#This Row],[Discharge '[mmm-yyyy']]]&gt;=V$4)))))</f>
        <v>-</v>
      </c>
      <c r="W172" s="121" t="str">
        <f ca="1">IF(W$4&gt;NOW(),"-",IF(ISBLANK(Tbl_ResidentData[[#This Row],[Enrollment '[mmm-yyyy']]]),"-",AND((Tbl_ResidentData[[#This Row],[Enrollment '[mmm-yyyy']]]&lt;=W$4),IF(ISBLANK(Tbl_ResidentData[[#This Row],[Discharge '[mmm-yyyy']]]),TRUE,(Tbl_ResidentData[[#This Row],[Discharge '[mmm-yyyy']]]&gt;=W$4)))))</f>
        <v>-</v>
      </c>
      <c r="X172" s="121" t="str">
        <f ca="1">IF(X$4&gt;NOW(),"-",IF(ISBLANK(Tbl_ResidentData[[#This Row],[Enrollment '[mmm-yyyy']]]),"-",AND((Tbl_ResidentData[[#This Row],[Enrollment '[mmm-yyyy']]]&lt;=X$4),IF(ISBLANK(Tbl_ResidentData[[#This Row],[Discharge '[mmm-yyyy']]]),TRUE,(Tbl_ResidentData[[#This Row],[Discharge '[mmm-yyyy']]]&gt;=X$4)))))</f>
        <v>-</v>
      </c>
      <c r="Y172" s="121" t="str">
        <f ca="1">IF(Y$4&gt;NOW(),"-",IF(ISBLANK(Tbl_ResidentData[[#This Row],[Enrollment '[mmm-yyyy']]]),"-",AND((Tbl_ResidentData[[#This Row],[Enrollment '[mmm-yyyy']]]&lt;=Y$4),IF(ISBLANK(Tbl_ResidentData[[#This Row],[Discharge '[mmm-yyyy']]]),TRUE,(Tbl_ResidentData[[#This Row],[Discharge '[mmm-yyyy']]]&gt;=Y$4)))))</f>
        <v>-</v>
      </c>
      <c r="Z172" s="121" t="str">
        <f ca="1">IF(Z$4&gt;NOW(),"-",IF(ISBLANK(Tbl_ResidentData[[#This Row],[Enrollment '[mmm-yyyy']]]),"-",AND((Tbl_ResidentData[[#This Row],[Enrollment '[mmm-yyyy']]]&lt;=Z$4),IF(ISBLANK(Tbl_ResidentData[[#This Row],[Discharge '[mmm-yyyy']]]),TRUE,(Tbl_ResidentData[[#This Row],[Discharge '[mmm-yyyy']]]&gt;=Z$4)))))</f>
        <v>-</v>
      </c>
      <c r="AA172" s="121" t="str">
        <f ca="1">IF(AA$4&gt;NOW(),"-",IF(ISBLANK(Tbl_ResidentData[[#This Row],[Enrollment '[mmm-yyyy']]]),"-",AND((Tbl_ResidentData[[#This Row],[Enrollment '[mmm-yyyy']]]&lt;=AA$4),IF(ISBLANK(Tbl_ResidentData[[#This Row],[Discharge '[mmm-yyyy']]]),TRUE,(Tbl_ResidentData[[#This Row],[Discharge '[mmm-yyyy']]]&gt;=AA$4)))))</f>
        <v>-</v>
      </c>
      <c r="AB172" s="121" t="str">
        <f ca="1">IF(AB$4&gt;NOW(),"-",IF(ISBLANK(Tbl_ResidentData[[#This Row],[Enrollment '[mmm-yyyy']]]),"-",AND((Tbl_ResidentData[[#This Row],[Enrollment '[mmm-yyyy']]]&lt;=AB$4),IF(ISBLANK(Tbl_ResidentData[[#This Row],[Discharge '[mmm-yyyy']]]),TRUE,(Tbl_ResidentData[[#This Row],[Discharge '[mmm-yyyy']]]&gt;=AB$4)))))</f>
        <v>-</v>
      </c>
      <c r="AC172" s="121" t="str">
        <f ca="1">IF(AC$4&gt;NOW(),"-",IF(ISBLANK(Tbl_ResidentData[[#This Row],[Enrollment '[mmm-yyyy']]]),"-",AND((Tbl_ResidentData[[#This Row],[Enrollment '[mmm-yyyy']]]&lt;=AC$4),IF(ISBLANK(Tbl_ResidentData[[#This Row],[Discharge '[mmm-yyyy']]]),TRUE,(Tbl_ResidentData[[#This Row],[Discharge '[mmm-yyyy']]]&gt;=AC$4)))))</f>
        <v>-</v>
      </c>
      <c r="AD172" s="121" t="str">
        <f ca="1">IF(AD$4&gt;NOW(),"-",IF(ISBLANK(Tbl_ResidentData[[#This Row],[Enrollment '[mmm-yyyy']]]),"-",AND((Tbl_ResidentData[[#This Row],[Enrollment '[mmm-yyyy']]]&lt;=AD$4),IF(ISBLANK(Tbl_ResidentData[[#This Row],[Discharge '[mmm-yyyy']]]),TRUE,(Tbl_ResidentData[[#This Row],[Discharge '[mmm-yyyy']]]&gt;=AD$4)))))</f>
        <v>-</v>
      </c>
      <c r="AE172" s="121" t="str">
        <f ca="1">IF(AE$4&gt;NOW(),"-",IF(ISBLANK(Tbl_ResidentData[[#This Row],[Enrollment '[mmm-yyyy']]]),"-",AND((Tbl_ResidentData[[#This Row],[Enrollment '[mmm-yyyy']]]&lt;=AE$4),IF(ISBLANK(Tbl_ResidentData[[#This Row],[Discharge '[mmm-yyyy']]]),TRUE,(Tbl_ResidentData[[#This Row],[Discharge '[mmm-yyyy']]]&gt;=AE$4)))))</f>
        <v>-</v>
      </c>
      <c r="AF172" s="121" t="str">
        <f ca="1">IF(AF$4&gt;NOW(),"-",IF(ISBLANK(Tbl_ResidentData[[#This Row],[Enrollment '[mmm-yyyy']]]),"-",AND((Tbl_ResidentData[[#This Row],[Enrollment '[mmm-yyyy']]]&lt;=AF$4),IF(ISBLANK(Tbl_ResidentData[[#This Row],[Discharge '[mmm-yyyy']]]),TRUE,(Tbl_ResidentData[[#This Row],[Discharge '[mmm-yyyy']]]&gt;=AF$4)))))</f>
        <v>-</v>
      </c>
      <c r="AG172" s="121" t="str">
        <f ca="1">IF(AG$4&gt;NOW(),"-",IF(ISBLANK(Tbl_ResidentData[[#This Row],[Enrollment '[mmm-yyyy']]]),"-",AND((Tbl_ResidentData[[#This Row],[Enrollment '[mmm-yyyy']]]&lt;=AG$4),IF(ISBLANK(Tbl_ResidentData[[#This Row],[Discharge '[mmm-yyyy']]]),TRUE,(Tbl_ResidentData[[#This Row],[Discharge '[mmm-yyyy']]]&gt;=AG$4)))))</f>
        <v>-</v>
      </c>
      <c r="AH172" s="121" t="str">
        <f ca="1">IF(AH$4&gt;NOW(),"-",IF(ISBLANK(Tbl_ResidentData[[#This Row],[Enrollment '[mmm-yyyy']]]),"-",AND((Tbl_ResidentData[[#This Row],[Enrollment '[mmm-yyyy']]]&lt;=AH$4),IF(ISBLANK(Tbl_ResidentData[[#This Row],[Discharge '[mmm-yyyy']]]),TRUE,(Tbl_ResidentData[[#This Row],[Discharge '[mmm-yyyy']]]&gt;=AH$4)))))</f>
        <v>-</v>
      </c>
      <c r="AI172" s="121" t="str">
        <f ca="1">IF(AI$4&gt;NOW(),"-",IF(ISBLANK(Tbl_ResidentData[[#This Row],[Enrollment '[mmm-yyyy']]]),"-",AND((Tbl_ResidentData[[#This Row],[Enrollment '[mmm-yyyy']]]&lt;=AI$4),IF(ISBLANK(Tbl_ResidentData[[#This Row],[Discharge '[mmm-yyyy']]]),TRUE,(Tbl_ResidentData[[#This Row],[Discharge '[mmm-yyyy']]]&gt;=AI$4)))))</f>
        <v>-</v>
      </c>
      <c r="AJ172" s="121" t="str">
        <f ca="1">IF(AJ$4&gt;NOW(),"-",IF(ISBLANK(Tbl_ResidentData[[#This Row],[Enrollment '[mmm-yyyy']]]),"-",AND((Tbl_ResidentData[[#This Row],[Enrollment '[mmm-yyyy']]]&lt;=AJ$4),IF(ISBLANK(Tbl_ResidentData[[#This Row],[Discharge '[mmm-yyyy']]]),TRUE,(Tbl_ResidentData[[#This Row],[Discharge '[mmm-yyyy']]]&gt;=AJ$4)))))</f>
        <v>-</v>
      </c>
      <c r="AK172" s="121" t="str">
        <f ca="1">IF(AK$4&gt;NOW(),"-",IF(ISBLANK(Tbl_ResidentData[[#This Row],[Enrollment '[mmm-yyyy']]]),"-",AND((Tbl_ResidentData[[#This Row],[Enrollment '[mmm-yyyy']]]&lt;=AK$4),IF(ISBLANK(Tbl_ResidentData[[#This Row],[Discharge '[mmm-yyyy']]]),TRUE,(Tbl_ResidentData[[#This Row],[Discharge '[mmm-yyyy']]]&gt;=AK$4)))))</f>
        <v>-</v>
      </c>
      <c r="AL172" s="121" t="str">
        <f ca="1">IF(AL$4&gt;NOW(),"-",IF(ISBLANK(Tbl_ResidentData[[#This Row],[Enrollment '[mmm-yyyy']]]),"-",AND((Tbl_ResidentData[[#This Row],[Enrollment '[mmm-yyyy']]]&lt;=AL$4),IF(ISBLANK(Tbl_ResidentData[[#This Row],[Discharge '[mmm-yyyy']]]),TRUE,(Tbl_ResidentData[[#This Row],[Discharge '[mmm-yyyy']]]&gt;=AL$4)))))</f>
        <v>-</v>
      </c>
      <c r="AM172" s="121" t="str">
        <f ca="1">IF(AM$4&gt;NOW(),"-",IF(ISBLANK(Tbl_ResidentData[[#This Row],[Enrollment '[mmm-yyyy']]]),"-",AND((Tbl_ResidentData[[#This Row],[Enrollment '[mmm-yyyy']]]&lt;=AM$4),IF(ISBLANK(Tbl_ResidentData[[#This Row],[Discharge '[mmm-yyyy']]]),TRUE,(Tbl_ResidentData[[#This Row],[Discharge '[mmm-yyyy']]]&gt;=AM$4)))))</f>
        <v>-</v>
      </c>
      <c r="AN172" s="121" t="str">
        <f ca="1">IF(AN$4&gt;NOW(),"-",IF(ISBLANK(Tbl_ResidentData[[#This Row],[Enrollment '[mmm-yyyy']]]),"-",AND((Tbl_ResidentData[[#This Row],[Enrollment '[mmm-yyyy']]]&lt;=AN$4),IF(ISBLANK(Tbl_ResidentData[[#This Row],[Discharge '[mmm-yyyy']]]),TRUE,(Tbl_ResidentData[[#This Row],[Discharge '[mmm-yyyy']]]&gt;=AN$4)))))</f>
        <v>-</v>
      </c>
      <c r="AO172" s="121" t="str">
        <f ca="1">IF(AO$4&gt;NOW(),"-",IF(ISBLANK(Tbl_ResidentData[[#This Row],[Enrollment '[mmm-yyyy']]]),"-",AND((Tbl_ResidentData[[#This Row],[Enrollment '[mmm-yyyy']]]&lt;=AO$4),IF(ISBLANK(Tbl_ResidentData[[#This Row],[Discharge '[mmm-yyyy']]]),TRUE,(Tbl_ResidentData[[#This Row],[Discharge '[mmm-yyyy']]]&gt;=AO$4)))))</f>
        <v>-</v>
      </c>
      <c r="AP172" s="121" t="str">
        <f ca="1">IF(AP$4&gt;NOW(),"-",IF(ISBLANK(Tbl_ResidentData[[#This Row],[Enrollment '[mmm-yyyy']]]),"-",AND((Tbl_ResidentData[[#This Row],[Enrollment '[mmm-yyyy']]]&lt;=AP$4),IF(ISBLANK(Tbl_ResidentData[[#This Row],[Discharge '[mmm-yyyy']]]),TRUE,(Tbl_ResidentData[[#This Row],[Discharge '[mmm-yyyy']]]&gt;=AP$4)))))</f>
        <v>-</v>
      </c>
      <c r="AQ172" s="121" t="str">
        <f ca="1">IF(AQ$4&gt;NOW(),"-",IF(ISBLANK(Tbl_ResidentData[[#This Row],[Enrollment '[mmm-yyyy']]]),"-",AND((Tbl_ResidentData[[#This Row],[Enrollment '[mmm-yyyy']]]&lt;=AQ$4),IF(ISBLANK(Tbl_ResidentData[[#This Row],[Discharge '[mmm-yyyy']]]),TRUE,(Tbl_ResidentData[[#This Row],[Discharge '[mmm-yyyy']]]&gt;=AQ$4)))))</f>
        <v>-</v>
      </c>
      <c r="AR172" s="122" t="str">
        <f ca="1">IF(AR$4&gt;NOW(),"-",IF(ISBLANK(Tbl_ResidentData[[#This Row],[Enrollment '[mmm-yyyy']]]),"-",AND((Tbl_ResidentData[[#This Row],[Enrollment '[mmm-yyyy']]]&lt;=AR$4),IF(ISBLANK(Tbl_ResidentData[[#This Row],[Discharge '[mmm-yyyy']]]),TRUE,(Tbl_ResidentData[[#This Row],[Discharge '[mmm-yyyy']]]&gt;=AR$4)))))</f>
        <v>-</v>
      </c>
      <c r="AS17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2" s="120" t="b">
        <f ca="1">AND(Tbl_ResidentData[[#This Row],[PRN Med Started]]&lt;&gt;"",Tbl_ResidentData[[#This Row],[PRN Med Started]]&lt;=NOW(),Tbl_ResidentData[[#This Row],[PRN Med Started]]&lt;=AS$4,OR(Tbl_ResidentData[[#This Row],[PRN Med Discontinued]]&gt;AS$4,ISBLANK(Tbl_ResidentData[[#This Row],[PRN Med Discontinued]])))</f>
        <v>0</v>
      </c>
      <c r="BR172" s="121" t="b">
        <f ca="1">AND(Tbl_ResidentData[[#This Row],[PRN Med Started]]&lt;&gt;"",Tbl_ResidentData[[#This Row],[PRN Med Started]]&lt;=NOW(),Tbl_ResidentData[[#This Row],[PRN Med Started]]&lt;=AT$4,OR(Tbl_ResidentData[[#This Row],[PRN Med Discontinued]]&gt;AT$4,ISBLANK(Tbl_ResidentData[[#This Row],[PRN Med Discontinued]])))</f>
        <v>0</v>
      </c>
      <c r="BS172" s="121" t="b">
        <f ca="1">AND(Tbl_ResidentData[[#This Row],[PRN Med Started]]&lt;&gt;"",Tbl_ResidentData[[#This Row],[PRN Med Started]]&lt;=NOW(),Tbl_ResidentData[[#This Row],[PRN Med Started]]&lt;=AU$4,OR(Tbl_ResidentData[[#This Row],[PRN Med Discontinued]]&gt;AU$4,ISBLANK(Tbl_ResidentData[[#This Row],[PRN Med Discontinued]])))</f>
        <v>0</v>
      </c>
      <c r="BT172" s="121" t="b">
        <f ca="1">AND(Tbl_ResidentData[[#This Row],[PRN Med Started]]&lt;&gt;"",Tbl_ResidentData[[#This Row],[PRN Med Started]]&lt;=NOW(),Tbl_ResidentData[[#This Row],[PRN Med Started]]&lt;=AV$4,OR(Tbl_ResidentData[[#This Row],[PRN Med Discontinued]]&gt;AV$4,ISBLANK(Tbl_ResidentData[[#This Row],[PRN Med Discontinued]])))</f>
        <v>0</v>
      </c>
      <c r="BU172" s="121" t="b">
        <f ca="1">AND(Tbl_ResidentData[[#This Row],[PRN Med Started]]&lt;&gt;"",Tbl_ResidentData[[#This Row],[PRN Med Started]]&lt;=NOW(),Tbl_ResidentData[[#This Row],[PRN Med Started]]&lt;=AW$4,OR(Tbl_ResidentData[[#This Row],[PRN Med Discontinued]]&gt;AW$4,ISBLANK(Tbl_ResidentData[[#This Row],[PRN Med Discontinued]])))</f>
        <v>0</v>
      </c>
      <c r="BV172" s="121" t="b">
        <f ca="1">AND(Tbl_ResidentData[[#This Row],[PRN Med Started]]&lt;&gt;"",Tbl_ResidentData[[#This Row],[PRN Med Started]]&lt;=NOW(),Tbl_ResidentData[[#This Row],[PRN Med Started]]&lt;=AX$4,OR(Tbl_ResidentData[[#This Row],[PRN Med Discontinued]]&gt;AX$4,ISBLANK(Tbl_ResidentData[[#This Row],[PRN Med Discontinued]])))</f>
        <v>0</v>
      </c>
      <c r="BW172" s="121" t="b">
        <f ca="1">AND(Tbl_ResidentData[[#This Row],[PRN Med Started]]&lt;&gt;"",Tbl_ResidentData[[#This Row],[PRN Med Started]]&lt;=NOW(),Tbl_ResidentData[[#This Row],[PRN Med Started]]&lt;=AY$4,OR(Tbl_ResidentData[[#This Row],[PRN Med Discontinued]]&gt;AY$4,ISBLANK(Tbl_ResidentData[[#This Row],[PRN Med Discontinued]])))</f>
        <v>0</v>
      </c>
      <c r="BX172" s="121" t="b">
        <f ca="1">AND(Tbl_ResidentData[[#This Row],[PRN Med Started]]&lt;&gt;"",Tbl_ResidentData[[#This Row],[PRN Med Started]]&lt;=NOW(),Tbl_ResidentData[[#This Row],[PRN Med Started]]&lt;=AZ$4,OR(Tbl_ResidentData[[#This Row],[PRN Med Discontinued]]&gt;AZ$4,ISBLANK(Tbl_ResidentData[[#This Row],[PRN Med Discontinued]])))</f>
        <v>0</v>
      </c>
      <c r="BY172" s="121" t="b">
        <f ca="1">AND(Tbl_ResidentData[[#This Row],[PRN Med Started]]&lt;&gt;"",Tbl_ResidentData[[#This Row],[PRN Med Started]]&lt;=NOW(),Tbl_ResidentData[[#This Row],[PRN Med Started]]&lt;=BA$4,OR(Tbl_ResidentData[[#This Row],[PRN Med Discontinued]]&gt;BA$4,ISBLANK(Tbl_ResidentData[[#This Row],[PRN Med Discontinued]])))</f>
        <v>0</v>
      </c>
      <c r="BZ172" s="121" t="b">
        <f ca="1">AND(Tbl_ResidentData[[#This Row],[PRN Med Started]]&lt;&gt;"",Tbl_ResidentData[[#This Row],[PRN Med Started]]&lt;=NOW(),Tbl_ResidentData[[#This Row],[PRN Med Started]]&lt;=BB$4,OR(Tbl_ResidentData[[#This Row],[PRN Med Discontinued]]&gt;BB$4,ISBLANK(Tbl_ResidentData[[#This Row],[PRN Med Discontinued]])))</f>
        <v>0</v>
      </c>
      <c r="CA172" s="121" t="b">
        <f ca="1">AND(Tbl_ResidentData[[#This Row],[PRN Med Started]]&lt;&gt;"",Tbl_ResidentData[[#This Row],[PRN Med Started]]&lt;=NOW(),Tbl_ResidentData[[#This Row],[PRN Med Started]]&lt;=BC$4,OR(Tbl_ResidentData[[#This Row],[PRN Med Discontinued]]&gt;BC$4,ISBLANK(Tbl_ResidentData[[#This Row],[PRN Med Discontinued]])))</f>
        <v>0</v>
      </c>
      <c r="CB172" s="121" t="b">
        <f ca="1">AND(Tbl_ResidentData[[#This Row],[PRN Med Started]]&lt;&gt;"",Tbl_ResidentData[[#This Row],[PRN Med Started]]&lt;=NOW(),Tbl_ResidentData[[#This Row],[PRN Med Started]]&lt;=BD$4,OR(Tbl_ResidentData[[#This Row],[PRN Med Discontinued]]&gt;BD$4,ISBLANK(Tbl_ResidentData[[#This Row],[PRN Med Discontinued]])))</f>
        <v>0</v>
      </c>
      <c r="CC172" s="121" t="b">
        <f ca="1">AND(Tbl_ResidentData[[#This Row],[PRN Med Started]]&lt;&gt;"",Tbl_ResidentData[[#This Row],[PRN Med Started]]&lt;=NOW(),Tbl_ResidentData[[#This Row],[PRN Med Started]]&lt;=BE$4,OR(Tbl_ResidentData[[#This Row],[PRN Med Discontinued]]&gt;BE$4,ISBLANK(Tbl_ResidentData[[#This Row],[PRN Med Discontinued]])))</f>
        <v>0</v>
      </c>
      <c r="CD172" s="121" t="b">
        <f ca="1">AND(Tbl_ResidentData[[#This Row],[PRN Med Started]]&lt;&gt;"",Tbl_ResidentData[[#This Row],[PRN Med Started]]&lt;=NOW(),Tbl_ResidentData[[#This Row],[PRN Med Started]]&lt;=BF$4,OR(Tbl_ResidentData[[#This Row],[PRN Med Discontinued]]&gt;BF$4,ISBLANK(Tbl_ResidentData[[#This Row],[PRN Med Discontinued]])))</f>
        <v>0</v>
      </c>
      <c r="CE172" s="121" t="b">
        <f ca="1">AND(Tbl_ResidentData[[#This Row],[PRN Med Started]]&lt;&gt;"",Tbl_ResidentData[[#This Row],[PRN Med Started]]&lt;=NOW(),Tbl_ResidentData[[#This Row],[PRN Med Started]]&lt;=BG$4,OR(Tbl_ResidentData[[#This Row],[PRN Med Discontinued]]&gt;BG$4,ISBLANK(Tbl_ResidentData[[#This Row],[PRN Med Discontinued]])))</f>
        <v>0</v>
      </c>
      <c r="CF172" s="121" t="b">
        <f ca="1">AND(Tbl_ResidentData[[#This Row],[PRN Med Started]]&lt;&gt;"",Tbl_ResidentData[[#This Row],[PRN Med Started]]&lt;=NOW(),Tbl_ResidentData[[#This Row],[PRN Med Started]]&lt;=BH$4,OR(Tbl_ResidentData[[#This Row],[PRN Med Discontinued]]&gt;BH$4,ISBLANK(Tbl_ResidentData[[#This Row],[PRN Med Discontinued]])))</f>
        <v>0</v>
      </c>
      <c r="CG172" s="121" t="b">
        <f ca="1">AND(Tbl_ResidentData[[#This Row],[PRN Med Started]]&lt;&gt;"",Tbl_ResidentData[[#This Row],[PRN Med Started]]&lt;=NOW(),Tbl_ResidentData[[#This Row],[PRN Med Started]]&lt;=BI$4,OR(Tbl_ResidentData[[#This Row],[PRN Med Discontinued]]&gt;BI$4,ISBLANK(Tbl_ResidentData[[#This Row],[PRN Med Discontinued]])))</f>
        <v>0</v>
      </c>
      <c r="CH172" s="121" t="b">
        <f ca="1">AND(Tbl_ResidentData[[#This Row],[PRN Med Started]]&lt;&gt;"",Tbl_ResidentData[[#This Row],[PRN Med Started]]&lt;=NOW(),Tbl_ResidentData[[#This Row],[PRN Med Started]]&lt;=BJ$4,OR(Tbl_ResidentData[[#This Row],[PRN Med Discontinued]]&gt;BJ$4,ISBLANK(Tbl_ResidentData[[#This Row],[PRN Med Discontinued]])))</f>
        <v>0</v>
      </c>
      <c r="CI172" s="121" t="b">
        <f ca="1">AND(Tbl_ResidentData[[#This Row],[PRN Med Started]]&lt;&gt;"",Tbl_ResidentData[[#This Row],[PRN Med Started]]&lt;=NOW(),Tbl_ResidentData[[#This Row],[PRN Med Started]]&lt;=BK$4,OR(Tbl_ResidentData[[#This Row],[PRN Med Discontinued]]&gt;BK$4,ISBLANK(Tbl_ResidentData[[#This Row],[PRN Med Discontinued]])))</f>
        <v>0</v>
      </c>
      <c r="CJ172" s="121" t="b">
        <f ca="1">AND(Tbl_ResidentData[[#This Row],[PRN Med Started]]&lt;&gt;"",Tbl_ResidentData[[#This Row],[PRN Med Started]]&lt;=NOW(),Tbl_ResidentData[[#This Row],[PRN Med Started]]&lt;=BL$4,OR(Tbl_ResidentData[[#This Row],[PRN Med Discontinued]]&gt;BL$4,ISBLANK(Tbl_ResidentData[[#This Row],[PRN Med Discontinued]])))</f>
        <v>0</v>
      </c>
      <c r="CK172" s="121" t="b">
        <f ca="1">AND(Tbl_ResidentData[[#This Row],[PRN Med Started]]&lt;&gt;"",Tbl_ResidentData[[#This Row],[PRN Med Started]]&lt;=NOW(),Tbl_ResidentData[[#This Row],[PRN Med Started]]&lt;=BM$4,OR(Tbl_ResidentData[[#This Row],[PRN Med Discontinued]]&gt;BM$4,ISBLANK(Tbl_ResidentData[[#This Row],[PRN Med Discontinued]])))</f>
        <v>0</v>
      </c>
      <c r="CL172" s="121" t="b">
        <f ca="1">AND(Tbl_ResidentData[[#This Row],[PRN Med Started]]&lt;&gt;"",Tbl_ResidentData[[#This Row],[PRN Med Started]]&lt;=NOW(),Tbl_ResidentData[[#This Row],[PRN Med Started]]&lt;=BN$4,OR(Tbl_ResidentData[[#This Row],[PRN Med Discontinued]]&gt;BN$4,ISBLANK(Tbl_ResidentData[[#This Row],[PRN Med Discontinued]])))</f>
        <v>0</v>
      </c>
      <c r="CM172" s="121" t="b">
        <f ca="1">AND(Tbl_ResidentData[[#This Row],[PRN Med Started]]&lt;&gt;"",Tbl_ResidentData[[#This Row],[PRN Med Started]]&lt;=NOW(),Tbl_ResidentData[[#This Row],[PRN Med Started]]&lt;=BO$4,OR(Tbl_ResidentData[[#This Row],[PRN Med Discontinued]]&gt;BO$4,ISBLANK(Tbl_ResidentData[[#This Row],[PRN Med Discontinued]])))</f>
        <v>0</v>
      </c>
      <c r="CN172" s="122" t="b">
        <f ca="1">AND(Tbl_ResidentData[[#This Row],[PRN Med Started]]&lt;&gt;"",Tbl_ResidentData[[#This Row],[PRN Med Started]]&lt;=NOW(),Tbl_ResidentData[[#This Row],[PRN Med Started]]&lt;=BP$4,OR(Tbl_ResidentData[[#This Row],[PRN Med Discontinued]]&gt;BP$4,ISBLANK(Tbl_ResidentData[[#This Row],[PRN Med Discontinued]])))</f>
        <v>0</v>
      </c>
      <c r="CO172" s="120">
        <f ca="1">IF(OR(Tbl_ResidentData[[#This Row],[S1]]=TRUE,Tbl_ResidentData[[#This Row],[P1]]=TRUE),1,0)</f>
        <v>0</v>
      </c>
      <c r="CP172" s="121">
        <f ca="1">IF(OR(Tbl_ResidentData[[#This Row],[S2]]=TRUE,Tbl_ResidentData[[#This Row],[P2]]=TRUE),1,0)</f>
        <v>0</v>
      </c>
      <c r="CQ172" s="121">
        <f ca="1">IF(OR(Tbl_ResidentData[[#This Row],[S3]]=TRUE,Tbl_ResidentData[[#This Row],[P3]]=TRUE),1,0)</f>
        <v>0</v>
      </c>
      <c r="CR172" s="120">
        <f ca="1">IF(OR(Tbl_ResidentData[[#This Row],[S4]]=TRUE,Tbl_ResidentData[[#This Row],[P4]]=TRUE),1,0)</f>
        <v>0</v>
      </c>
      <c r="CS172" s="120">
        <f ca="1">IF(OR(Tbl_ResidentData[[#This Row],[S5]]=TRUE,Tbl_ResidentData[[#This Row],[P5]]=TRUE),1,0)</f>
        <v>0</v>
      </c>
      <c r="CT172" s="120">
        <f ca="1">IF(OR(Tbl_ResidentData[[#This Row],[S6]]=TRUE,Tbl_ResidentData[[#This Row],[P6]]=TRUE),1,0)</f>
        <v>0</v>
      </c>
      <c r="CU172" s="120">
        <f ca="1">IF(OR(Tbl_ResidentData[[#This Row],[S7]]=TRUE,Tbl_ResidentData[[#This Row],[P7]]=TRUE),1,0)</f>
        <v>0</v>
      </c>
      <c r="CV172" s="120">
        <f ca="1">IF(OR(Tbl_ResidentData[[#This Row],[S8]]=TRUE,Tbl_ResidentData[[#This Row],[P8]]=TRUE),1,0)</f>
        <v>0</v>
      </c>
      <c r="CW172" s="120">
        <f ca="1">IF(OR(Tbl_ResidentData[[#This Row],[S9]]=TRUE,Tbl_ResidentData[[#This Row],[P9]]=TRUE),1,0)</f>
        <v>0</v>
      </c>
      <c r="CX172" s="120">
        <f ca="1">IF(OR(Tbl_ResidentData[[#This Row],[S10]]=TRUE,Tbl_ResidentData[[#This Row],[P10]]=TRUE),1,0)</f>
        <v>0</v>
      </c>
      <c r="CY172" s="120">
        <f ca="1">IF(OR(Tbl_ResidentData[[#This Row],[S11]]=TRUE,Tbl_ResidentData[[#This Row],[P11]]=TRUE),1,0)</f>
        <v>0</v>
      </c>
      <c r="CZ172" s="120">
        <f ca="1">IF(OR(Tbl_ResidentData[[#This Row],[S12]]=TRUE,Tbl_ResidentData[[#This Row],[P12]]=TRUE),1,0)</f>
        <v>0</v>
      </c>
      <c r="DA172" s="120">
        <f ca="1">IF(OR(Tbl_ResidentData[[#This Row],[S13]]=TRUE,Tbl_ResidentData[[#This Row],[P13]]=TRUE),1,0)</f>
        <v>0</v>
      </c>
      <c r="DB172" s="120">
        <f ca="1">IF(OR(Tbl_ResidentData[[#This Row],[S14]]=TRUE,Tbl_ResidentData[[#This Row],[P14]]=TRUE),1,0)</f>
        <v>0</v>
      </c>
      <c r="DC172" s="120">
        <f ca="1">IF(OR(Tbl_ResidentData[[#This Row],[S15]]=TRUE,Tbl_ResidentData[[#This Row],[P15]]=TRUE),1,0)</f>
        <v>0</v>
      </c>
      <c r="DD172" s="120">
        <f ca="1">IF(OR(Tbl_ResidentData[[#This Row],[S16]]=TRUE,Tbl_ResidentData[[#This Row],[P16]]=TRUE),1,0)</f>
        <v>0</v>
      </c>
      <c r="DE172" s="120">
        <f ca="1">IF(OR(Tbl_ResidentData[[#This Row],[S17]]=TRUE,Tbl_ResidentData[[#This Row],[P17]]=TRUE),1,0)</f>
        <v>0</v>
      </c>
      <c r="DF172" s="120">
        <f ca="1">IF(OR(Tbl_ResidentData[[#This Row],[S18]]=TRUE,Tbl_ResidentData[[#This Row],[P18]]=TRUE),1,0)</f>
        <v>0</v>
      </c>
      <c r="DG172" s="120">
        <f ca="1">IF(OR(Tbl_ResidentData[[#This Row],[S19]]=TRUE,Tbl_ResidentData[[#This Row],[P19]]=TRUE),1,0)</f>
        <v>0</v>
      </c>
      <c r="DH172" s="120">
        <f ca="1">IF(OR(Tbl_ResidentData[[#This Row],[S20]]=TRUE,Tbl_ResidentData[[#This Row],[P20]]=TRUE),1,0)</f>
        <v>0</v>
      </c>
      <c r="DI172" s="120">
        <f ca="1">IF(OR(Tbl_ResidentData[[#This Row],[S21]]=TRUE,Tbl_ResidentData[[#This Row],[P21]]=TRUE),1,0)</f>
        <v>0</v>
      </c>
      <c r="DJ172" s="120">
        <f ca="1">IF(OR(Tbl_ResidentData[[#This Row],[S22]]=TRUE,Tbl_ResidentData[[#This Row],[P22]]=TRUE),1,0)</f>
        <v>0</v>
      </c>
      <c r="DK172" s="120">
        <f ca="1">IF(OR(Tbl_ResidentData[[#This Row],[S23]]=TRUE,Tbl_ResidentData[[#This Row],[P23]]=TRUE),1,0)</f>
        <v>0</v>
      </c>
      <c r="DL172" s="120">
        <f ca="1">IF(OR(Tbl_ResidentData[[#This Row],[S24]]=TRUE,Tbl_ResidentData[[#This Row],[P24]]=TRUE),1,0)</f>
        <v>0</v>
      </c>
      <c r="DM172" s="123" t="str">
        <f ca="1">IFERROR(INDEX($CO$4:$DL$4,MATCH(TRUE,INDEX((Tbl_ResidentData[[#This Row],[Over1]:[Over24]]&lt;&gt;0),0),0)),"")</f>
        <v/>
      </c>
      <c r="DN172" s="133" t="str">
        <f>IFERROR(INDEX(Tbl_PDSAData[Last DRT],MATCH(Tbl_ResidentData[Resident Name '[last, first']],Tbl_PDSAData[Resident Name (last, first)],0)),"")</f>
        <v/>
      </c>
      <c r="DO172" s="222" t="str">
        <f>IFERROR(INDEX(Tbl_PDSAData[Last MR],MATCH(Tbl_ResidentData[Resident Name '[last, first']],Tbl_PDSAData[Resident Name (last, first)],0)),"")</f>
        <v/>
      </c>
    </row>
    <row r="173" spans="1:119" x14ac:dyDescent="0.25">
      <c r="A173" s="179"/>
      <c r="B173" s="180"/>
      <c r="C173" s="180"/>
      <c r="D173" s="218"/>
      <c r="E173" s="179"/>
      <c r="F173" s="179"/>
      <c r="G173" s="181"/>
      <c r="H173" s="375"/>
      <c r="I173" s="185"/>
      <c r="J173" s="387"/>
      <c r="K173" s="178"/>
      <c r="L173" s="388"/>
      <c r="M173" s="185"/>
      <c r="N173" s="386"/>
      <c r="O173" s="178"/>
      <c r="P173" s="388"/>
      <c r="Q173" s="395"/>
      <c r="R173" s="396"/>
      <c r="S173" s="131" t="str">
        <f>IF(ISBLANK(Tbl_ResidentData[[#This Row],[Discharge '[mmm-yyyy']]]),IF(ISBLANK(Tbl_ResidentData[[#This Row],[Enrollment '[mmm-yyyy']]]),"","In Care Home"),"Discharged")</f>
        <v/>
      </c>
      <c r="T173" s="119" t="str">
        <f>IF(ISBLANK(Tbl_ResidentData[[#This Row],[Diagnosis (RAI)]]),IF(ISBLANK(Tbl_ResidentData[[#This Row],[Resident Name '[last, first']]]),"",0),IF(Tbl_ResidentData[[#This Row],[Diagnosis (RAI)]]="Other (see clinical notes)",0,1))</f>
        <v/>
      </c>
      <c r="U173" s="120" t="str">
        <f ca="1">IF(U$4&gt;NOW(),"-",IF(ISBLANK(Tbl_ResidentData[[#This Row],[Enrollment '[mmm-yyyy']]]),"-",AND((Tbl_ResidentData[[#This Row],[Enrollment '[mmm-yyyy']]]&lt;=U$4),IF(ISBLANK(Tbl_ResidentData[[#This Row],[Discharge '[mmm-yyyy']]]),TRUE,(Tbl_ResidentData[[#This Row],[Discharge '[mmm-yyyy']]]&gt;=U$4)))))</f>
        <v>-</v>
      </c>
      <c r="V173" s="121" t="str">
        <f ca="1">IF(V$4&gt;NOW(),"-",IF(ISBLANK(Tbl_ResidentData[[#This Row],[Enrollment '[mmm-yyyy']]]),"-",AND((Tbl_ResidentData[[#This Row],[Enrollment '[mmm-yyyy']]]&lt;=V$4),IF(ISBLANK(Tbl_ResidentData[[#This Row],[Discharge '[mmm-yyyy']]]),TRUE,(Tbl_ResidentData[[#This Row],[Discharge '[mmm-yyyy']]]&gt;=V$4)))))</f>
        <v>-</v>
      </c>
      <c r="W173" s="121" t="str">
        <f ca="1">IF(W$4&gt;NOW(),"-",IF(ISBLANK(Tbl_ResidentData[[#This Row],[Enrollment '[mmm-yyyy']]]),"-",AND((Tbl_ResidentData[[#This Row],[Enrollment '[mmm-yyyy']]]&lt;=W$4),IF(ISBLANK(Tbl_ResidentData[[#This Row],[Discharge '[mmm-yyyy']]]),TRUE,(Tbl_ResidentData[[#This Row],[Discharge '[mmm-yyyy']]]&gt;=W$4)))))</f>
        <v>-</v>
      </c>
      <c r="X173" s="121" t="str">
        <f ca="1">IF(X$4&gt;NOW(),"-",IF(ISBLANK(Tbl_ResidentData[[#This Row],[Enrollment '[mmm-yyyy']]]),"-",AND((Tbl_ResidentData[[#This Row],[Enrollment '[mmm-yyyy']]]&lt;=X$4),IF(ISBLANK(Tbl_ResidentData[[#This Row],[Discharge '[mmm-yyyy']]]),TRUE,(Tbl_ResidentData[[#This Row],[Discharge '[mmm-yyyy']]]&gt;=X$4)))))</f>
        <v>-</v>
      </c>
      <c r="Y173" s="121" t="str">
        <f ca="1">IF(Y$4&gt;NOW(),"-",IF(ISBLANK(Tbl_ResidentData[[#This Row],[Enrollment '[mmm-yyyy']]]),"-",AND((Tbl_ResidentData[[#This Row],[Enrollment '[mmm-yyyy']]]&lt;=Y$4),IF(ISBLANK(Tbl_ResidentData[[#This Row],[Discharge '[mmm-yyyy']]]),TRUE,(Tbl_ResidentData[[#This Row],[Discharge '[mmm-yyyy']]]&gt;=Y$4)))))</f>
        <v>-</v>
      </c>
      <c r="Z173" s="121" t="str">
        <f ca="1">IF(Z$4&gt;NOW(),"-",IF(ISBLANK(Tbl_ResidentData[[#This Row],[Enrollment '[mmm-yyyy']]]),"-",AND((Tbl_ResidentData[[#This Row],[Enrollment '[mmm-yyyy']]]&lt;=Z$4),IF(ISBLANK(Tbl_ResidentData[[#This Row],[Discharge '[mmm-yyyy']]]),TRUE,(Tbl_ResidentData[[#This Row],[Discharge '[mmm-yyyy']]]&gt;=Z$4)))))</f>
        <v>-</v>
      </c>
      <c r="AA173" s="121" t="str">
        <f ca="1">IF(AA$4&gt;NOW(),"-",IF(ISBLANK(Tbl_ResidentData[[#This Row],[Enrollment '[mmm-yyyy']]]),"-",AND((Tbl_ResidentData[[#This Row],[Enrollment '[mmm-yyyy']]]&lt;=AA$4),IF(ISBLANK(Tbl_ResidentData[[#This Row],[Discharge '[mmm-yyyy']]]),TRUE,(Tbl_ResidentData[[#This Row],[Discharge '[mmm-yyyy']]]&gt;=AA$4)))))</f>
        <v>-</v>
      </c>
      <c r="AB173" s="121" t="str">
        <f ca="1">IF(AB$4&gt;NOW(),"-",IF(ISBLANK(Tbl_ResidentData[[#This Row],[Enrollment '[mmm-yyyy']]]),"-",AND((Tbl_ResidentData[[#This Row],[Enrollment '[mmm-yyyy']]]&lt;=AB$4),IF(ISBLANK(Tbl_ResidentData[[#This Row],[Discharge '[mmm-yyyy']]]),TRUE,(Tbl_ResidentData[[#This Row],[Discharge '[mmm-yyyy']]]&gt;=AB$4)))))</f>
        <v>-</v>
      </c>
      <c r="AC173" s="121" t="str">
        <f ca="1">IF(AC$4&gt;NOW(),"-",IF(ISBLANK(Tbl_ResidentData[[#This Row],[Enrollment '[mmm-yyyy']]]),"-",AND((Tbl_ResidentData[[#This Row],[Enrollment '[mmm-yyyy']]]&lt;=AC$4),IF(ISBLANK(Tbl_ResidentData[[#This Row],[Discharge '[mmm-yyyy']]]),TRUE,(Tbl_ResidentData[[#This Row],[Discharge '[mmm-yyyy']]]&gt;=AC$4)))))</f>
        <v>-</v>
      </c>
      <c r="AD173" s="121" t="str">
        <f ca="1">IF(AD$4&gt;NOW(),"-",IF(ISBLANK(Tbl_ResidentData[[#This Row],[Enrollment '[mmm-yyyy']]]),"-",AND((Tbl_ResidentData[[#This Row],[Enrollment '[mmm-yyyy']]]&lt;=AD$4),IF(ISBLANK(Tbl_ResidentData[[#This Row],[Discharge '[mmm-yyyy']]]),TRUE,(Tbl_ResidentData[[#This Row],[Discharge '[mmm-yyyy']]]&gt;=AD$4)))))</f>
        <v>-</v>
      </c>
      <c r="AE173" s="121" t="str">
        <f ca="1">IF(AE$4&gt;NOW(),"-",IF(ISBLANK(Tbl_ResidentData[[#This Row],[Enrollment '[mmm-yyyy']]]),"-",AND((Tbl_ResidentData[[#This Row],[Enrollment '[mmm-yyyy']]]&lt;=AE$4),IF(ISBLANK(Tbl_ResidentData[[#This Row],[Discharge '[mmm-yyyy']]]),TRUE,(Tbl_ResidentData[[#This Row],[Discharge '[mmm-yyyy']]]&gt;=AE$4)))))</f>
        <v>-</v>
      </c>
      <c r="AF173" s="121" t="str">
        <f ca="1">IF(AF$4&gt;NOW(),"-",IF(ISBLANK(Tbl_ResidentData[[#This Row],[Enrollment '[mmm-yyyy']]]),"-",AND((Tbl_ResidentData[[#This Row],[Enrollment '[mmm-yyyy']]]&lt;=AF$4),IF(ISBLANK(Tbl_ResidentData[[#This Row],[Discharge '[mmm-yyyy']]]),TRUE,(Tbl_ResidentData[[#This Row],[Discharge '[mmm-yyyy']]]&gt;=AF$4)))))</f>
        <v>-</v>
      </c>
      <c r="AG173" s="121" t="str">
        <f ca="1">IF(AG$4&gt;NOW(),"-",IF(ISBLANK(Tbl_ResidentData[[#This Row],[Enrollment '[mmm-yyyy']]]),"-",AND((Tbl_ResidentData[[#This Row],[Enrollment '[mmm-yyyy']]]&lt;=AG$4),IF(ISBLANK(Tbl_ResidentData[[#This Row],[Discharge '[mmm-yyyy']]]),TRUE,(Tbl_ResidentData[[#This Row],[Discharge '[mmm-yyyy']]]&gt;=AG$4)))))</f>
        <v>-</v>
      </c>
      <c r="AH173" s="121" t="str">
        <f ca="1">IF(AH$4&gt;NOW(),"-",IF(ISBLANK(Tbl_ResidentData[[#This Row],[Enrollment '[mmm-yyyy']]]),"-",AND((Tbl_ResidentData[[#This Row],[Enrollment '[mmm-yyyy']]]&lt;=AH$4),IF(ISBLANK(Tbl_ResidentData[[#This Row],[Discharge '[mmm-yyyy']]]),TRUE,(Tbl_ResidentData[[#This Row],[Discharge '[mmm-yyyy']]]&gt;=AH$4)))))</f>
        <v>-</v>
      </c>
      <c r="AI173" s="121" t="str">
        <f ca="1">IF(AI$4&gt;NOW(),"-",IF(ISBLANK(Tbl_ResidentData[[#This Row],[Enrollment '[mmm-yyyy']]]),"-",AND((Tbl_ResidentData[[#This Row],[Enrollment '[mmm-yyyy']]]&lt;=AI$4),IF(ISBLANK(Tbl_ResidentData[[#This Row],[Discharge '[mmm-yyyy']]]),TRUE,(Tbl_ResidentData[[#This Row],[Discharge '[mmm-yyyy']]]&gt;=AI$4)))))</f>
        <v>-</v>
      </c>
      <c r="AJ173" s="121" t="str">
        <f ca="1">IF(AJ$4&gt;NOW(),"-",IF(ISBLANK(Tbl_ResidentData[[#This Row],[Enrollment '[mmm-yyyy']]]),"-",AND((Tbl_ResidentData[[#This Row],[Enrollment '[mmm-yyyy']]]&lt;=AJ$4),IF(ISBLANK(Tbl_ResidentData[[#This Row],[Discharge '[mmm-yyyy']]]),TRUE,(Tbl_ResidentData[[#This Row],[Discharge '[mmm-yyyy']]]&gt;=AJ$4)))))</f>
        <v>-</v>
      </c>
      <c r="AK173" s="121" t="str">
        <f ca="1">IF(AK$4&gt;NOW(),"-",IF(ISBLANK(Tbl_ResidentData[[#This Row],[Enrollment '[mmm-yyyy']]]),"-",AND((Tbl_ResidentData[[#This Row],[Enrollment '[mmm-yyyy']]]&lt;=AK$4),IF(ISBLANK(Tbl_ResidentData[[#This Row],[Discharge '[mmm-yyyy']]]),TRUE,(Tbl_ResidentData[[#This Row],[Discharge '[mmm-yyyy']]]&gt;=AK$4)))))</f>
        <v>-</v>
      </c>
      <c r="AL173" s="121" t="str">
        <f ca="1">IF(AL$4&gt;NOW(),"-",IF(ISBLANK(Tbl_ResidentData[[#This Row],[Enrollment '[mmm-yyyy']]]),"-",AND((Tbl_ResidentData[[#This Row],[Enrollment '[mmm-yyyy']]]&lt;=AL$4),IF(ISBLANK(Tbl_ResidentData[[#This Row],[Discharge '[mmm-yyyy']]]),TRUE,(Tbl_ResidentData[[#This Row],[Discharge '[mmm-yyyy']]]&gt;=AL$4)))))</f>
        <v>-</v>
      </c>
      <c r="AM173" s="121" t="str">
        <f ca="1">IF(AM$4&gt;NOW(),"-",IF(ISBLANK(Tbl_ResidentData[[#This Row],[Enrollment '[mmm-yyyy']]]),"-",AND((Tbl_ResidentData[[#This Row],[Enrollment '[mmm-yyyy']]]&lt;=AM$4),IF(ISBLANK(Tbl_ResidentData[[#This Row],[Discharge '[mmm-yyyy']]]),TRUE,(Tbl_ResidentData[[#This Row],[Discharge '[mmm-yyyy']]]&gt;=AM$4)))))</f>
        <v>-</v>
      </c>
      <c r="AN173" s="121" t="str">
        <f ca="1">IF(AN$4&gt;NOW(),"-",IF(ISBLANK(Tbl_ResidentData[[#This Row],[Enrollment '[mmm-yyyy']]]),"-",AND((Tbl_ResidentData[[#This Row],[Enrollment '[mmm-yyyy']]]&lt;=AN$4),IF(ISBLANK(Tbl_ResidentData[[#This Row],[Discharge '[mmm-yyyy']]]),TRUE,(Tbl_ResidentData[[#This Row],[Discharge '[mmm-yyyy']]]&gt;=AN$4)))))</f>
        <v>-</v>
      </c>
      <c r="AO173" s="121" t="str">
        <f ca="1">IF(AO$4&gt;NOW(),"-",IF(ISBLANK(Tbl_ResidentData[[#This Row],[Enrollment '[mmm-yyyy']]]),"-",AND((Tbl_ResidentData[[#This Row],[Enrollment '[mmm-yyyy']]]&lt;=AO$4),IF(ISBLANK(Tbl_ResidentData[[#This Row],[Discharge '[mmm-yyyy']]]),TRUE,(Tbl_ResidentData[[#This Row],[Discharge '[mmm-yyyy']]]&gt;=AO$4)))))</f>
        <v>-</v>
      </c>
      <c r="AP173" s="121" t="str">
        <f ca="1">IF(AP$4&gt;NOW(),"-",IF(ISBLANK(Tbl_ResidentData[[#This Row],[Enrollment '[mmm-yyyy']]]),"-",AND((Tbl_ResidentData[[#This Row],[Enrollment '[mmm-yyyy']]]&lt;=AP$4),IF(ISBLANK(Tbl_ResidentData[[#This Row],[Discharge '[mmm-yyyy']]]),TRUE,(Tbl_ResidentData[[#This Row],[Discharge '[mmm-yyyy']]]&gt;=AP$4)))))</f>
        <v>-</v>
      </c>
      <c r="AQ173" s="121" t="str">
        <f ca="1">IF(AQ$4&gt;NOW(),"-",IF(ISBLANK(Tbl_ResidentData[[#This Row],[Enrollment '[mmm-yyyy']]]),"-",AND((Tbl_ResidentData[[#This Row],[Enrollment '[mmm-yyyy']]]&lt;=AQ$4),IF(ISBLANK(Tbl_ResidentData[[#This Row],[Discharge '[mmm-yyyy']]]),TRUE,(Tbl_ResidentData[[#This Row],[Discharge '[mmm-yyyy']]]&gt;=AQ$4)))))</f>
        <v>-</v>
      </c>
      <c r="AR173" s="122" t="str">
        <f ca="1">IF(AR$4&gt;NOW(),"-",IF(ISBLANK(Tbl_ResidentData[[#This Row],[Enrollment '[mmm-yyyy']]]),"-",AND((Tbl_ResidentData[[#This Row],[Enrollment '[mmm-yyyy']]]&lt;=AR$4),IF(ISBLANK(Tbl_ResidentData[[#This Row],[Discharge '[mmm-yyyy']]]),TRUE,(Tbl_ResidentData[[#This Row],[Discharge '[mmm-yyyy']]]&gt;=AR$4)))))</f>
        <v>-</v>
      </c>
      <c r="AS17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3" s="120" t="b">
        <f ca="1">AND(Tbl_ResidentData[[#This Row],[PRN Med Started]]&lt;&gt;"",Tbl_ResidentData[[#This Row],[PRN Med Started]]&lt;=NOW(),Tbl_ResidentData[[#This Row],[PRN Med Started]]&lt;=AS$4,OR(Tbl_ResidentData[[#This Row],[PRN Med Discontinued]]&gt;AS$4,ISBLANK(Tbl_ResidentData[[#This Row],[PRN Med Discontinued]])))</f>
        <v>0</v>
      </c>
      <c r="BR173" s="121" t="b">
        <f ca="1">AND(Tbl_ResidentData[[#This Row],[PRN Med Started]]&lt;&gt;"",Tbl_ResidentData[[#This Row],[PRN Med Started]]&lt;=NOW(),Tbl_ResidentData[[#This Row],[PRN Med Started]]&lt;=AT$4,OR(Tbl_ResidentData[[#This Row],[PRN Med Discontinued]]&gt;AT$4,ISBLANK(Tbl_ResidentData[[#This Row],[PRN Med Discontinued]])))</f>
        <v>0</v>
      </c>
      <c r="BS173" s="121" t="b">
        <f ca="1">AND(Tbl_ResidentData[[#This Row],[PRN Med Started]]&lt;&gt;"",Tbl_ResidentData[[#This Row],[PRN Med Started]]&lt;=NOW(),Tbl_ResidentData[[#This Row],[PRN Med Started]]&lt;=AU$4,OR(Tbl_ResidentData[[#This Row],[PRN Med Discontinued]]&gt;AU$4,ISBLANK(Tbl_ResidentData[[#This Row],[PRN Med Discontinued]])))</f>
        <v>0</v>
      </c>
      <c r="BT173" s="121" t="b">
        <f ca="1">AND(Tbl_ResidentData[[#This Row],[PRN Med Started]]&lt;&gt;"",Tbl_ResidentData[[#This Row],[PRN Med Started]]&lt;=NOW(),Tbl_ResidentData[[#This Row],[PRN Med Started]]&lt;=AV$4,OR(Tbl_ResidentData[[#This Row],[PRN Med Discontinued]]&gt;AV$4,ISBLANK(Tbl_ResidentData[[#This Row],[PRN Med Discontinued]])))</f>
        <v>0</v>
      </c>
      <c r="BU173" s="121" t="b">
        <f ca="1">AND(Tbl_ResidentData[[#This Row],[PRN Med Started]]&lt;&gt;"",Tbl_ResidentData[[#This Row],[PRN Med Started]]&lt;=NOW(),Tbl_ResidentData[[#This Row],[PRN Med Started]]&lt;=AW$4,OR(Tbl_ResidentData[[#This Row],[PRN Med Discontinued]]&gt;AW$4,ISBLANK(Tbl_ResidentData[[#This Row],[PRN Med Discontinued]])))</f>
        <v>0</v>
      </c>
      <c r="BV173" s="121" t="b">
        <f ca="1">AND(Tbl_ResidentData[[#This Row],[PRN Med Started]]&lt;&gt;"",Tbl_ResidentData[[#This Row],[PRN Med Started]]&lt;=NOW(),Tbl_ResidentData[[#This Row],[PRN Med Started]]&lt;=AX$4,OR(Tbl_ResidentData[[#This Row],[PRN Med Discontinued]]&gt;AX$4,ISBLANK(Tbl_ResidentData[[#This Row],[PRN Med Discontinued]])))</f>
        <v>0</v>
      </c>
      <c r="BW173" s="121" t="b">
        <f ca="1">AND(Tbl_ResidentData[[#This Row],[PRN Med Started]]&lt;&gt;"",Tbl_ResidentData[[#This Row],[PRN Med Started]]&lt;=NOW(),Tbl_ResidentData[[#This Row],[PRN Med Started]]&lt;=AY$4,OR(Tbl_ResidentData[[#This Row],[PRN Med Discontinued]]&gt;AY$4,ISBLANK(Tbl_ResidentData[[#This Row],[PRN Med Discontinued]])))</f>
        <v>0</v>
      </c>
      <c r="BX173" s="121" t="b">
        <f ca="1">AND(Tbl_ResidentData[[#This Row],[PRN Med Started]]&lt;&gt;"",Tbl_ResidentData[[#This Row],[PRN Med Started]]&lt;=NOW(),Tbl_ResidentData[[#This Row],[PRN Med Started]]&lt;=AZ$4,OR(Tbl_ResidentData[[#This Row],[PRN Med Discontinued]]&gt;AZ$4,ISBLANK(Tbl_ResidentData[[#This Row],[PRN Med Discontinued]])))</f>
        <v>0</v>
      </c>
      <c r="BY173" s="121" t="b">
        <f ca="1">AND(Tbl_ResidentData[[#This Row],[PRN Med Started]]&lt;&gt;"",Tbl_ResidentData[[#This Row],[PRN Med Started]]&lt;=NOW(),Tbl_ResidentData[[#This Row],[PRN Med Started]]&lt;=BA$4,OR(Tbl_ResidentData[[#This Row],[PRN Med Discontinued]]&gt;BA$4,ISBLANK(Tbl_ResidentData[[#This Row],[PRN Med Discontinued]])))</f>
        <v>0</v>
      </c>
      <c r="BZ173" s="121" t="b">
        <f ca="1">AND(Tbl_ResidentData[[#This Row],[PRN Med Started]]&lt;&gt;"",Tbl_ResidentData[[#This Row],[PRN Med Started]]&lt;=NOW(),Tbl_ResidentData[[#This Row],[PRN Med Started]]&lt;=BB$4,OR(Tbl_ResidentData[[#This Row],[PRN Med Discontinued]]&gt;BB$4,ISBLANK(Tbl_ResidentData[[#This Row],[PRN Med Discontinued]])))</f>
        <v>0</v>
      </c>
      <c r="CA173" s="121" t="b">
        <f ca="1">AND(Tbl_ResidentData[[#This Row],[PRN Med Started]]&lt;&gt;"",Tbl_ResidentData[[#This Row],[PRN Med Started]]&lt;=NOW(),Tbl_ResidentData[[#This Row],[PRN Med Started]]&lt;=BC$4,OR(Tbl_ResidentData[[#This Row],[PRN Med Discontinued]]&gt;BC$4,ISBLANK(Tbl_ResidentData[[#This Row],[PRN Med Discontinued]])))</f>
        <v>0</v>
      </c>
      <c r="CB173" s="121" t="b">
        <f ca="1">AND(Tbl_ResidentData[[#This Row],[PRN Med Started]]&lt;&gt;"",Tbl_ResidentData[[#This Row],[PRN Med Started]]&lt;=NOW(),Tbl_ResidentData[[#This Row],[PRN Med Started]]&lt;=BD$4,OR(Tbl_ResidentData[[#This Row],[PRN Med Discontinued]]&gt;BD$4,ISBLANK(Tbl_ResidentData[[#This Row],[PRN Med Discontinued]])))</f>
        <v>0</v>
      </c>
      <c r="CC173" s="121" t="b">
        <f ca="1">AND(Tbl_ResidentData[[#This Row],[PRN Med Started]]&lt;&gt;"",Tbl_ResidentData[[#This Row],[PRN Med Started]]&lt;=NOW(),Tbl_ResidentData[[#This Row],[PRN Med Started]]&lt;=BE$4,OR(Tbl_ResidentData[[#This Row],[PRN Med Discontinued]]&gt;BE$4,ISBLANK(Tbl_ResidentData[[#This Row],[PRN Med Discontinued]])))</f>
        <v>0</v>
      </c>
      <c r="CD173" s="121" t="b">
        <f ca="1">AND(Tbl_ResidentData[[#This Row],[PRN Med Started]]&lt;&gt;"",Tbl_ResidentData[[#This Row],[PRN Med Started]]&lt;=NOW(),Tbl_ResidentData[[#This Row],[PRN Med Started]]&lt;=BF$4,OR(Tbl_ResidentData[[#This Row],[PRN Med Discontinued]]&gt;BF$4,ISBLANK(Tbl_ResidentData[[#This Row],[PRN Med Discontinued]])))</f>
        <v>0</v>
      </c>
      <c r="CE173" s="121" t="b">
        <f ca="1">AND(Tbl_ResidentData[[#This Row],[PRN Med Started]]&lt;&gt;"",Tbl_ResidentData[[#This Row],[PRN Med Started]]&lt;=NOW(),Tbl_ResidentData[[#This Row],[PRN Med Started]]&lt;=BG$4,OR(Tbl_ResidentData[[#This Row],[PRN Med Discontinued]]&gt;BG$4,ISBLANK(Tbl_ResidentData[[#This Row],[PRN Med Discontinued]])))</f>
        <v>0</v>
      </c>
      <c r="CF173" s="121" t="b">
        <f ca="1">AND(Tbl_ResidentData[[#This Row],[PRN Med Started]]&lt;&gt;"",Tbl_ResidentData[[#This Row],[PRN Med Started]]&lt;=NOW(),Tbl_ResidentData[[#This Row],[PRN Med Started]]&lt;=BH$4,OR(Tbl_ResidentData[[#This Row],[PRN Med Discontinued]]&gt;BH$4,ISBLANK(Tbl_ResidentData[[#This Row],[PRN Med Discontinued]])))</f>
        <v>0</v>
      </c>
      <c r="CG173" s="121" t="b">
        <f ca="1">AND(Tbl_ResidentData[[#This Row],[PRN Med Started]]&lt;&gt;"",Tbl_ResidentData[[#This Row],[PRN Med Started]]&lt;=NOW(),Tbl_ResidentData[[#This Row],[PRN Med Started]]&lt;=BI$4,OR(Tbl_ResidentData[[#This Row],[PRN Med Discontinued]]&gt;BI$4,ISBLANK(Tbl_ResidentData[[#This Row],[PRN Med Discontinued]])))</f>
        <v>0</v>
      </c>
      <c r="CH173" s="121" t="b">
        <f ca="1">AND(Tbl_ResidentData[[#This Row],[PRN Med Started]]&lt;&gt;"",Tbl_ResidentData[[#This Row],[PRN Med Started]]&lt;=NOW(),Tbl_ResidentData[[#This Row],[PRN Med Started]]&lt;=BJ$4,OR(Tbl_ResidentData[[#This Row],[PRN Med Discontinued]]&gt;BJ$4,ISBLANK(Tbl_ResidentData[[#This Row],[PRN Med Discontinued]])))</f>
        <v>0</v>
      </c>
      <c r="CI173" s="121" t="b">
        <f ca="1">AND(Tbl_ResidentData[[#This Row],[PRN Med Started]]&lt;&gt;"",Tbl_ResidentData[[#This Row],[PRN Med Started]]&lt;=NOW(),Tbl_ResidentData[[#This Row],[PRN Med Started]]&lt;=BK$4,OR(Tbl_ResidentData[[#This Row],[PRN Med Discontinued]]&gt;BK$4,ISBLANK(Tbl_ResidentData[[#This Row],[PRN Med Discontinued]])))</f>
        <v>0</v>
      </c>
      <c r="CJ173" s="121" t="b">
        <f ca="1">AND(Tbl_ResidentData[[#This Row],[PRN Med Started]]&lt;&gt;"",Tbl_ResidentData[[#This Row],[PRN Med Started]]&lt;=NOW(),Tbl_ResidentData[[#This Row],[PRN Med Started]]&lt;=BL$4,OR(Tbl_ResidentData[[#This Row],[PRN Med Discontinued]]&gt;BL$4,ISBLANK(Tbl_ResidentData[[#This Row],[PRN Med Discontinued]])))</f>
        <v>0</v>
      </c>
      <c r="CK173" s="121" t="b">
        <f ca="1">AND(Tbl_ResidentData[[#This Row],[PRN Med Started]]&lt;&gt;"",Tbl_ResidentData[[#This Row],[PRN Med Started]]&lt;=NOW(),Tbl_ResidentData[[#This Row],[PRN Med Started]]&lt;=BM$4,OR(Tbl_ResidentData[[#This Row],[PRN Med Discontinued]]&gt;BM$4,ISBLANK(Tbl_ResidentData[[#This Row],[PRN Med Discontinued]])))</f>
        <v>0</v>
      </c>
      <c r="CL173" s="121" t="b">
        <f ca="1">AND(Tbl_ResidentData[[#This Row],[PRN Med Started]]&lt;&gt;"",Tbl_ResidentData[[#This Row],[PRN Med Started]]&lt;=NOW(),Tbl_ResidentData[[#This Row],[PRN Med Started]]&lt;=BN$4,OR(Tbl_ResidentData[[#This Row],[PRN Med Discontinued]]&gt;BN$4,ISBLANK(Tbl_ResidentData[[#This Row],[PRN Med Discontinued]])))</f>
        <v>0</v>
      </c>
      <c r="CM173" s="121" t="b">
        <f ca="1">AND(Tbl_ResidentData[[#This Row],[PRN Med Started]]&lt;&gt;"",Tbl_ResidentData[[#This Row],[PRN Med Started]]&lt;=NOW(),Tbl_ResidentData[[#This Row],[PRN Med Started]]&lt;=BO$4,OR(Tbl_ResidentData[[#This Row],[PRN Med Discontinued]]&gt;BO$4,ISBLANK(Tbl_ResidentData[[#This Row],[PRN Med Discontinued]])))</f>
        <v>0</v>
      </c>
      <c r="CN173" s="122" t="b">
        <f ca="1">AND(Tbl_ResidentData[[#This Row],[PRN Med Started]]&lt;&gt;"",Tbl_ResidentData[[#This Row],[PRN Med Started]]&lt;=NOW(),Tbl_ResidentData[[#This Row],[PRN Med Started]]&lt;=BP$4,OR(Tbl_ResidentData[[#This Row],[PRN Med Discontinued]]&gt;BP$4,ISBLANK(Tbl_ResidentData[[#This Row],[PRN Med Discontinued]])))</f>
        <v>0</v>
      </c>
      <c r="CO173" s="120">
        <f ca="1">IF(OR(Tbl_ResidentData[[#This Row],[S1]]=TRUE,Tbl_ResidentData[[#This Row],[P1]]=TRUE),1,0)</f>
        <v>0</v>
      </c>
      <c r="CP173" s="121">
        <f ca="1">IF(OR(Tbl_ResidentData[[#This Row],[S2]]=TRUE,Tbl_ResidentData[[#This Row],[P2]]=TRUE),1,0)</f>
        <v>0</v>
      </c>
      <c r="CQ173" s="121">
        <f ca="1">IF(OR(Tbl_ResidentData[[#This Row],[S3]]=TRUE,Tbl_ResidentData[[#This Row],[P3]]=TRUE),1,0)</f>
        <v>0</v>
      </c>
      <c r="CR173" s="120">
        <f ca="1">IF(OR(Tbl_ResidentData[[#This Row],[S4]]=TRUE,Tbl_ResidentData[[#This Row],[P4]]=TRUE),1,0)</f>
        <v>0</v>
      </c>
      <c r="CS173" s="120">
        <f ca="1">IF(OR(Tbl_ResidentData[[#This Row],[S5]]=TRUE,Tbl_ResidentData[[#This Row],[P5]]=TRUE),1,0)</f>
        <v>0</v>
      </c>
      <c r="CT173" s="120">
        <f ca="1">IF(OR(Tbl_ResidentData[[#This Row],[S6]]=TRUE,Tbl_ResidentData[[#This Row],[P6]]=TRUE),1,0)</f>
        <v>0</v>
      </c>
      <c r="CU173" s="120">
        <f ca="1">IF(OR(Tbl_ResidentData[[#This Row],[S7]]=TRUE,Tbl_ResidentData[[#This Row],[P7]]=TRUE),1,0)</f>
        <v>0</v>
      </c>
      <c r="CV173" s="120">
        <f ca="1">IF(OR(Tbl_ResidentData[[#This Row],[S8]]=TRUE,Tbl_ResidentData[[#This Row],[P8]]=TRUE),1,0)</f>
        <v>0</v>
      </c>
      <c r="CW173" s="120">
        <f ca="1">IF(OR(Tbl_ResidentData[[#This Row],[S9]]=TRUE,Tbl_ResidentData[[#This Row],[P9]]=TRUE),1,0)</f>
        <v>0</v>
      </c>
      <c r="CX173" s="120">
        <f ca="1">IF(OR(Tbl_ResidentData[[#This Row],[S10]]=TRUE,Tbl_ResidentData[[#This Row],[P10]]=TRUE),1,0)</f>
        <v>0</v>
      </c>
      <c r="CY173" s="120">
        <f ca="1">IF(OR(Tbl_ResidentData[[#This Row],[S11]]=TRUE,Tbl_ResidentData[[#This Row],[P11]]=TRUE),1,0)</f>
        <v>0</v>
      </c>
      <c r="CZ173" s="120">
        <f ca="1">IF(OR(Tbl_ResidentData[[#This Row],[S12]]=TRUE,Tbl_ResidentData[[#This Row],[P12]]=TRUE),1,0)</f>
        <v>0</v>
      </c>
      <c r="DA173" s="120">
        <f ca="1">IF(OR(Tbl_ResidentData[[#This Row],[S13]]=TRUE,Tbl_ResidentData[[#This Row],[P13]]=TRUE),1,0)</f>
        <v>0</v>
      </c>
      <c r="DB173" s="120">
        <f ca="1">IF(OR(Tbl_ResidentData[[#This Row],[S14]]=TRUE,Tbl_ResidentData[[#This Row],[P14]]=TRUE),1,0)</f>
        <v>0</v>
      </c>
      <c r="DC173" s="120">
        <f ca="1">IF(OR(Tbl_ResidentData[[#This Row],[S15]]=TRUE,Tbl_ResidentData[[#This Row],[P15]]=TRUE),1,0)</f>
        <v>0</v>
      </c>
      <c r="DD173" s="120">
        <f ca="1">IF(OR(Tbl_ResidentData[[#This Row],[S16]]=TRUE,Tbl_ResidentData[[#This Row],[P16]]=TRUE),1,0)</f>
        <v>0</v>
      </c>
      <c r="DE173" s="120">
        <f ca="1">IF(OR(Tbl_ResidentData[[#This Row],[S17]]=TRUE,Tbl_ResidentData[[#This Row],[P17]]=TRUE),1,0)</f>
        <v>0</v>
      </c>
      <c r="DF173" s="120">
        <f ca="1">IF(OR(Tbl_ResidentData[[#This Row],[S18]]=TRUE,Tbl_ResidentData[[#This Row],[P18]]=TRUE),1,0)</f>
        <v>0</v>
      </c>
      <c r="DG173" s="120">
        <f ca="1">IF(OR(Tbl_ResidentData[[#This Row],[S19]]=TRUE,Tbl_ResidentData[[#This Row],[P19]]=TRUE),1,0)</f>
        <v>0</v>
      </c>
      <c r="DH173" s="120">
        <f ca="1">IF(OR(Tbl_ResidentData[[#This Row],[S20]]=TRUE,Tbl_ResidentData[[#This Row],[P20]]=TRUE),1,0)</f>
        <v>0</v>
      </c>
      <c r="DI173" s="120">
        <f ca="1">IF(OR(Tbl_ResidentData[[#This Row],[S21]]=TRUE,Tbl_ResidentData[[#This Row],[P21]]=TRUE),1,0)</f>
        <v>0</v>
      </c>
      <c r="DJ173" s="120">
        <f ca="1">IF(OR(Tbl_ResidentData[[#This Row],[S22]]=TRUE,Tbl_ResidentData[[#This Row],[P22]]=TRUE),1,0)</f>
        <v>0</v>
      </c>
      <c r="DK173" s="120">
        <f ca="1">IF(OR(Tbl_ResidentData[[#This Row],[S23]]=TRUE,Tbl_ResidentData[[#This Row],[P23]]=TRUE),1,0)</f>
        <v>0</v>
      </c>
      <c r="DL173" s="120">
        <f ca="1">IF(OR(Tbl_ResidentData[[#This Row],[S24]]=TRUE,Tbl_ResidentData[[#This Row],[P24]]=TRUE),1,0)</f>
        <v>0</v>
      </c>
      <c r="DM173" s="123" t="str">
        <f ca="1">IFERROR(INDEX($CO$4:$DL$4,MATCH(TRUE,INDEX((Tbl_ResidentData[[#This Row],[Over1]:[Over24]]&lt;&gt;0),0),0)),"")</f>
        <v/>
      </c>
      <c r="DN173" s="133" t="str">
        <f>IFERROR(INDEX(Tbl_PDSAData[Last DRT],MATCH(Tbl_ResidentData[Resident Name '[last, first']],Tbl_PDSAData[Resident Name (last, first)],0)),"")</f>
        <v/>
      </c>
      <c r="DO173" s="222" t="str">
        <f>IFERROR(INDEX(Tbl_PDSAData[Last MR],MATCH(Tbl_ResidentData[Resident Name '[last, first']],Tbl_PDSAData[Resident Name (last, first)],0)),"")</f>
        <v/>
      </c>
    </row>
    <row r="174" spans="1:119" x14ac:dyDescent="0.25">
      <c r="A174" s="179"/>
      <c r="B174" s="180"/>
      <c r="C174" s="180"/>
      <c r="D174" s="218"/>
      <c r="E174" s="179"/>
      <c r="F174" s="179"/>
      <c r="G174" s="181"/>
      <c r="H174" s="182"/>
      <c r="I174" s="185"/>
      <c r="J174" s="387"/>
      <c r="K174" s="178"/>
      <c r="L174" s="388"/>
      <c r="M174" s="185"/>
      <c r="N174" s="386"/>
      <c r="O174" s="178"/>
      <c r="P174" s="388"/>
      <c r="Q174" s="394"/>
      <c r="R174" s="388"/>
      <c r="S174" s="131" t="str">
        <f>IF(ISBLANK(Tbl_ResidentData[[#This Row],[Discharge '[mmm-yyyy']]]),IF(ISBLANK(Tbl_ResidentData[[#This Row],[Enrollment '[mmm-yyyy']]]),"","In Care Home"),"Discharged")</f>
        <v/>
      </c>
      <c r="T174" s="119" t="str">
        <f>IF(ISBLANK(Tbl_ResidentData[[#This Row],[Diagnosis (RAI)]]),IF(ISBLANK(Tbl_ResidentData[[#This Row],[Resident Name '[last, first']]]),"",0),IF(Tbl_ResidentData[[#This Row],[Diagnosis (RAI)]]="Other (see clinical notes)",0,1))</f>
        <v/>
      </c>
      <c r="U174" s="120" t="str">
        <f ca="1">IF(U$4&gt;NOW(),"-",IF(ISBLANK(Tbl_ResidentData[[#This Row],[Enrollment '[mmm-yyyy']]]),"-",AND((Tbl_ResidentData[[#This Row],[Enrollment '[mmm-yyyy']]]&lt;=U$4),IF(ISBLANK(Tbl_ResidentData[[#This Row],[Discharge '[mmm-yyyy']]]),TRUE,(Tbl_ResidentData[[#This Row],[Discharge '[mmm-yyyy']]]&gt;=U$4)))))</f>
        <v>-</v>
      </c>
      <c r="V174" s="121" t="str">
        <f ca="1">IF(V$4&gt;NOW(),"-",IF(ISBLANK(Tbl_ResidentData[[#This Row],[Enrollment '[mmm-yyyy']]]),"-",AND((Tbl_ResidentData[[#This Row],[Enrollment '[mmm-yyyy']]]&lt;=V$4),IF(ISBLANK(Tbl_ResidentData[[#This Row],[Discharge '[mmm-yyyy']]]),TRUE,(Tbl_ResidentData[[#This Row],[Discharge '[mmm-yyyy']]]&gt;=V$4)))))</f>
        <v>-</v>
      </c>
      <c r="W174" s="121" t="str">
        <f ca="1">IF(W$4&gt;NOW(),"-",IF(ISBLANK(Tbl_ResidentData[[#This Row],[Enrollment '[mmm-yyyy']]]),"-",AND((Tbl_ResidentData[[#This Row],[Enrollment '[mmm-yyyy']]]&lt;=W$4),IF(ISBLANK(Tbl_ResidentData[[#This Row],[Discharge '[mmm-yyyy']]]),TRUE,(Tbl_ResidentData[[#This Row],[Discharge '[mmm-yyyy']]]&gt;=W$4)))))</f>
        <v>-</v>
      </c>
      <c r="X174" s="121" t="str">
        <f ca="1">IF(X$4&gt;NOW(),"-",IF(ISBLANK(Tbl_ResidentData[[#This Row],[Enrollment '[mmm-yyyy']]]),"-",AND((Tbl_ResidentData[[#This Row],[Enrollment '[mmm-yyyy']]]&lt;=X$4),IF(ISBLANK(Tbl_ResidentData[[#This Row],[Discharge '[mmm-yyyy']]]),TRUE,(Tbl_ResidentData[[#This Row],[Discharge '[mmm-yyyy']]]&gt;=X$4)))))</f>
        <v>-</v>
      </c>
      <c r="Y174" s="121" t="str">
        <f ca="1">IF(Y$4&gt;NOW(),"-",IF(ISBLANK(Tbl_ResidentData[[#This Row],[Enrollment '[mmm-yyyy']]]),"-",AND((Tbl_ResidentData[[#This Row],[Enrollment '[mmm-yyyy']]]&lt;=Y$4),IF(ISBLANK(Tbl_ResidentData[[#This Row],[Discharge '[mmm-yyyy']]]),TRUE,(Tbl_ResidentData[[#This Row],[Discharge '[mmm-yyyy']]]&gt;=Y$4)))))</f>
        <v>-</v>
      </c>
      <c r="Z174" s="121" t="str">
        <f ca="1">IF(Z$4&gt;NOW(),"-",IF(ISBLANK(Tbl_ResidentData[[#This Row],[Enrollment '[mmm-yyyy']]]),"-",AND((Tbl_ResidentData[[#This Row],[Enrollment '[mmm-yyyy']]]&lt;=Z$4),IF(ISBLANK(Tbl_ResidentData[[#This Row],[Discharge '[mmm-yyyy']]]),TRUE,(Tbl_ResidentData[[#This Row],[Discharge '[mmm-yyyy']]]&gt;=Z$4)))))</f>
        <v>-</v>
      </c>
      <c r="AA174" s="121" t="str">
        <f ca="1">IF(AA$4&gt;NOW(),"-",IF(ISBLANK(Tbl_ResidentData[[#This Row],[Enrollment '[mmm-yyyy']]]),"-",AND((Tbl_ResidentData[[#This Row],[Enrollment '[mmm-yyyy']]]&lt;=AA$4),IF(ISBLANK(Tbl_ResidentData[[#This Row],[Discharge '[mmm-yyyy']]]),TRUE,(Tbl_ResidentData[[#This Row],[Discharge '[mmm-yyyy']]]&gt;=AA$4)))))</f>
        <v>-</v>
      </c>
      <c r="AB174" s="121" t="str">
        <f ca="1">IF(AB$4&gt;NOW(),"-",IF(ISBLANK(Tbl_ResidentData[[#This Row],[Enrollment '[mmm-yyyy']]]),"-",AND((Tbl_ResidentData[[#This Row],[Enrollment '[mmm-yyyy']]]&lt;=AB$4),IF(ISBLANK(Tbl_ResidentData[[#This Row],[Discharge '[mmm-yyyy']]]),TRUE,(Tbl_ResidentData[[#This Row],[Discharge '[mmm-yyyy']]]&gt;=AB$4)))))</f>
        <v>-</v>
      </c>
      <c r="AC174" s="121" t="str">
        <f ca="1">IF(AC$4&gt;NOW(),"-",IF(ISBLANK(Tbl_ResidentData[[#This Row],[Enrollment '[mmm-yyyy']]]),"-",AND((Tbl_ResidentData[[#This Row],[Enrollment '[mmm-yyyy']]]&lt;=AC$4),IF(ISBLANK(Tbl_ResidentData[[#This Row],[Discharge '[mmm-yyyy']]]),TRUE,(Tbl_ResidentData[[#This Row],[Discharge '[mmm-yyyy']]]&gt;=AC$4)))))</f>
        <v>-</v>
      </c>
      <c r="AD174" s="121" t="str">
        <f ca="1">IF(AD$4&gt;NOW(),"-",IF(ISBLANK(Tbl_ResidentData[[#This Row],[Enrollment '[mmm-yyyy']]]),"-",AND((Tbl_ResidentData[[#This Row],[Enrollment '[mmm-yyyy']]]&lt;=AD$4),IF(ISBLANK(Tbl_ResidentData[[#This Row],[Discharge '[mmm-yyyy']]]),TRUE,(Tbl_ResidentData[[#This Row],[Discharge '[mmm-yyyy']]]&gt;=AD$4)))))</f>
        <v>-</v>
      </c>
      <c r="AE174" s="121" t="str">
        <f ca="1">IF(AE$4&gt;NOW(),"-",IF(ISBLANK(Tbl_ResidentData[[#This Row],[Enrollment '[mmm-yyyy']]]),"-",AND((Tbl_ResidentData[[#This Row],[Enrollment '[mmm-yyyy']]]&lt;=AE$4),IF(ISBLANK(Tbl_ResidentData[[#This Row],[Discharge '[mmm-yyyy']]]),TRUE,(Tbl_ResidentData[[#This Row],[Discharge '[mmm-yyyy']]]&gt;=AE$4)))))</f>
        <v>-</v>
      </c>
      <c r="AF174" s="121" t="str">
        <f ca="1">IF(AF$4&gt;NOW(),"-",IF(ISBLANK(Tbl_ResidentData[[#This Row],[Enrollment '[mmm-yyyy']]]),"-",AND((Tbl_ResidentData[[#This Row],[Enrollment '[mmm-yyyy']]]&lt;=AF$4),IF(ISBLANK(Tbl_ResidentData[[#This Row],[Discharge '[mmm-yyyy']]]),TRUE,(Tbl_ResidentData[[#This Row],[Discharge '[mmm-yyyy']]]&gt;=AF$4)))))</f>
        <v>-</v>
      </c>
      <c r="AG174" s="121" t="str">
        <f ca="1">IF(AG$4&gt;NOW(),"-",IF(ISBLANK(Tbl_ResidentData[[#This Row],[Enrollment '[mmm-yyyy']]]),"-",AND((Tbl_ResidentData[[#This Row],[Enrollment '[mmm-yyyy']]]&lt;=AG$4),IF(ISBLANK(Tbl_ResidentData[[#This Row],[Discharge '[mmm-yyyy']]]),TRUE,(Tbl_ResidentData[[#This Row],[Discharge '[mmm-yyyy']]]&gt;=AG$4)))))</f>
        <v>-</v>
      </c>
      <c r="AH174" s="121" t="str">
        <f ca="1">IF(AH$4&gt;NOW(),"-",IF(ISBLANK(Tbl_ResidentData[[#This Row],[Enrollment '[mmm-yyyy']]]),"-",AND((Tbl_ResidentData[[#This Row],[Enrollment '[mmm-yyyy']]]&lt;=AH$4),IF(ISBLANK(Tbl_ResidentData[[#This Row],[Discharge '[mmm-yyyy']]]),TRUE,(Tbl_ResidentData[[#This Row],[Discharge '[mmm-yyyy']]]&gt;=AH$4)))))</f>
        <v>-</v>
      </c>
      <c r="AI174" s="121" t="str">
        <f ca="1">IF(AI$4&gt;NOW(),"-",IF(ISBLANK(Tbl_ResidentData[[#This Row],[Enrollment '[mmm-yyyy']]]),"-",AND((Tbl_ResidentData[[#This Row],[Enrollment '[mmm-yyyy']]]&lt;=AI$4),IF(ISBLANK(Tbl_ResidentData[[#This Row],[Discharge '[mmm-yyyy']]]),TRUE,(Tbl_ResidentData[[#This Row],[Discharge '[mmm-yyyy']]]&gt;=AI$4)))))</f>
        <v>-</v>
      </c>
      <c r="AJ174" s="121" t="str">
        <f ca="1">IF(AJ$4&gt;NOW(),"-",IF(ISBLANK(Tbl_ResidentData[[#This Row],[Enrollment '[mmm-yyyy']]]),"-",AND((Tbl_ResidentData[[#This Row],[Enrollment '[mmm-yyyy']]]&lt;=AJ$4),IF(ISBLANK(Tbl_ResidentData[[#This Row],[Discharge '[mmm-yyyy']]]),TRUE,(Tbl_ResidentData[[#This Row],[Discharge '[mmm-yyyy']]]&gt;=AJ$4)))))</f>
        <v>-</v>
      </c>
      <c r="AK174" s="121" t="str">
        <f ca="1">IF(AK$4&gt;NOW(),"-",IF(ISBLANK(Tbl_ResidentData[[#This Row],[Enrollment '[mmm-yyyy']]]),"-",AND((Tbl_ResidentData[[#This Row],[Enrollment '[mmm-yyyy']]]&lt;=AK$4),IF(ISBLANK(Tbl_ResidentData[[#This Row],[Discharge '[mmm-yyyy']]]),TRUE,(Tbl_ResidentData[[#This Row],[Discharge '[mmm-yyyy']]]&gt;=AK$4)))))</f>
        <v>-</v>
      </c>
      <c r="AL174" s="121" t="str">
        <f ca="1">IF(AL$4&gt;NOW(),"-",IF(ISBLANK(Tbl_ResidentData[[#This Row],[Enrollment '[mmm-yyyy']]]),"-",AND((Tbl_ResidentData[[#This Row],[Enrollment '[mmm-yyyy']]]&lt;=AL$4),IF(ISBLANK(Tbl_ResidentData[[#This Row],[Discharge '[mmm-yyyy']]]),TRUE,(Tbl_ResidentData[[#This Row],[Discharge '[mmm-yyyy']]]&gt;=AL$4)))))</f>
        <v>-</v>
      </c>
      <c r="AM174" s="121" t="str">
        <f ca="1">IF(AM$4&gt;NOW(),"-",IF(ISBLANK(Tbl_ResidentData[[#This Row],[Enrollment '[mmm-yyyy']]]),"-",AND((Tbl_ResidentData[[#This Row],[Enrollment '[mmm-yyyy']]]&lt;=AM$4),IF(ISBLANK(Tbl_ResidentData[[#This Row],[Discharge '[mmm-yyyy']]]),TRUE,(Tbl_ResidentData[[#This Row],[Discharge '[mmm-yyyy']]]&gt;=AM$4)))))</f>
        <v>-</v>
      </c>
      <c r="AN174" s="121" t="str">
        <f ca="1">IF(AN$4&gt;NOW(),"-",IF(ISBLANK(Tbl_ResidentData[[#This Row],[Enrollment '[mmm-yyyy']]]),"-",AND((Tbl_ResidentData[[#This Row],[Enrollment '[mmm-yyyy']]]&lt;=AN$4),IF(ISBLANK(Tbl_ResidentData[[#This Row],[Discharge '[mmm-yyyy']]]),TRUE,(Tbl_ResidentData[[#This Row],[Discharge '[mmm-yyyy']]]&gt;=AN$4)))))</f>
        <v>-</v>
      </c>
      <c r="AO174" s="121" t="str">
        <f ca="1">IF(AO$4&gt;NOW(),"-",IF(ISBLANK(Tbl_ResidentData[[#This Row],[Enrollment '[mmm-yyyy']]]),"-",AND((Tbl_ResidentData[[#This Row],[Enrollment '[mmm-yyyy']]]&lt;=AO$4),IF(ISBLANK(Tbl_ResidentData[[#This Row],[Discharge '[mmm-yyyy']]]),TRUE,(Tbl_ResidentData[[#This Row],[Discharge '[mmm-yyyy']]]&gt;=AO$4)))))</f>
        <v>-</v>
      </c>
      <c r="AP174" s="121" t="str">
        <f ca="1">IF(AP$4&gt;NOW(),"-",IF(ISBLANK(Tbl_ResidentData[[#This Row],[Enrollment '[mmm-yyyy']]]),"-",AND((Tbl_ResidentData[[#This Row],[Enrollment '[mmm-yyyy']]]&lt;=AP$4),IF(ISBLANK(Tbl_ResidentData[[#This Row],[Discharge '[mmm-yyyy']]]),TRUE,(Tbl_ResidentData[[#This Row],[Discharge '[mmm-yyyy']]]&gt;=AP$4)))))</f>
        <v>-</v>
      </c>
      <c r="AQ174" s="121" t="str">
        <f ca="1">IF(AQ$4&gt;NOW(),"-",IF(ISBLANK(Tbl_ResidentData[[#This Row],[Enrollment '[mmm-yyyy']]]),"-",AND((Tbl_ResidentData[[#This Row],[Enrollment '[mmm-yyyy']]]&lt;=AQ$4),IF(ISBLANK(Tbl_ResidentData[[#This Row],[Discharge '[mmm-yyyy']]]),TRUE,(Tbl_ResidentData[[#This Row],[Discharge '[mmm-yyyy']]]&gt;=AQ$4)))))</f>
        <v>-</v>
      </c>
      <c r="AR174" s="122" t="str">
        <f ca="1">IF(AR$4&gt;NOW(),"-",IF(ISBLANK(Tbl_ResidentData[[#This Row],[Enrollment '[mmm-yyyy']]]),"-",AND((Tbl_ResidentData[[#This Row],[Enrollment '[mmm-yyyy']]]&lt;=AR$4),IF(ISBLANK(Tbl_ResidentData[[#This Row],[Discharge '[mmm-yyyy']]]),TRUE,(Tbl_ResidentData[[#This Row],[Discharge '[mmm-yyyy']]]&gt;=AR$4)))))</f>
        <v>-</v>
      </c>
      <c r="AS17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4" s="120" t="b">
        <f ca="1">AND(Tbl_ResidentData[[#This Row],[PRN Med Started]]&lt;&gt;"",Tbl_ResidentData[[#This Row],[PRN Med Started]]&lt;=NOW(),Tbl_ResidentData[[#This Row],[PRN Med Started]]&lt;=AS$4,OR(Tbl_ResidentData[[#This Row],[PRN Med Discontinued]]&gt;AS$4,ISBLANK(Tbl_ResidentData[[#This Row],[PRN Med Discontinued]])))</f>
        <v>0</v>
      </c>
      <c r="BR174" s="121" t="b">
        <f ca="1">AND(Tbl_ResidentData[[#This Row],[PRN Med Started]]&lt;&gt;"",Tbl_ResidentData[[#This Row],[PRN Med Started]]&lt;=NOW(),Tbl_ResidentData[[#This Row],[PRN Med Started]]&lt;=AT$4,OR(Tbl_ResidentData[[#This Row],[PRN Med Discontinued]]&gt;AT$4,ISBLANK(Tbl_ResidentData[[#This Row],[PRN Med Discontinued]])))</f>
        <v>0</v>
      </c>
      <c r="BS174" s="121" t="b">
        <f ca="1">AND(Tbl_ResidentData[[#This Row],[PRN Med Started]]&lt;&gt;"",Tbl_ResidentData[[#This Row],[PRN Med Started]]&lt;=NOW(),Tbl_ResidentData[[#This Row],[PRN Med Started]]&lt;=AU$4,OR(Tbl_ResidentData[[#This Row],[PRN Med Discontinued]]&gt;AU$4,ISBLANK(Tbl_ResidentData[[#This Row],[PRN Med Discontinued]])))</f>
        <v>0</v>
      </c>
      <c r="BT174" s="121" t="b">
        <f ca="1">AND(Tbl_ResidentData[[#This Row],[PRN Med Started]]&lt;&gt;"",Tbl_ResidentData[[#This Row],[PRN Med Started]]&lt;=NOW(),Tbl_ResidentData[[#This Row],[PRN Med Started]]&lt;=AV$4,OR(Tbl_ResidentData[[#This Row],[PRN Med Discontinued]]&gt;AV$4,ISBLANK(Tbl_ResidentData[[#This Row],[PRN Med Discontinued]])))</f>
        <v>0</v>
      </c>
      <c r="BU174" s="121" t="b">
        <f ca="1">AND(Tbl_ResidentData[[#This Row],[PRN Med Started]]&lt;&gt;"",Tbl_ResidentData[[#This Row],[PRN Med Started]]&lt;=NOW(),Tbl_ResidentData[[#This Row],[PRN Med Started]]&lt;=AW$4,OR(Tbl_ResidentData[[#This Row],[PRN Med Discontinued]]&gt;AW$4,ISBLANK(Tbl_ResidentData[[#This Row],[PRN Med Discontinued]])))</f>
        <v>0</v>
      </c>
      <c r="BV174" s="121" t="b">
        <f ca="1">AND(Tbl_ResidentData[[#This Row],[PRN Med Started]]&lt;&gt;"",Tbl_ResidentData[[#This Row],[PRN Med Started]]&lt;=NOW(),Tbl_ResidentData[[#This Row],[PRN Med Started]]&lt;=AX$4,OR(Tbl_ResidentData[[#This Row],[PRN Med Discontinued]]&gt;AX$4,ISBLANK(Tbl_ResidentData[[#This Row],[PRN Med Discontinued]])))</f>
        <v>0</v>
      </c>
      <c r="BW174" s="121" t="b">
        <f ca="1">AND(Tbl_ResidentData[[#This Row],[PRN Med Started]]&lt;&gt;"",Tbl_ResidentData[[#This Row],[PRN Med Started]]&lt;=NOW(),Tbl_ResidentData[[#This Row],[PRN Med Started]]&lt;=AY$4,OR(Tbl_ResidentData[[#This Row],[PRN Med Discontinued]]&gt;AY$4,ISBLANK(Tbl_ResidentData[[#This Row],[PRN Med Discontinued]])))</f>
        <v>0</v>
      </c>
      <c r="BX174" s="121" t="b">
        <f ca="1">AND(Tbl_ResidentData[[#This Row],[PRN Med Started]]&lt;&gt;"",Tbl_ResidentData[[#This Row],[PRN Med Started]]&lt;=NOW(),Tbl_ResidentData[[#This Row],[PRN Med Started]]&lt;=AZ$4,OR(Tbl_ResidentData[[#This Row],[PRN Med Discontinued]]&gt;AZ$4,ISBLANK(Tbl_ResidentData[[#This Row],[PRN Med Discontinued]])))</f>
        <v>0</v>
      </c>
      <c r="BY174" s="121" t="b">
        <f ca="1">AND(Tbl_ResidentData[[#This Row],[PRN Med Started]]&lt;&gt;"",Tbl_ResidentData[[#This Row],[PRN Med Started]]&lt;=NOW(),Tbl_ResidentData[[#This Row],[PRN Med Started]]&lt;=BA$4,OR(Tbl_ResidentData[[#This Row],[PRN Med Discontinued]]&gt;BA$4,ISBLANK(Tbl_ResidentData[[#This Row],[PRN Med Discontinued]])))</f>
        <v>0</v>
      </c>
      <c r="BZ174" s="121" t="b">
        <f ca="1">AND(Tbl_ResidentData[[#This Row],[PRN Med Started]]&lt;&gt;"",Tbl_ResidentData[[#This Row],[PRN Med Started]]&lt;=NOW(),Tbl_ResidentData[[#This Row],[PRN Med Started]]&lt;=BB$4,OR(Tbl_ResidentData[[#This Row],[PRN Med Discontinued]]&gt;BB$4,ISBLANK(Tbl_ResidentData[[#This Row],[PRN Med Discontinued]])))</f>
        <v>0</v>
      </c>
      <c r="CA174" s="121" t="b">
        <f ca="1">AND(Tbl_ResidentData[[#This Row],[PRN Med Started]]&lt;&gt;"",Tbl_ResidentData[[#This Row],[PRN Med Started]]&lt;=NOW(),Tbl_ResidentData[[#This Row],[PRN Med Started]]&lt;=BC$4,OR(Tbl_ResidentData[[#This Row],[PRN Med Discontinued]]&gt;BC$4,ISBLANK(Tbl_ResidentData[[#This Row],[PRN Med Discontinued]])))</f>
        <v>0</v>
      </c>
      <c r="CB174" s="121" t="b">
        <f ca="1">AND(Tbl_ResidentData[[#This Row],[PRN Med Started]]&lt;&gt;"",Tbl_ResidentData[[#This Row],[PRN Med Started]]&lt;=NOW(),Tbl_ResidentData[[#This Row],[PRN Med Started]]&lt;=BD$4,OR(Tbl_ResidentData[[#This Row],[PRN Med Discontinued]]&gt;BD$4,ISBLANK(Tbl_ResidentData[[#This Row],[PRN Med Discontinued]])))</f>
        <v>0</v>
      </c>
      <c r="CC174" s="121" t="b">
        <f ca="1">AND(Tbl_ResidentData[[#This Row],[PRN Med Started]]&lt;&gt;"",Tbl_ResidentData[[#This Row],[PRN Med Started]]&lt;=NOW(),Tbl_ResidentData[[#This Row],[PRN Med Started]]&lt;=BE$4,OR(Tbl_ResidentData[[#This Row],[PRN Med Discontinued]]&gt;BE$4,ISBLANK(Tbl_ResidentData[[#This Row],[PRN Med Discontinued]])))</f>
        <v>0</v>
      </c>
      <c r="CD174" s="121" t="b">
        <f ca="1">AND(Tbl_ResidentData[[#This Row],[PRN Med Started]]&lt;&gt;"",Tbl_ResidentData[[#This Row],[PRN Med Started]]&lt;=NOW(),Tbl_ResidentData[[#This Row],[PRN Med Started]]&lt;=BF$4,OR(Tbl_ResidentData[[#This Row],[PRN Med Discontinued]]&gt;BF$4,ISBLANK(Tbl_ResidentData[[#This Row],[PRN Med Discontinued]])))</f>
        <v>0</v>
      </c>
      <c r="CE174" s="121" t="b">
        <f ca="1">AND(Tbl_ResidentData[[#This Row],[PRN Med Started]]&lt;&gt;"",Tbl_ResidentData[[#This Row],[PRN Med Started]]&lt;=NOW(),Tbl_ResidentData[[#This Row],[PRN Med Started]]&lt;=BG$4,OR(Tbl_ResidentData[[#This Row],[PRN Med Discontinued]]&gt;BG$4,ISBLANK(Tbl_ResidentData[[#This Row],[PRN Med Discontinued]])))</f>
        <v>0</v>
      </c>
      <c r="CF174" s="121" t="b">
        <f ca="1">AND(Tbl_ResidentData[[#This Row],[PRN Med Started]]&lt;&gt;"",Tbl_ResidentData[[#This Row],[PRN Med Started]]&lt;=NOW(),Tbl_ResidentData[[#This Row],[PRN Med Started]]&lt;=BH$4,OR(Tbl_ResidentData[[#This Row],[PRN Med Discontinued]]&gt;BH$4,ISBLANK(Tbl_ResidentData[[#This Row],[PRN Med Discontinued]])))</f>
        <v>0</v>
      </c>
      <c r="CG174" s="121" t="b">
        <f ca="1">AND(Tbl_ResidentData[[#This Row],[PRN Med Started]]&lt;&gt;"",Tbl_ResidentData[[#This Row],[PRN Med Started]]&lt;=NOW(),Tbl_ResidentData[[#This Row],[PRN Med Started]]&lt;=BI$4,OR(Tbl_ResidentData[[#This Row],[PRN Med Discontinued]]&gt;BI$4,ISBLANK(Tbl_ResidentData[[#This Row],[PRN Med Discontinued]])))</f>
        <v>0</v>
      </c>
      <c r="CH174" s="121" t="b">
        <f ca="1">AND(Tbl_ResidentData[[#This Row],[PRN Med Started]]&lt;&gt;"",Tbl_ResidentData[[#This Row],[PRN Med Started]]&lt;=NOW(),Tbl_ResidentData[[#This Row],[PRN Med Started]]&lt;=BJ$4,OR(Tbl_ResidentData[[#This Row],[PRN Med Discontinued]]&gt;BJ$4,ISBLANK(Tbl_ResidentData[[#This Row],[PRN Med Discontinued]])))</f>
        <v>0</v>
      </c>
      <c r="CI174" s="121" t="b">
        <f ca="1">AND(Tbl_ResidentData[[#This Row],[PRN Med Started]]&lt;&gt;"",Tbl_ResidentData[[#This Row],[PRN Med Started]]&lt;=NOW(),Tbl_ResidentData[[#This Row],[PRN Med Started]]&lt;=BK$4,OR(Tbl_ResidentData[[#This Row],[PRN Med Discontinued]]&gt;BK$4,ISBLANK(Tbl_ResidentData[[#This Row],[PRN Med Discontinued]])))</f>
        <v>0</v>
      </c>
      <c r="CJ174" s="121" t="b">
        <f ca="1">AND(Tbl_ResidentData[[#This Row],[PRN Med Started]]&lt;&gt;"",Tbl_ResidentData[[#This Row],[PRN Med Started]]&lt;=NOW(),Tbl_ResidentData[[#This Row],[PRN Med Started]]&lt;=BL$4,OR(Tbl_ResidentData[[#This Row],[PRN Med Discontinued]]&gt;BL$4,ISBLANK(Tbl_ResidentData[[#This Row],[PRN Med Discontinued]])))</f>
        <v>0</v>
      </c>
      <c r="CK174" s="121" t="b">
        <f ca="1">AND(Tbl_ResidentData[[#This Row],[PRN Med Started]]&lt;&gt;"",Tbl_ResidentData[[#This Row],[PRN Med Started]]&lt;=NOW(),Tbl_ResidentData[[#This Row],[PRN Med Started]]&lt;=BM$4,OR(Tbl_ResidentData[[#This Row],[PRN Med Discontinued]]&gt;BM$4,ISBLANK(Tbl_ResidentData[[#This Row],[PRN Med Discontinued]])))</f>
        <v>0</v>
      </c>
      <c r="CL174" s="121" t="b">
        <f ca="1">AND(Tbl_ResidentData[[#This Row],[PRN Med Started]]&lt;&gt;"",Tbl_ResidentData[[#This Row],[PRN Med Started]]&lt;=NOW(),Tbl_ResidentData[[#This Row],[PRN Med Started]]&lt;=BN$4,OR(Tbl_ResidentData[[#This Row],[PRN Med Discontinued]]&gt;BN$4,ISBLANK(Tbl_ResidentData[[#This Row],[PRN Med Discontinued]])))</f>
        <v>0</v>
      </c>
      <c r="CM174" s="121" t="b">
        <f ca="1">AND(Tbl_ResidentData[[#This Row],[PRN Med Started]]&lt;&gt;"",Tbl_ResidentData[[#This Row],[PRN Med Started]]&lt;=NOW(),Tbl_ResidentData[[#This Row],[PRN Med Started]]&lt;=BO$4,OR(Tbl_ResidentData[[#This Row],[PRN Med Discontinued]]&gt;BO$4,ISBLANK(Tbl_ResidentData[[#This Row],[PRN Med Discontinued]])))</f>
        <v>0</v>
      </c>
      <c r="CN174" s="122" t="b">
        <f ca="1">AND(Tbl_ResidentData[[#This Row],[PRN Med Started]]&lt;&gt;"",Tbl_ResidentData[[#This Row],[PRN Med Started]]&lt;=NOW(),Tbl_ResidentData[[#This Row],[PRN Med Started]]&lt;=BP$4,OR(Tbl_ResidentData[[#This Row],[PRN Med Discontinued]]&gt;BP$4,ISBLANK(Tbl_ResidentData[[#This Row],[PRN Med Discontinued]])))</f>
        <v>0</v>
      </c>
      <c r="CO174" s="120">
        <f ca="1">IF(OR(Tbl_ResidentData[[#This Row],[S1]]=TRUE,Tbl_ResidentData[[#This Row],[P1]]=TRUE),1,0)</f>
        <v>0</v>
      </c>
      <c r="CP174" s="121">
        <f ca="1">IF(OR(Tbl_ResidentData[[#This Row],[S2]]=TRUE,Tbl_ResidentData[[#This Row],[P2]]=TRUE),1,0)</f>
        <v>0</v>
      </c>
      <c r="CQ174" s="121">
        <f ca="1">IF(OR(Tbl_ResidentData[[#This Row],[S3]]=TRUE,Tbl_ResidentData[[#This Row],[P3]]=TRUE),1,0)</f>
        <v>0</v>
      </c>
      <c r="CR174" s="120">
        <f ca="1">IF(OR(Tbl_ResidentData[[#This Row],[S4]]=TRUE,Tbl_ResidentData[[#This Row],[P4]]=TRUE),1,0)</f>
        <v>0</v>
      </c>
      <c r="CS174" s="120">
        <f ca="1">IF(OR(Tbl_ResidentData[[#This Row],[S5]]=TRUE,Tbl_ResidentData[[#This Row],[P5]]=TRUE),1,0)</f>
        <v>0</v>
      </c>
      <c r="CT174" s="120">
        <f ca="1">IF(OR(Tbl_ResidentData[[#This Row],[S6]]=TRUE,Tbl_ResidentData[[#This Row],[P6]]=TRUE),1,0)</f>
        <v>0</v>
      </c>
      <c r="CU174" s="120">
        <f ca="1">IF(OR(Tbl_ResidentData[[#This Row],[S7]]=TRUE,Tbl_ResidentData[[#This Row],[P7]]=TRUE),1,0)</f>
        <v>0</v>
      </c>
      <c r="CV174" s="120">
        <f ca="1">IF(OR(Tbl_ResidentData[[#This Row],[S8]]=TRUE,Tbl_ResidentData[[#This Row],[P8]]=TRUE),1,0)</f>
        <v>0</v>
      </c>
      <c r="CW174" s="120">
        <f ca="1">IF(OR(Tbl_ResidentData[[#This Row],[S9]]=TRUE,Tbl_ResidentData[[#This Row],[P9]]=TRUE),1,0)</f>
        <v>0</v>
      </c>
      <c r="CX174" s="120">
        <f ca="1">IF(OR(Tbl_ResidentData[[#This Row],[S10]]=TRUE,Tbl_ResidentData[[#This Row],[P10]]=TRUE),1,0)</f>
        <v>0</v>
      </c>
      <c r="CY174" s="120">
        <f ca="1">IF(OR(Tbl_ResidentData[[#This Row],[S11]]=TRUE,Tbl_ResidentData[[#This Row],[P11]]=TRUE),1,0)</f>
        <v>0</v>
      </c>
      <c r="CZ174" s="120">
        <f ca="1">IF(OR(Tbl_ResidentData[[#This Row],[S12]]=TRUE,Tbl_ResidentData[[#This Row],[P12]]=TRUE),1,0)</f>
        <v>0</v>
      </c>
      <c r="DA174" s="120">
        <f ca="1">IF(OR(Tbl_ResidentData[[#This Row],[S13]]=TRUE,Tbl_ResidentData[[#This Row],[P13]]=TRUE),1,0)</f>
        <v>0</v>
      </c>
      <c r="DB174" s="120">
        <f ca="1">IF(OR(Tbl_ResidentData[[#This Row],[S14]]=TRUE,Tbl_ResidentData[[#This Row],[P14]]=TRUE),1,0)</f>
        <v>0</v>
      </c>
      <c r="DC174" s="120">
        <f ca="1">IF(OR(Tbl_ResidentData[[#This Row],[S15]]=TRUE,Tbl_ResidentData[[#This Row],[P15]]=TRUE),1,0)</f>
        <v>0</v>
      </c>
      <c r="DD174" s="120">
        <f ca="1">IF(OR(Tbl_ResidentData[[#This Row],[S16]]=TRUE,Tbl_ResidentData[[#This Row],[P16]]=TRUE),1,0)</f>
        <v>0</v>
      </c>
      <c r="DE174" s="120">
        <f ca="1">IF(OR(Tbl_ResidentData[[#This Row],[S17]]=TRUE,Tbl_ResidentData[[#This Row],[P17]]=TRUE),1,0)</f>
        <v>0</v>
      </c>
      <c r="DF174" s="120">
        <f ca="1">IF(OR(Tbl_ResidentData[[#This Row],[S18]]=TRUE,Tbl_ResidentData[[#This Row],[P18]]=TRUE),1,0)</f>
        <v>0</v>
      </c>
      <c r="DG174" s="120">
        <f ca="1">IF(OR(Tbl_ResidentData[[#This Row],[S19]]=TRUE,Tbl_ResidentData[[#This Row],[P19]]=TRUE),1,0)</f>
        <v>0</v>
      </c>
      <c r="DH174" s="120">
        <f ca="1">IF(OR(Tbl_ResidentData[[#This Row],[S20]]=TRUE,Tbl_ResidentData[[#This Row],[P20]]=TRUE),1,0)</f>
        <v>0</v>
      </c>
      <c r="DI174" s="120">
        <f ca="1">IF(OR(Tbl_ResidentData[[#This Row],[S21]]=TRUE,Tbl_ResidentData[[#This Row],[P21]]=TRUE),1,0)</f>
        <v>0</v>
      </c>
      <c r="DJ174" s="120">
        <f ca="1">IF(OR(Tbl_ResidentData[[#This Row],[S22]]=TRUE,Tbl_ResidentData[[#This Row],[P22]]=TRUE),1,0)</f>
        <v>0</v>
      </c>
      <c r="DK174" s="120">
        <f ca="1">IF(OR(Tbl_ResidentData[[#This Row],[S23]]=TRUE,Tbl_ResidentData[[#This Row],[P23]]=TRUE),1,0)</f>
        <v>0</v>
      </c>
      <c r="DL174" s="120">
        <f ca="1">IF(OR(Tbl_ResidentData[[#This Row],[S24]]=TRUE,Tbl_ResidentData[[#This Row],[P24]]=TRUE),1,0)</f>
        <v>0</v>
      </c>
      <c r="DM174" s="123" t="str">
        <f ca="1">IFERROR(INDEX($CO$4:$DL$4,MATCH(TRUE,INDEX((Tbl_ResidentData[[#This Row],[Over1]:[Over24]]&lt;&gt;0),0),0)),"")</f>
        <v/>
      </c>
      <c r="DN174" s="133" t="str">
        <f>IFERROR(INDEX(Tbl_PDSAData[Last DRT],MATCH(Tbl_ResidentData[Resident Name '[last, first']],Tbl_PDSAData[Resident Name (last, first)],0)),"")</f>
        <v/>
      </c>
      <c r="DO174" s="222" t="str">
        <f>IFERROR(INDEX(Tbl_PDSAData[Last MR],MATCH(Tbl_ResidentData[Resident Name '[last, first']],Tbl_PDSAData[Resident Name (last, first)],0)),"")</f>
        <v/>
      </c>
    </row>
    <row r="175" spans="1:119" x14ac:dyDescent="0.25">
      <c r="A175" s="179"/>
      <c r="B175" s="180"/>
      <c r="C175" s="180"/>
      <c r="D175" s="218"/>
      <c r="E175" s="179"/>
      <c r="F175" s="179"/>
      <c r="G175" s="181"/>
      <c r="H175" s="375"/>
      <c r="I175" s="185"/>
      <c r="J175" s="387"/>
      <c r="K175" s="178"/>
      <c r="L175" s="388"/>
      <c r="M175" s="185"/>
      <c r="N175" s="386"/>
      <c r="O175" s="178"/>
      <c r="P175" s="388"/>
      <c r="Q175" s="395"/>
      <c r="R175" s="396"/>
      <c r="S175" s="131" t="str">
        <f>IF(ISBLANK(Tbl_ResidentData[[#This Row],[Discharge '[mmm-yyyy']]]),IF(ISBLANK(Tbl_ResidentData[[#This Row],[Enrollment '[mmm-yyyy']]]),"","In Care Home"),"Discharged")</f>
        <v/>
      </c>
      <c r="T175" s="119" t="str">
        <f>IF(ISBLANK(Tbl_ResidentData[[#This Row],[Diagnosis (RAI)]]),IF(ISBLANK(Tbl_ResidentData[[#This Row],[Resident Name '[last, first']]]),"",0),IF(Tbl_ResidentData[[#This Row],[Diagnosis (RAI)]]="Other (see clinical notes)",0,1))</f>
        <v/>
      </c>
      <c r="U175" s="120" t="str">
        <f ca="1">IF(U$4&gt;NOW(),"-",IF(ISBLANK(Tbl_ResidentData[[#This Row],[Enrollment '[mmm-yyyy']]]),"-",AND((Tbl_ResidentData[[#This Row],[Enrollment '[mmm-yyyy']]]&lt;=U$4),IF(ISBLANK(Tbl_ResidentData[[#This Row],[Discharge '[mmm-yyyy']]]),TRUE,(Tbl_ResidentData[[#This Row],[Discharge '[mmm-yyyy']]]&gt;=U$4)))))</f>
        <v>-</v>
      </c>
      <c r="V175" s="121" t="str">
        <f ca="1">IF(V$4&gt;NOW(),"-",IF(ISBLANK(Tbl_ResidentData[[#This Row],[Enrollment '[mmm-yyyy']]]),"-",AND((Tbl_ResidentData[[#This Row],[Enrollment '[mmm-yyyy']]]&lt;=V$4),IF(ISBLANK(Tbl_ResidentData[[#This Row],[Discharge '[mmm-yyyy']]]),TRUE,(Tbl_ResidentData[[#This Row],[Discharge '[mmm-yyyy']]]&gt;=V$4)))))</f>
        <v>-</v>
      </c>
      <c r="W175" s="121" t="str">
        <f ca="1">IF(W$4&gt;NOW(),"-",IF(ISBLANK(Tbl_ResidentData[[#This Row],[Enrollment '[mmm-yyyy']]]),"-",AND((Tbl_ResidentData[[#This Row],[Enrollment '[mmm-yyyy']]]&lt;=W$4),IF(ISBLANK(Tbl_ResidentData[[#This Row],[Discharge '[mmm-yyyy']]]),TRUE,(Tbl_ResidentData[[#This Row],[Discharge '[mmm-yyyy']]]&gt;=W$4)))))</f>
        <v>-</v>
      </c>
      <c r="X175" s="121" t="str">
        <f ca="1">IF(X$4&gt;NOW(),"-",IF(ISBLANK(Tbl_ResidentData[[#This Row],[Enrollment '[mmm-yyyy']]]),"-",AND((Tbl_ResidentData[[#This Row],[Enrollment '[mmm-yyyy']]]&lt;=X$4),IF(ISBLANK(Tbl_ResidentData[[#This Row],[Discharge '[mmm-yyyy']]]),TRUE,(Tbl_ResidentData[[#This Row],[Discharge '[mmm-yyyy']]]&gt;=X$4)))))</f>
        <v>-</v>
      </c>
      <c r="Y175" s="121" t="str">
        <f ca="1">IF(Y$4&gt;NOW(),"-",IF(ISBLANK(Tbl_ResidentData[[#This Row],[Enrollment '[mmm-yyyy']]]),"-",AND((Tbl_ResidentData[[#This Row],[Enrollment '[mmm-yyyy']]]&lt;=Y$4),IF(ISBLANK(Tbl_ResidentData[[#This Row],[Discharge '[mmm-yyyy']]]),TRUE,(Tbl_ResidentData[[#This Row],[Discharge '[mmm-yyyy']]]&gt;=Y$4)))))</f>
        <v>-</v>
      </c>
      <c r="Z175" s="121" t="str">
        <f ca="1">IF(Z$4&gt;NOW(),"-",IF(ISBLANK(Tbl_ResidentData[[#This Row],[Enrollment '[mmm-yyyy']]]),"-",AND((Tbl_ResidentData[[#This Row],[Enrollment '[mmm-yyyy']]]&lt;=Z$4),IF(ISBLANK(Tbl_ResidentData[[#This Row],[Discharge '[mmm-yyyy']]]),TRUE,(Tbl_ResidentData[[#This Row],[Discharge '[mmm-yyyy']]]&gt;=Z$4)))))</f>
        <v>-</v>
      </c>
      <c r="AA175" s="121" t="str">
        <f ca="1">IF(AA$4&gt;NOW(),"-",IF(ISBLANK(Tbl_ResidentData[[#This Row],[Enrollment '[mmm-yyyy']]]),"-",AND((Tbl_ResidentData[[#This Row],[Enrollment '[mmm-yyyy']]]&lt;=AA$4),IF(ISBLANK(Tbl_ResidentData[[#This Row],[Discharge '[mmm-yyyy']]]),TRUE,(Tbl_ResidentData[[#This Row],[Discharge '[mmm-yyyy']]]&gt;=AA$4)))))</f>
        <v>-</v>
      </c>
      <c r="AB175" s="121" t="str">
        <f ca="1">IF(AB$4&gt;NOW(),"-",IF(ISBLANK(Tbl_ResidentData[[#This Row],[Enrollment '[mmm-yyyy']]]),"-",AND((Tbl_ResidentData[[#This Row],[Enrollment '[mmm-yyyy']]]&lt;=AB$4),IF(ISBLANK(Tbl_ResidentData[[#This Row],[Discharge '[mmm-yyyy']]]),TRUE,(Tbl_ResidentData[[#This Row],[Discharge '[mmm-yyyy']]]&gt;=AB$4)))))</f>
        <v>-</v>
      </c>
      <c r="AC175" s="121" t="str">
        <f ca="1">IF(AC$4&gt;NOW(),"-",IF(ISBLANK(Tbl_ResidentData[[#This Row],[Enrollment '[mmm-yyyy']]]),"-",AND((Tbl_ResidentData[[#This Row],[Enrollment '[mmm-yyyy']]]&lt;=AC$4),IF(ISBLANK(Tbl_ResidentData[[#This Row],[Discharge '[mmm-yyyy']]]),TRUE,(Tbl_ResidentData[[#This Row],[Discharge '[mmm-yyyy']]]&gt;=AC$4)))))</f>
        <v>-</v>
      </c>
      <c r="AD175" s="121" t="str">
        <f ca="1">IF(AD$4&gt;NOW(),"-",IF(ISBLANK(Tbl_ResidentData[[#This Row],[Enrollment '[mmm-yyyy']]]),"-",AND((Tbl_ResidentData[[#This Row],[Enrollment '[mmm-yyyy']]]&lt;=AD$4),IF(ISBLANK(Tbl_ResidentData[[#This Row],[Discharge '[mmm-yyyy']]]),TRUE,(Tbl_ResidentData[[#This Row],[Discharge '[mmm-yyyy']]]&gt;=AD$4)))))</f>
        <v>-</v>
      </c>
      <c r="AE175" s="121" t="str">
        <f ca="1">IF(AE$4&gt;NOW(),"-",IF(ISBLANK(Tbl_ResidentData[[#This Row],[Enrollment '[mmm-yyyy']]]),"-",AND((Tbl_ResidentData[[#This Row],[Enrollment '[mmm-yyyy']]]&lt;=AE$4),IF(ISBLANK(Tbl_ResidentData[[#This Row],[Discharge '[mmm-yyyy']]]),TRUE,(Tbl_ResidentData[[#This Row],[Discharge '[mmm-yyyy']]]&gt;=AE$4)))))</f>
        <v>-</v>
      </c>
      <c r="AF175" s="121" t="str">
        <f ca="1">IF(AF$4&gt;NOW(),"-",IF(ISBLANK(Tbl_ResidentData[[#This Row],[Enrollment '[mmm-yyyy']]]),"-",AND((Tbl_ResidentData[[#This Row],[Enrollment '[mmm-yyyy']]]&lt;=AF$4),IF(ISBLANK(Tbl_ResidentData[[#This Row],[Discharge '[mmm-yyyy']]]),TRUE,(Tbl_ResidentData[[#This Row],[Discharge '[mmm-yyyy']]]&gt;=AF$4)))))</f>
        <v>-</v>
      </c>
      <c r="AG175" s="121" t="str">
        <f ca="1">IF(AG$4&gt;NOW(),"-",IF(ISBLANK(Tbl_ResidentData[[#This Row],[Enrollment '[mmm-yyyy']]]),"-",AND((Tbl_ResidentData[[#This Row],[Enrollment '[mmm-yyyy']]]&lt;=AG$4),IF(ISBLANK(Tbl_ResidentData[[#This Row],[Discharge '[mmm-yyyy']]]),TRUE,(Tbl_ResidentData[[#This Row],[Discharge '[mmm-yyyy']]]&gt;=AG$4)))))</f>
        <v>-</v>
      </c>
      <c r="AH175" s="121" t="str">
        <f ca="1">IF(AH$4&gt;NOW(),"-",IF(ISBLANK(Tbl_ResidentData[[#This Row],[Enrollment '[mmm-yyyy']]]),"-",AND((Tbl_ResidentData[[#This Row],[Enrollment '[mmm-yyyy']]]&lt;=AH$4),IF(ISBLANK(Tbl_ResidentData[[#This Row],[Discharge '[mmm-yyyy']]]),TRUE,(Tbl_ResidentData[[#This Row],[Discharge '[mmm-yyyy']]]&gt;=AH$4)))))</f>
        <v>-</v>
      </c>
      <c r="AI175" s="121" t="str">
        <f ca="1">IF(AI$4&gt;NOW(),"-",IF(ISBLANK(Tbl_ResidentData[[#This Row],[Enrollment '[mmm-yyyy']]]),"-",AND((Tbl_ResidentData[[#This Row],[Enrollment '[mmm-yyyy']]]&lt;=AI$4),IF(ISBLANK(Tbl_ResidentData[[#This Row],[Discharge '[mmm-yyyy']]]),TRUE,(Tbl_ResidentData[[#This Row],[Discharge '[mmm-yyyy']]]&gt;=AI$4)))))</f>
        <v>-</v>
      </c>
      <c r="AJ175" s="121" t="str">
        <f ca="1">IF(AJ$4&gt;NOW(),"-",IF(ISBLANK(Tbl_ResidentData[[#This Row],[Enrollment '[mmm-yyyy']]]),"-",AND((Tbl_ResidentData[[#This Row],[Enrollment '[mmm-yyyy']]]&lt;=AJ$4),IF(ISBLANK(Tbl_ResidentData[[#This Row],[Discharge '[mmm-yyyy']]]),TRUE,(Tbl_ResidentData[[#This Row],[Discharge '[mmm-yyyy']]]&gt;=AJ$4)))))</f>
        <v>-</v>
      </c>
      <c r="AK175" s="121" t="str">
        <f ca="1">IF(AK$4&gt;NOW(),"-",IF(ISBLANK(Tbl_ResidentData[[#This Row],[Enrollment '[mmm-yyyy']]]),"-",AND((Tbl_ResidentData[[#This Row],[Enrollment '[mmm-yyyy']]]&lt;=AK$4),IF(ISBLANK(Tbl_ResidentData[[#This Row],[Discharge '[mmm-yyyy']]]),TRUE,(Tbl_ResidentData[[#This Row],[Discharge '[mmm-yyyy']]]&gt;=AK$4)))))</f>
        <v>-</v>
      </c>
      <c r="AL175" s="121" t="str">
        <f ca="1">IF(AL$4&gt;NOW(),"-",IF(ISBLANK(Tbl_ResidentData[[#This Row],[Enrollment '[mmm-yyyy']]]),"-",AND((Tbl_ResidentData[[#This Row],[Enrollment '[mmm-yyyy']]]&lt;=AL$4),IF(ISBLANK(Tbl_ResidentData[[#This Row],[Discharge '[mmm-yyyy']]]),TRUE,(Tbl_ResidentData[[#This Row],[Discharge '[mmm-yyyy']]]&gt;=AL$4)))))</f>
        <v>-</v>
      </c>
      <c r="AM175" s="121" t="str">
        <f ca="1">IF(AM$4&gt;NOW(),"-",IF(ISBLANK(Tbl_ResidentData[[#This Row],[Enrollment '[mmm-yyyy']]]),"-",AND((Tbl_ResidentData[[#This Row],[Enrollment '[mmm-yyyy']]]&lt;=AM$4),IF(ISBLANK(Tbl_ResidentData[[#This Row],[Discharge '[mmm-yyyy']]]),TRUE,(Tbl_ResidentData[[#This Row],[Discharge '[mmm-yyyy']]]&gt;=AM$4)))))</f>
        <v>-</v>
      </c>
      <c r="AN175" s="121" t="str">
        <f ca="1">IF(AN$4&gt;NOW(),"-",IF(ISBLANK(Tbl_ResidentData[[#This Row],[Enrollment '[mmm-yyyy']]]),"-",AND((Tbl_ResidentData[[#This Row],[Enrollment '[mmm-yyyy']]]&lt;=AN$4),IF(ISBLANK(Tbl_ResidentData[[#This Row],[Discharge '[mmm-yyyy']]]),TRUE,(Tbl_ResidentData[[#This Row],[Discharge '[mmm-yyyy']]]&gt;=AN$4)))))</f>
        <v>-</v>
      </c>
      <c r="AO175" s="121" t="str">
        <f ca="1">IF(AO$4&gt;NOW(),"-",IF(ISBLANK(Tbl_ResidentData[[#This Row],[Enrollment '[mmm-yyyy']]]),"-",AND((Tbl_ResidentData[[#This Row],[Enrollment '[mmm-yyyy']]]&lt;=AO$4),IF(ISBLANK(Tbl_ResidentData[[#This Row],[Discharge '[mmm-yyyy']]]),TRUE,(Tbl_ResidentData[[#This Row],[Discharge '[mmm-yyyy']]]&gt;=AO$4)))))</f>
        <v>-</v>
      </c>
      <c r="AP175" s="121" t="str">
        <f ca="1">IF(AP$4&gt;NOW(),"-",IF(ISBLANK(Tbl_ResidentData[[#This Row],[Enrollment '[mmm-yyyy']]]),"-",AND((Tbl_ResidentData[[#This Row],[Enrollment '[mmm-yyyy']]]&lt;=AP$4),IF(ISBLANK(Tbl_ResidentData[[#This Row],[Discharge '[mmm-yyyy']]]),TRUE,(Tbl_ResidentData[[#This Row],[Discharge '[mmm-yyyy']]]&gt;=AP$4)))))</f>
        <v>-</v>
      </c>
      <c r="AQ175" s="121" t="str">
        <f ca="1">IF(AQ$4&gt;NOW(),"-",IF(ISBLANK(Tbl_ResidentData[[#This Row],[Enrollment '[mmm-yyyy']]]),"-",AND((Tbl_ResidentData[[#This Row],[Enrollment '[mmm-yyyy']]]&lt;=AQ$4),IF(ISBLANK(Tbl_ResidentData[[#This Row],[Discharge '[mmm-yyyy']]]),TRUE,(Tbl_ResidentData[[#This Row],[Discharge '[mmm-yyyy']]]&gt;=AQ$4)))))</f>
        <v>-</v>
      </c>
      <c r="AR175" s="122" t="str">
        <f ca="1">IF(AR$4&gt;NOW(),"-",IF(ISBLANK(Tbl_ResidentData[[#This Row],[Enrollment '[mmm-yyyy']]]),"-",AND((Tbl_ResidentData[[#This Row],[Enrollment '[mmm-yyyy']]]&lt;=AR$4),IF(ISBLANK(Tbl_ResidentData[[#This Row],[Discharge '[mmm-yyyy']]]),TRUE,(Tbl_ResidentData[[#This Row],[Discharge '[mmm-yyyy']]]&gt;=AR$4)))))</f>
        <v>-</v>
      </c>
      <c r="AS17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5" s="120" t="b">
        <f ca="1">AND(Tbl_ResidentData[[#This Row],[PRN Med Started]]&lt;&gt;"",Tbl_ResidentData[[#This Row],[PRN Med Started]]&lt;=NOW(),Tbl_ResidentData[[#This Row],[PRN Med Started]]&lt;=AS$4,OR(Tbl_ResidentData[[#This Row],[PRN Med Discontinued]]&gt;AS$4,ISBLANK(Tbl_ResidentData[[#This Row],[PRN Med Discontinued]])))</f>
        <v>0</v>
      </c>
      <c r="BR175" s="121" t="b">
        <f ca="1">AND(Tbl_ResidentData[[#This Row],[PRN Med Started]]&lt;&gt;"",Tbl_ResidentData[[#This Row],[PRN Med Started]]&lt;=NOW(),Tbl_ResidentData[[#This Row],[PRN Med Started]]&lt;=AT$4,OR(Tbl_ResidentData[[#This Row],[PRN Med Discontinued]]&gt;AT$4,ISBLANK(Tbl_ResidentData[[#This Row],[PRN Med Discontinued]])))</f>
        <v>0</v>
      </c>
      <c r="BS175" s="121" t="b">
        <f ca="1">AND(Tbl_ResidentData[[#This Row],[PRN Med Started]]&lt;&gt;"",Tbl_ResidentData[[#This Row],[PRN Med Started]]&lt;=NOW(),Tbl_ResidentData[[#This Row],[PRN Med Started]]&lt;=AU$4,OR(Tbl_ResidentData[[#This Row],[PRN Med Discontinued]]&gt;AU$4,ISBLANK(Tbl_ResidentData[[#This Row],[PRN Med Discontinued]])))</f>
        <v>0</v>
      </c>
      <c r="BT175" s="121" t="b">
        <f ca="1">AND(Tbl_ResidentData[[#This Row],[PRN Med Started]]&lt;&gt;"",Tbl_ResidentData[[#This Row],[PRN Med Started]]&lt;=NOW(),Tbl_ResidentData[[#This Row],[PRN Med Started]]&lt;=AV$4,OR(Tbl_ResidentData[[#This Row],[PRN Med Discontinued]]&gt;AV$4,ISBLANK(Tbl_ResidentData[[#This Row],[PRN Med Discontinued]])))</f>
        <v>0</v>
      </c>
      <c r="BU175" s="121" t="b">
        <f ca="1">AND(Tbl_ResidentData[[#This Row],[PRN Med Started]]&lt;&gt;"",Tbl_ResidentData[[#This Row],[PRN Med Started]]&lt;=NOW(),Tbl_ResidentData[[#This Row],[PRN Med Started]]&lt;=AW$4,OR(Tbl_ResidentData[[#This Row],[PRN Med Discontinued]]&gt;AW$4,ISBLANK(Tbl_ResidentData[[#This Row],[PRN Med Discontinued]])))</f>
        <v>0</v>
      </c>
      <c r="BV175" s="121" t="b">
        <f ca="1">AND(Tbl_ResidentData[[#This Row],[PRN Med Started]]&lt;&gt;"",Tbl_ResidentData[[#This Row],[PRN Med Started]]&lt;=NOW(),Tbl_ResidentData[[#This Row],[PRN Med Started]]&lt;=AX$4,OR(Tbl_ResidentData[[#This Row],[PRN Med Discontinued]]&gt;AX$4,ISBLANK(Tbl_ResidentData[[#This Row],[PRN Med Discontinued]])))</f>
        <v>0</v>
      </c>
      <c r="BW175" s="121" t="b">
        <f ca="1">AND(Tbl_ResidentData[[#This Row],[PRN Med Started]]&lt;&gt;"",Tbl_ResidentData[[#This Row],[PRN Med Started]]&lt;=NOW(),Tbl_ResidentData[[#This Row],[PRN Med Started]]&lt;=AY$4,OR(Tbl_ResidentData[[#This Row],[PRN Med Discontinued]]&gt;AY$4,ISBLANK(Tbl_ResidentData[[#This Row],[PRN Med Discontinued]])))</f>
        <v>0</v>
      </c>
      <c r="BX175" s="121" t="b">
        <f ca="1">AND(Tbl_ResidentData[[#This Row],[PRN Med Started]]&lt;&gt;"",Tbl_ResidentData[[#This Row],[PRN Med Started]]&lt;=NOW(),Tbl_ResidentData[[#This Row],[PRN Med Started]]&lt;=AZ$4,OR(Tbl_ResidentData[[#This Row],[PRN Med Discontinued]]&gt;AZ$4,ISBLANK(Tbl_ResidentData[[#This Row],[PRN Med Discontinued]])))</f>
        <v>0</v>
      </c>
      <c r="BY175" s="121" t="b">
        <f ca="1">AND(Tbl_ResidentData[[#This Row],[PRN Med Started]]&lt;&gt;"",Tbl_ResidentData[[#This Row],[PRN Med Started]]&lt;=NOW(),Tbl_ResidentData[[#This Row],[PRN Med Started]]&lt;=BA$4,OR(Tbl_ResidentData[[#This Row],[PRN Med Discontinued]]&gt;BA$4,ISBLANK(Tbl_ResidentData[[#This Row],[PRN Med Discontinued]])))</f>
        <v>0</v>
      </c>
      <c r="BZ175" s="121" t="b">
        <f ca="1">AND(Tbl_ResidentData[[#This Row],[PRN Med Started]]&lt;&gt;"",Tbl_ResidentData[[#This Row],[PRN Med Started]]&lt;=NOW(),Tbl_ResidentData[[#This Row],[PRN Med Started]]&lt;=BB$4,OR(Tbl_ResidentData[[#This Row],[PRN Med Discontinued]]&gt;BB$4,ISBLANK(Tbl_ResidentData[[#This Row],[PRN Med Discontinued]])))</f>
        <v>0</v>
      </c>
      <c r="CA175" s="121" t="b">
        <f ca="1">AND(Tbl_ResidentData[[#This Row],[PRN Med Started]]&lt;&gt;"",Tbl_ResidentData[[#This Row],[PRN Med Started]]&lt;=NOW(),Tbl_ResidentData[[#This Row],[PRN Med Started]]&lt;=BC$4,OR(Tbl_ResidentData[[#This Row],[PRN Med Discontinued]]&gt;BC$4,ISBLANK(Tbl_ResidentData[[#This Row],[PRN Med Discontinued]])))</f>
        <v>0</v>
      </c>
      <c r="CB175" s="121" t="b">
        <f ca="1">AND(Tbl_ResidentData[[#This Row],[PRN Med Started]]&lt;&gt;"",Tbl_ResidentData[[#This Row],[PRN Med Started]]&lt;=NOW(),Tbl_ResidentData[[#This Row],[PRN Med Started]]&lt;=BD$4,OR(Tbl_ResidentData[[#This Row],[PRN Med Discontinued]]&gt;BD$4,ISBLANK(Tbl_ResidentData[[#This Row],[PRN Med Discontinued]])))</f>
        <v>0</v>
      </c>
      <c r="CC175" s="121" t="b">
        <f ca="1">AND(Tbl_ResidentData[[#This Row],[PRN Med Started]]&lt;&gt;"",Tbl_ResidentData[[#This Row],[PRN Med Started]]&lt;=NOW(),Tbl_ResidentData[[#This Row],[PRN Med Started]]&lt;=BE$4,OR(Tbl_ResidentData[[#This Row],[PRN Med Discontinued]]&gt;BE$4,ISBLANK(Tbl_ResidentData[[#This Row],[PRN Med Discontinued]])))</f>
        <v>0</v>
      </c>
      <c r="CD175" s="121" t="b">
        <f ca="1">AND(Tbl_ResidentData[[#This Row],[PRN Med Started]]&lt;&gt;"",Tbl_ResidentData[[#This Row],[PRN Med Started]]&lt;=NOW(),Tbl_ResidentData[[#This Row],[PRN Med Started]]&lt;=BF$4,OR(Tbl_ResidentData[[#This Row],[PRN Med Discontinued]]&gt;BF$4,ISBLANK(Tbl_ResidentData[[#This Row],[PRN Med Discontinued]])))</f>
        <v>0</v>
      </c>
      <c r="CE175" s="121" t="b">
        <f ca="1">AND(Tbl_ResidentData[[#This Row],[PRN Med Started]]&lt;&gt;"",Tbl_ResidentData[[#This Row],[PRN Med Started]]&lt;=NOW(),Tbl_ResidentData[[#This Row],[PRN Med Started]]&lt;=BG$4,OR(Tbl_ResidentData[[#This Row],[PRN Med Discontinued]]&gt;BG$4,ISBLANK(Tbl_ResidentData[[#This Row],[PRN Med Discontinued]])))</f>
        <v>0</v>
      </c>
      <c r="CF175" s="121" t="b">
        <f ca="1">AND(Tbl_ResidentData[[#This Row],[PRN Med Started]]&lt;&gt;"",Tbl_ResidentData[[#This Row],[PRN Med Started]]&lt;=NOW(),Tbl_ResidentData[[#This Row],[PRN Med Started]]&lt;=BH$4,OR(Tbl_ResidentData[[#This Row],[PRN Med Discontinued]]&gt;BH$4,ISBLANK(Tbl_ResidentData[[#This Row],[PRN Med Discontinued]])))</f>
        <v>0</v>
      </c>
      <c r="CG175" s="121" t="b">
        <f ca="1">AND(Tbl_ResidentData[[#This Row],[PRN Med Started]]&lt;&gt;"",Tbl_ResidentData[[#This Row],[PRN Med Started]]&lt;=NOW(),Tbl_ResidentData[[#This Row],[PRN Med Started]]&lt;=BI$4,OR(Tbl_ResidentData[[#This Row],[PRN Med Discontinued]]&gt;BI$4,ISBLANK(Tbl_ResidentData[[#This Row],[PRN Med Discontinued]])))</f>
        <v>0</v>
      </c>
      <c r="CH175" s="121" t="b">
        <f ca="1">AND(Tbl_ResidentData[[#This Row],[PRN Med Started]]&lt;&gt;"",Tbl_ResidentData[[#This Row],[PRN Med Started]]&lt;=NOW(),Tbl_ResidentData[[#This Row],[PRN Med Started]]&lt;=BJ$4,OR(Tbl_ResidentData[[#This Row],[PRN Med Discontinued]]&gt;BJ$4,ISBLANK(Tbl_ResidentData[[#This Row],[PRN Med Discontinued]])))</f>
        <v>0</v>
      </c>
      <c r="CI175" s="121" t="b">
        <f ca="1">AND(Tbl_ResidentData[[#This Row],[PRN Med Started]]&lt;&gt;"",Tbl_ResidentData[[#This Row],[PRN Med Started]]&lt;=NOW(),Tbl_ResidentData[[#This Row],[PRN Med Started]]&lt;=BK$4,OR(Tbl_ResidentData[[#This Row],[PRN Med Discontinued]]&gt;BK$4,ISBLANK(Tbl_ResidentData[[#This Row],[PRN Med Discontinued]])))</f>
        <v>0</v>
      </c>
      <c r="CJ175" s="121" t="b">
        <f ca="1">AND(Tbl_ResidentData[[#This Row],[PRN Med Started]]&lt;&gt;"",Tbl_ResidentData[[#This Row],[PRN Med Started]]&lt;=NOW(),Tbl_ResidentData[[#This Row],[PRN Med Started]]&lt;=BL$4,OR(Tbl_ResidentData[[#This Row],[PRN Med Discontinued]]&gt;BL$4,ISBLANK(Tbl_ResidentData[[#This Row],[PRN Med Discontinued]])))</f>
        <v>0</v>
      </c>
      <c r="CK175" s="121" t="b">
        <f ca="1">AND(Tbl_ResidentData[[#This Row],[PRN Med Started]]&lt;&gt;"",Tbl_ResidentData[[#This Row],[PRN Med Started]]&lt;=NOW(),Tbl_ResidentData[[#This Row],[PRN Med Started]]&lt;=BM$4,OR(Tbl_ResidentData[[#This Row],[PRN Med Discontinued]]&gt;BM$4,ISBLANK(Tbl_ResidentData[[#This Row],[PRN Med Discontinued]])))</f>
        <v>0</v>
      </c>
      <c r="CL175" s="121" t="b">
        <f ca="1">AND(Tbl_ResidentData[[#This Row],[PRN Med Started]]&lt;&gt;"",Tbl_ResidentData[[#This Row],[PRN Med Started]]&lt;=NOW(),Tbl_ResidentData[[#This Row],[PRN Med Started]]&lt;=BN$4,OR(Tbl_ResidentData[[#This Row],[PRN Med Discontinued]]&gt;BN$4,ISBLANK(Tbl_ResidentData[[#This Row],[PRN Med Discontinued]])))</f>
        <v>0</v>
      </c>
      <c r="CM175" s="121" t="b">
        <f ca="1">AND(Tbl_ResidentData[[#This Row],[PRN Med Started]]&lt;&gt;"",Tbl_ResidentData[[#This Row],[PRN Med Started]]&lt;=NOW(),Tbl_ResidentData[[#This Row],[PRN Med Started]]&lt;=BO$4,OR(Tbl_ResidentData[[#This Row],[PRN Med Discontinued]]&gt;BO$4,ISBLANK(Tbl_ResidentData[[#This Row],[PRN Med Discontinued]])))</f>
        <v>0</v>
      </c>
      <c r="CN175" s="122" t="b">
        <f ca="1">AND(Tbl_ResidentData[[#This Row],[PRN Med Started]]&lt;&gt;"",Tbl_ResidentData[[#This Row],[PRN Med Started]]&lt;=NOW(),Tbl_ResidentData[[#This Row],[PRN Med Started]]&lt;=BP$4,OR(Tbl_ResidentData[[#This Row],[PRN Med Discontinued]]&gt;BP$4,ISBLANK(Tbl_ResidentData[[#This Row],[PRN Med Discontinued]])))</f>
        <v>0</v>
      </c>
      <c r="CO175" s="120">
        <f ca="1">IF(OR(Tbl_ResidentData[[#This Row],[S1]]=TRUE,Tbl_ResidentData[[#This Row],[P1]]=TRUE),1,0)</f>
        <v>0</v>
      </c>
      <c r="CP175" s="121">
        <f ca="1">IF(OR(Tbl_ResidentData[[#This Row],[S2]]=TRUE,Tbl_ResidentData[[#This Row],[P2]]=TRUE),1,0)</f>
        <v>0</v>
      </c>
      <c r="CQ175" s="121">
        <f ca="1">IF(OR(Tbl_ResidentData[[#This Row],[S3]]=TRUE,Tbl_ResidentData[[#This Row],[P3]]=TRUE),1,0)</f>
        <v>0</v>
      </c>
      <c r="CR175" s="120">
        <f ca="1">IF(OR(Tbl_ResidentData[[#This Row],[S4]]=TRUE,Tbl_ResidentData[[#This Row],[P4]]=TRUE),1,0)</f>
        <v>0</v>
      </c>
      <c r="CS175" s="120">
        <f ca="1">IF(OR(Tbl_ResidentData[[#This Row],[S5]]=TRUE,Tbl_ResidentData[[#This Row],[P5]]=TRUE),1,0)</f>
        <v>0</v>
      </c>
      <c r="CT175" s="120">
        <f ca="1">IF(OR(Tbl_ResidentData[[#This Row],[S6]]=TRUE,Tbl_ResidentData[[#This Row],[P6]]=TRUE),1,0)</f>
        <v>0</v>
      </c>
      <c r="CU175" s="120">
        <f ca="1">IF(OR(Tbl_ResidentData[[#This Row],[S7]]=TRUE,Tbl_ResidentData[[#This Row],[P7]]=TRUE),1,0)</f>
        <v>0</v>
      </c>
      <c r="CV175" s="120">
        <f ca="1">IF(OR(Tbl_ResidentData[[#This Row],[S8]]=TRUE,Tbl_ResidentData[[#This Row],[P8]]=TRUE),1,0)</f>
        <v>0</v>
      </c>
      <c r="CW175" s="120">
        <f ca="1">IF(OR(Tbl_ResidentData[[#This Row],[S9]]=TRUE,Tbl_ResidentData[[#This Row],[P9]]=TRUE),1,0)</f>
        <v>0</v>
      </c>
      <c r="CX175" s="120">
        <f ca="1">IF(OR(Tbl_ResidentData[[#This Row],[S10]]=TRUE,Tbl_ResidentData[[#This Row],[P10]]=TRUE),1,0)</f>
        <v>0</v>
      </c>
      <c r="CY175" s="120">
        <f ca="1">IF(OR(Tbl_ResidentData[[#This Row],[S11]]=TRUE,Tbl_ResidentData[[#This Row],[P11]]=TRUE),1,0)</f>
        <v>0</v>
      </c>
      <c r="CZ175" s="120">
        <f ca="1">IF(OR(Tbl_ResidentData[[#This Row],[S12]]=TRUE,Tbl_ResidentData[[#This Row],[P12]]=TRUE),1,0)</f>
        <v>0</v>
      </c>
      <c r="DA175" s="120">
        <f ca="1">IF(OR(Tbl_ResidentData[[#This Row],[S13]]=TRUE,Tbl_ResidentData[[#This Row],[P13]]=TRUE),1,0)</f>
        <v>0</v>
      </c>
      <c r="DB175" s="120">
        <f ca="1">IF(OR(Tbl_ResidentData[[#This Row],[S14]]=TRUE,Tbl_ResidentData[[#This Row],[P14]]=TRUE),1,0)</f>
        <v>0</v>
      </c>
      <c r="DC175" s="120">
        <f ca="1">IF(OR(Tbl_ResidentData[[#This Row],[S15]]=TRUE,Tbl_ResidentData[[#This Row],[P15]]=TRUE),1,0)</f>
        <v>0</v>
      </c>
      <c r="DD175" s="120">
        <f ca="1">IF(OR(Tbl_ResidentData[[#This Row],[S16]]=TRUE,Tbl_ResidentData[[#This Row],[P16]]=TRUE),1,0)</f>
        <v>0</v>
      </c>
      <c r="DE175" s="120">
        <f ca="1">IF(OR(Tbl_ResidentData[[#This Row],[S17]]=TRUE,Tbl_ResidentData[[#This Row],[P17]]=TRUE),1,0)</f>
        <v>0</v>
      </c>
      <c r="DF175" s="120">
        <f ca="1">IF(OR(Tbl_ResidentData[[#This Row],[S18]]=TRUE,Tbl_ResidentData[[#This Row],[P18]]=TRUE),1,0)</f>
        <v>0</v>
      </c>
      <c r="DG175" s="120">
        <f ca="1">IF(OR(Tbl_ResidentData[[#This Row],[S19]]=TRUE,Tbl_ResidentData[[#This Row],[P19]]=TRUE),1,0)</f>
        <v>0</v>
      </c>
      <c r="DH175" s="120">
        <f ca="1">IF(OR(Tbl_ResidentData[[#This Row],[S20]]=TRUE,Tbl_ResidentData[[#This Row],[P20]]=TRUE),1,0)</f>
        <v>0</v>
      </c>
      <c r="DI175" s="120">
        <f ca="1">IF(OR(Tbl_ResidentData[[#This Row],[S21]]=TRUE,Tbl_ResidentData[[#This Row],[P21]]=TRUE),1,0)</f>
        <v>0</v>
      </c>
      <c r="DJ175" s="120">
        <f ca="1">IF(OR(Tbl_ResidentData[[#This Row],[S22]]=TRUE,Tbl_ResidentData[[#This Row],[P22]]=TRUE),1,0)</f>
        <v>0</v>
      </c>
      <c r="DK175" s="120">
        <f ca="1">IF(OR(Tbl_ResidentData[[#This Row],[S23]]=TRUE,Tbl_ResidentData[[#This Row],[P23]]=TRUE),1,0)</f>
        <v>0</v>
      </c>
      <c r="DL175" s="120">
        <f ca="1">IF(OR(Tbl_ResidentData[[#This Row],[S24]]=TRUE,Tbl_ResidentData[[#This Row],[P24]]=TRUE),1,0)</f>
        <v>0</v>
      </c>
      <c r="DM175" s="123" t="str">
        <f ca="1">IFERROR(INDEX($CO$4:$DL$4,MATCH(TRUE,INDEX((Tbl_ResidentData[[#This Row],[Over1]:[Over24]]&lt;&gt;0),0),0)),"")</f>
        <v/>
      </c>
      <c r="DN175" s="133" t="str">
        <f>IFERROR(INDEX(Tbl_PDSAData[Last DRT],MATCH(Tbl_ResidentData[Resident Name '[last, first']],Tbl_PDSAData[Resident Name (last, first)],0)),"")</f>
        <v/>
      </c>
      <c r="DO175" s="222" t="str">
        <f>IFERROR(INDEX(Tbl_PDSAData[Last MR],MATCH(Tbl_ResidentData[Resident Name '[last, first']],Tbl_PDSAData[Resident Name (last, first)],0)),"")</f>
        <v/>
      </c>
    </row>
    <row r="176" spans="1:119" x14ac:dyDescent="0.25">
      <c r="A176" s="179"/>
      <c r="B176" s="180"/>
      <c r="C176" s="180"/>
      <c r="D176" s="218"/>
      <c r="E176" s="179"/>
      <c r="F176" s="179"/>
      <c r="G176" s="181"/>
      <c r="H176" s="375"/>
      <c r="I176" s="185"/>
      <c r="J176" s="387"/>
      <c r="K176" s="178"/>
      <c r="L176" s="388"/>
      <c r="M176" s="185"/>
      <c r="N176" s="386"/>
      <c r="O176" s="178"/>
      <c r="P176" s="388"/>
      <c r="Q176" s="394"/>
      <c r="R176" s="388"/>
      <c r="S176" s="131" t="str">
        <f>IF(ISBLANK(Tbl_ResidentData[[#This Row],[Discharge '[mmm-yyyy']]]),IF(ISBLANK(Tbl_ResidentData[[#This Row],[Enrollment '[mmm-yyyy']]]),"","In Care Home"),"Discharged")</f>
        <v/>
      </c>
      <c r="T176" s="119" t="str">
        <f>IF(ISBLANK(Tbl_ResidentData[[#This Row],[Diagnosis (RAI)]]),IF(ISBLANK(Tbl_ResidentData[[#This Row],[Resident Name '[last, first']]]),"",0),IF(Tbl_ResidentData[[#This Row],[Diagnosis (RAI)]]="Other (see clinical notes)",0,1))</f>
        <v/>
      </c>
      <c r="U176" s="120" t="str">
        <f ca="1">IF(U$4&gt;NOW(),"-",IF(ISBLANK(Tbl_ResidentData[[#This Row],[Enrollment '[mmm-yyyy']]]),"-",AND((Tbl_ResidentData[[#This Row],[Enrollment '[mmm-yyyy']]]&lt;=U$4),IF(ISBLANK(Tbl_ResidentData[[#This Row],[Discharge '[mmm-yyyy']]]),TRUE,(Tbl_ResidentData[[#This Row],[Discharge '[mmm-yyyy']]]&gt;=U$4)))))</f>
        <v>-</v>
      </c>
      <c r="V176" s="121" t="str">
        <f ca="1">IF(V$4&gt;NOW(),"-",IF(ISBLANK(Tbl_ResidentData[[#This Row],[Enrollment '[mmm-yyyy']]]),"-",AND((Tbl_ResidentData[[#This Row],[Enrollment '[mmm-yyyy']]]&lt;=V$4),IF(ISBLANK(Tbl_ResidentData[[#This Row],[Discharge '[mmm-yyyy']]]),TRUE,(Tbl_ResidentData[[#This Row],[Discharge '[mmm-yyyy']]]&gt;=V$4)))))</f>
        <v>-</v>
      </c>
      <c r="W176" s="121" t="str">
        <f ca="1">IF(W$4&gt;NOW(),"-",IF(ISBLANK(Tbl_ResidentData[[#This Row],[Enrollment '[mmm-yyyy']]]),"-",AND((Tbl_ResidentData[[#This Row],[Enrollment '[mmm-yyyy']]]&lt;=W$4),IF(ISBLANK(Tbl_ResidentData[[#This Row],[Discharge '[mmm-yyyy']]]),TRUE,(Tbl_ResidentData[[#This Row],[Discharge '[mmm-yyyy']]]&gt;=W$4)))))</f>
        <v>-</v>
      </c>
      <c r="X176" s="121" t="str">
        <f ca="1">IF(X$4&gt;NOW(),"-",IF(ISBLANK(Tbl_ResidentData[[#This Row],[Enrollment '[mmm-yyyy']]]),"-",AND((Tbl_ResidentData[[#This Row],[Enrollment '[mmm-yyyy']]]&lt;=X$4),IF(ISBLANK(Tbl_ResidentData[[#This Row],[Discharge '[mmm-yyyy']]]),TRUE,(Tbl_ResidentData[[#This Row],[Discharge '[mmm-yyyy']]]&gt;=X$4)))))</f>
        <v>-</v>
      </c>
      <c r="Y176" s="121" t="str">
        <f ca="1">IF(Y$4&gt;NOW(),"-",IF(ISBLANK(Tbl_ResidentData[[#This Row],[Enrollment '[mmm-yyyy']]]),"-",AND((Tbl_ResidentData[[#This Row],[Enrollment '[mmm-yyyy']]]&lt;=Y$4),IF(ISBLANK(Tbl_ResidentData[[#This Row],[Discharge '[mmm-yyyy']]]),TRUE,(Tbl_ResidentData[[#This Row],[Discharge '[mmm-yyyy']]]&gt;=Y$4)))))</f>
        <v>-</v>
      </c>
      <c r="Z176" s="121" t="str">
        <f ca="1">IF(Z$4&gt;NOW(),"-",IF(ISBLANK(Tbl_ResidentData[[#This Row],[Enrollment '[mmm-yyyy']]]),"-",AND((Tbl_ResidentData[[#This Row],[Enrollment '[mmm-yyyy']]]&lt;=Z$4),IF(ISBLANK(Tbl_ResidentData[[#This Row],[Discharge '[mmm-yyyy']]]),TRUE,(Tbl_ResidentData[[#This Row],[Discharge '[mmm-yyyy']]]&gt;=Z$4)))))</f>
        <v>-</v>
      </c>
      <c r="AA176" s="121" t="str">
        <f ca="1">IF(AA$4&gt;NOW(),"-",IF(ISBLANK(Tbl_ResidentData[[#This Row],[Enrollment '[mmm-yyyy']]]),"-",AND((Tbl_ResidentData[[#This Row],[Enrollment '[mmm-yyyy']]]&lt;=AA$4),IF(ISBLANK(Tbl_ResidentData[[#This Row],[Discharge '[mmm-yyyy']]]),TRUE,(Tbl_ResidentData[[#This Row],[Discharge '[mmm-yyyy']]]&gt;=AA$4)))))</f>
        <v>-</v>
      </c>
      <c r="AB176" s="121" t="str">
        <f ca="1">IF(AB$4&gt;NOW(),"-",IF(ISBLANK(Tbl_ResidentData[[#This Row],[Enrollment '[mmm-yyyy']]]),"-",AND((Tbl_ResidentData[[#This Row],[Enrollment '[mmm-yyyy']]]&lt;=AB$4),IF(ISBLANK(Tbl_ResidentData[[#This Row],[Discharge '[mmm-yyyy']]]),TRUE,(Tbl_ResidentData[[#This Row],[Discharge '[mmm-yyyy']]]&gt;=AB$4)))))</f>
        <v>-</v>
      </c>
      <c r="AC176" s="121" t="str">
        <f ca="1">IF(AC$4&gt;NOW(),"-",IF(ISBLANK(Tbl_ResidentData[[#This Row],[Enrollment '[mmm-yyyy']]]),"-",AND((Tbl_ResidentData[[#This Row],[Enrollment '[mmm-yyyy']]]&lt;=AC$4),IF(ISBLANK(Tbl_ResidentData[[#This Row],[Discharge '[mmm-yyyy']]]),TRUE,(Tbl_ResidentData[[#This Row],[Discharge '[mmm-yyyy']]]&gt;=AC$4)))))</f>
        <v>-</v>
      </c>
      <c r="AD176" s="121" t="str">
        <f ca="1">IF(AD$4&gt;NOW(),"-",IF(ISBLANK(Tbl_ResidentData[[#This Row],[Enrollment '[mmm-yyyy']]]),"-",AND((Tbl_ResidentData[[#This Row],[Enrollment '[mmm-yyyy']]]&lt;=AD$4),IF(ISBLANK(Tbl_ResidentData[[#This Row],[Discharge '[mmm-yyyy']]]),TRUE,(Tbl_ResidentData[[#This Row],[Discharge '[mmm-yyyy']]]&gt;=AD$4)))))</f>
        <v>-</v>
      </c>
      <c r="AE176" s="121" t="str">
        <f ca="1">IF(AE$4&gt;NOW(),"-",IF(ISBLANK(Tbl_ResidentData[[#This Row],[Enrollment '[mmm-yyyy']]]),"-",AND((Tbl_ResidentData[[#This Row],[Enrollment '[mmm-yyyy']]]&lt;=AE$4),IF(ISBLANK(Tbl_ResidentData[[#This Row],[Discharge '[mmm-yyyy']]]),TRUE,(Tbl_ResidentData[[#This Row],[Discharge '[mmm-yyyy']]]&gt;=AE$4)))))</f>
        <v>-</v>
      </c>
      <c r="AF176" s="121" t="str">
        <f ca="1">IF(AF$4&gt;NOW(),"-",IF(ISBLANK(Tbl_ResidentData[[#This Row],[Enrollment '[mmm-yyyy']]]),"-",AND((Tbl_ResidentData[[#This Row],[Enrollment '[mmm-yyyy']]]&lt;=AF$4),IF(ISBLANK(Tbl_ResidentData[[#This Row],[Discharge '[mmm-yyyy']]]),TRUE,(Tbl_ResidentData[[#This Row],[Discharge '[mmm-yyyy']]]&gt;=AF$4)))))</f>
        <v>-</v>
      </c>
      <c r="AG176" s="121" t="str">
        <f ca="1">IF(AG$4&gt;NOW(),"-",IF(ISBLANK(Tbl_ResidentData[[#This Row],[Enrollment '[mmm-yyyy']]]),"-",AND((Tbl_ResidentData[[#This Row],[Enrollment '[mmm-yyyy']]]&lt;=AG$4),IF(ISBLANK(Tbl_ResidentData[[#This Row],[Discharge '[mmm-yyyy']]]),TRUE,(Tbl_ResidentData[[#This Row],[Discharge '[mmm-yyyy']]]&gt;=AG$4)))))</f>
        <v>-</v>
      </c>
      <c r="AH176" s="121" t="str">
        <f ca="1">IF(AH$4&gt;NOW(),"-",IF(ISBLANK(Tbl_ResidentData[[#This Row],[Enrollment '[mmm-yyyy']]]),"-",AND((Tbl_ResidentData[[#This Row],[Enrollment '[mmm-yyyy']]]&lt;=AH$4),IF(ISBLANK(Tbl_ResidentData[[#This Row],[Discharge '[mmm-yyyy']]]),TRUE,(Tbl_ResidentData[[#This Row],[Discharge '[mmm-yyyy']]]&gt;=AH$4)))))</f>
        <v>-</v>
      </c>
      <c r="AI176" s="121" t="str">
        <f ca="1">IF(AI$4&gt;NOW(),"-",IF(ISBLANK(Tbl_ResidentData[[#This Row],[Enrollment '[mmm-yyyy']]]),"-",AND((Tbl_ResidentData[[#This Row],[Enrollment '[mmm-yyyy']]]&lt;=AI$4),IF(ISBLANK(Tbl_ResidentData[[#This Row],[Discharge '[mmm-yyyy']]]),TRUE,(Tbl_ResidentData[[#This Row],[Discharge '[mmm-yyyy']]]&gt;=AI$4)))))</f>
        <v>-</v>
      </c>
      <c r="AJ176" s="121" t="str">
        <f ca="1">IF(AJ$4&gt;NOW(),"-",IF(ISBLANK(Tbl_ResidentData[[#This Row],[Enrollment '[mmm-yyyy']]]),"-",AND((Tbl_ResidentData[[#This Row],[Enrollment '[mmm-yyyy']]]&lt;=AJ$4),IF(ISBLANK(Tbl_ResidentData[[#This Row],[Discharge '[mmm-yyyy']]]),TRUE,(Tbl_ResidentData[[#This Row],[Discharge '[mmm-yyyy']]]&gt;=AJ$4)))))</f>
        <v>-</v>
      </c>
      <c r="AK176" s="121" t="str">
        <f ca="1">IF(AK$4&gt;NOW(),"-",IF(ISBLANK(Tbl_ResidentData[[#This Row],[Enrollment '[mmm-yyyy']]]),"-",AND((Tbl_ResidentData[[#This Row],[Enrollment '[mmm-yyyy']]]&lt;=AK$4),IF(ISBLANK(Tbl_ResidentData[[#This Row],[Discharge '[mmm-yyyy']]]),TRUE,(Tbl_ResidentData[[#This Row],[Discharge '[mmm-yyyy']]]&gt;=AK$4)))))</f>
        <v>-</v>
      </c>
      <c r="AL176" s="121" t="str">
        <f ca="1">IF(AL$4&gt;NOW(),"-",IF(ISBLANK(Tbl_ResidentData[[#This Row],[Enrollment '[mmm-yyyy']]]),"-",AND((Tbl_ResidentData[[#This Row],[Enrollment '[mmm-yyyy']]]&lt;=AL$4),IF(ISBLANK(Tbl_ResidentData[[#This Row],[Discharge '[mmm-yyyy']]]),TRUE,(Tbl_ResidentData[[#This Row],[Discharge '[mmm-yyyy']]]&gt;=AL$4)))))</f>
        <v>-</v>
      </c>
      <c r="AM176" s="121" t="str">
        <f ca="1">IF(AM$4&gt;NOW(),"-",IF(ISBLANK(Tbl_ResidentData[[#This Row],[Enrollment '[mmm-yyyy']]]),"-",AND((Tbl_ResidentData[[#This Row],[Enrollment '[mmm-yyyy']]]&lt;=AM$4),IF(ISBLANK(Tbl_ResidentData[[#This Row],[Discharge '[mmm-yyyy']]]),TRUE,(Tbl_ResidentData[[#This Row],[Discharge '[mmm-yyyy']]]&gt;=AM$4)))))</f>
        <v>-</v>
      </c>
      <c r="AN176" s="121" t="str">
        <f ca="1">IF(AN$4&gt;NOW(),"-",IF(ISBLANK(Tbl_ResidentData[[#This Row],[Enrollment '[mmm-yyyy']]]),"-",AND((Tbl_ResidentData[[#This Row],[Enrollment '[mmm-yyyy']]]&lt;=AN$4),IF(ISBLANK(Tbl_ResidentData[[#This Row],[Discharge '[mmm-yyyy']]]),TRUE,(Tbl_ResidentData[[#This Row],[Discharge '[mmm-yyyy']]]&gt;=AN$4)))))</f>
        <v>-</v>
      </c>
      <c r="AO176" s="121" t="str">
        <f ca="1">IF(AO$4&gt;NOW(),"-",IF(ISBLANK(Tbl_ResidentData[[#This Row],[Enrollment '[mmm-yyyy']]]),"-",AND((Tbl_ResidentData[[#This Row],[Enrollment '[mmm-yyyy']]]&lt;=AO$4),IF(ISBLANK(Tbl_ResidentData[[#This Row],[Discharge '[mmm-yyyy']]]),TRUE,(Tbl_ResidentData[[#This Row],[Discharge '[mmm-yyyy']]]&gt;=AO$4)))))</f>
        <v>-</v>
      </c>
      <c r="AP176" s="121" t="str">
        <f ca="1">IF(AP$4&gt;NOW(),"-",IF(ISBLANK(Tbl_ResidentData[[#This Row],[Enrollment '[mmm-yyyy']]]),"-",AND((Tbl_ResidentData[[#This Row],[Enrollment '[mmm-yyyy']]]&lt;=AP$4),IF(ISBLANK(Tbl_ResidentData[[#This Row],[Discharge '[mmm-yyyy']]]),TRUE,(Tbl_ResidentData[[#This Row],[Discharge '[mmm-yyyy']]]&gt;=AP$4)))))</f>
        <v>-</v>
      </c>
      <c r="AQ176" s="121" t="str">
        <f ca="1">IF(AQ$4&gt;NOW(),"-",IF(ISBLANK(Tbl_ResidentData[[#This Row],[Enrollment '[mmm-yyyy']]]),"-",AND((Tbl_ResidentData[[#This Row],[Enrollment '[mmm-yyyy']]]&lt;=AQ$4),IF(ISBLANK(Tbl_ResidentData[[#This Row],[Discharge '[mmm-yyyy']]]),TRUE,(Tbl_ResidentData[[#This Row],[Discharge '[mmm-yyyy']]]&gt;=AQ$4)))))</f>
        <v>-</v>
      </c>
      <c r="AR176" s="122" t="str">
        <f ca="1">IF(AR$4&gt;NOW(),"-",IF(ISBLANK(Tbl_ResidentData[[#This Row],[Enrollment '[mmm-yyyy']]]),"-",AND((Tbl_ResidentData[[#This Row],[Enrollment '[mmm-yyyy']]]&lt;=AR$4),IF(ISBLANK(Tbl_ResidentData[[#This Row],[Discharge '[mmm-yyyy']]]),TRUE,(Tbl_ResidentData[[#This Row],[Discharge '[mmm-yyyy']]]&gt;=AR$4)))))</f>
        <v>-</v>
      </c>
      <c r="AS17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6" s="120" t="b">
        <f ca="1">AND(Tbl_ResidentData[[#This Row],[PRN Med Started]]&lt;&gt;"",Tbl_ResidentData[[#This Row],[PRN Med Started]]&lt;=NOW(),Tbl_ResidentData[[#This Row],[PRN Med Started]]&lt;=AS$4,OR(Tbl_ResidentData[[#This Row],[PRN Med Discontinued]]&gt;AS$4,ISBLANK(Tbl_ResidentData[[#This Row],[PRN Med Discontinued]])))</f>
        <v>0</v>
      </c>
      <c r="BR176" s="121" t="b">
        <f ca="1">AND(Tbl_ResidentData[[#This Row],[PRN Med Started]]&lt;&gt;"",Tbl_ResidentData[[#This Row],[PRN Med Started]]&lt;=NOW(),Tbl_ResidentData[[#This Row],[PRN Med Started]]&lt;=AT$4,OR(Tbl_ResidentData[[#This Row],[PRN Med Discontinued]]&gt;AT$4,ISBLANK(Tbl_ResidentData[[#This Row],[PRN Med Discontinued]])))</f>
        <v>0</v>
      </c>
      <c r="BS176" s="121" t="b">
        <f ca="1">AND(Tbl_ResidentData[[#This Row],[PRN Med Started]]&lt;&gt;"",Tbl_ResidentData[[#This Row],[PRN Med Started]]&lt;=NOW(),Tbl_ResidentData[[#This Row],[PRN Med Started]]&lt;=AU$4,OR(Tbl_ResidentData[[#This Row],[PRN Med Discontinued]]&gt;AU$4,ISBLANK(Tbl_ResidentData[[#This Row],[PRN Med Discontinued]])))</f>
        <v>0</v>
      </c>
      <c r="BT176" s="121" t="b">
        <f ca="1">AND(Tbl_ResidentData[[#This Row],[PRN Med Started]]&lt;&gt;"",Tbl_ResidentData[[#This Row],[PRN Med Started]]&lt;=NOW(),Tbl_ResidentData[[#This Row],[PRN Med Started]]&lt;=AV$4,OR(Tbl_ResidentData[[#This Row],[PRN Med Discontinued]]&gt;AV$4,ISBLANK(Tbl_ResidentData[[#This Row],[PRN Med Discontinued]])))</f>
        <v>0</v>
      </c>
      <c r="BU176" s="121" t="b">
        <f ca="1">AND(Tbl_ResidentData[[#This Row],[PRN Med Started]]&lt;&gt;"",Tbl_ResidentData[[#This Row],[PRN Med Started]]&lt;=NOW(),Tbl_ResidentData[[#This Row],[PRN Med Started]]&lt;=AW$4,OR(Tbl_ResidentData[[#This Row],[PRN Med Discontinued]]&gt;AW$4,ISBLANK(Tbl_ResidentData[[#This Row],[PRN Med Discontinued]])))</f>
        <v>0</v>
      </c>
      <c r="BV176" s="121" t="b">
        <f ca="1">AND(Tbl_ResidentData[[#This Row],[PRN Med Started]]&lt;&gt;"",Tbl_ResidentData[[#This Row],[PRN Med Started]]&lt;=NOW(),Tbl_ResidentData[[#This Row],[PRN Med Started]]&lt;=AX$4,OR(Tbl_ResidentData[[#This Row],[PRN Med Discontinued]]&gt;AX$4,ISBLANK(Tbl_ResidentData[[#This Row],[PRN Med Discontinued]])))</f>
        <v>0</v>
      </c>
      <c r="BW176" s="121" t="b">
        <f ca="1">AND(Tbl_ResidentData[[#This Row],[PRN Med Started]]&lt;&gt;"",Tbl_ResidentData[[#This Row],[PRN Med Started]]&lt;=NOW(),Tbl_ResidentData[[#This Row],[PRN Med Started]]&lt;=AY$4,OR(Tbl_ResidentData[[#This Row],[PRN Med Discontinued]]&gt;AY$4,ISBLANK(Tbl_ResidentData[[#This Row],[PRN Med Discontinued]])))</f>
        <v>0</v>
      </c>
      <c r="BX176" s="121" t="b">
        <f ca="1">AND(Tbl_ResidentData[[#This Row],[PRN Med Started]]&lt;&gt;"",Tbl_ResidentData[[#This Row],[PRN Med Started]]&lt;=NOW(),Tbl_ResidentData[[#This Row],[PRN Med Started]]&lt;=AZ$4,OR(Tbl_ResidentData[[#This Row],[PRN Med Discontinued]]&gt;AZ$4,ISBLANK(Tbl_ResidentData[[#This Row],[PRN Med Discontinued]])))</f>
        <v>0</v>
      </c>
      <c r="BY176" s="121" t="b">
        <f ca="1">AND(Tbl_ResidentData[[#This Row],[PRN Med Started]]&lt;&gt;"",Tbl_ResidentData[[#This Row],[PRN Med Started]]&lt;=NOW(),Tbl_ResidentData[[#This Row],[PRN Med Started]]&lt;=BA$4,OR(Tbl_ResidentData[[#This Row],[PRN Med Discontinued]]&gt;BA$4,ISBLANK(Tbl_ResidentData[[#This Row],[PRN Med Discontinued]])))</f>
        <v>0</v>
      </c>
      <c r="BZ176" s="121" t="b">
        <f ca="1">AND(Tbl_ResidentData[[#This Row],[PRN Med Started]]&lt;&gt;"",Tbl_ResidentData[[#This Row],[PRN Med Started]]&lt;=NOW(),Tbl_ResidentData[[#This Row],[PRN Med Started]]&lt;=BB$4,OR(Tbl_ResidentData[[#This Row],[PRN Med Discontinued]]&gt;BB$4,ISBLANK(Tbl_ResidentData[[#This Row],[PRN Med Discontinued]])))</f>
        <v>0</v>
      </c>
      <c r="CA176" s="121" t="b">
        <f ca="1">AND(Tbl_ResidentData[[#This Row],[PRN Med Started]]&lt;&gt;"",Tbl_ResidentData[[#This Row],[PRN Med Started]]&lt;=NOW(),Tbl_ResidentData[[#This Row],[PRN Med Started]]&lt;=BC$4,OR(Tbl_ResidentData[[#This Row],[PRN Med Discontinued]]&gt;BC$4,ISBLANK(Tbl_ResidentData[[#This Row],[PRN Med Discontinued]])))</f>
        <v>0</v>
      </c>
      <c r="CB176" s="121" t="b">
        <f ca="1">AND(Tbl_ResidentData[[#This Row],[PRN Med Started]]&lt;&gt;"",Tbl_ResidentData[[#This Row],[PRN Med Started]]&lt;=NOW(),Tbl_ResidentData[[#This Row],[PRN Med Started]]&lt;=BD$4,OR(Tbl_ResidentData[[#This Row],[PRN Med Discontinued]]&gt;BD$4,ISBLANK(Tbl_ResidentData[[#This Row],[PRN Med Discontinued]])))</f>
        <v>0</v>
      </c>
      <c r="CC176" s="121" t="b">
        <f ca="1">AND(Tbl_ResidentData[[#This Row],[PRN Med Started]]&lt;&gt;"",Tbl_ResidentData[[#This Row],[PRN Med Started]]&lt;=NOW(),Tbl_ResidentData[[#This Row],[PRN Med Started]]&lt;=BE$4,OR(Tbl_ResidentData[[#This Row],[PRN Med Discontinued]]&gt;BE$4,ISBLANK(Tbl_ResidentData[[#This Row],[PRN Med Discontinued]])))</f>
        <v>0</v>
      </c>
      <c r="CD176" s="121" t="b">
        <f ca="1">AND(Tbl_ResidentData[[#This Row],[PRN Med Started]]&lt;&gt;"",Tbl_ResidentData[[#This Row],[PRN Med Started]]&lt;=NOW(),Tbl_ResidentData[[#This Row],[PRN Med Started]]&lt;=BF$4,OR(Tbl_ResidentData[[#This Row],[PRN Med Discontinued]]&gt;BF$4,ISBLANK(Tbl_ResidentData[[#This Row],[PRN Med Discontinued]])))</f>
        <v>0</v>
      </c>
      <c r="CE176" s="121" t="b">
        <f ca="1">AND(Tbl_ResidentData[[#This Row],[PRN Med Started]]&lt;&gt;"",Tbl_ResidentData[[#This Row],[PRN Med Started]]&lt;=NOW(),Tbl_ResidentData[[#This Row],[PRN Med Started]]&lt;=BG$4,OR(Tbl_ResidentData[[#This Row],[PRN Med Discontinued]]&gt;BG$4,ISBLANK(Tbl_ResidentData[[#This Row],[PRN Med Discontinued]])))</f>
        <v>0</v>
      </c>
      <c r="CF176" s="121" t="b">
        <f ca="1">AND(Tbl_ResidentData[[#This Row],[PRN Med Started]]&lt;&gt;"",Tbl_ResidentData[[#This Row],[PRN Med Started]]&lt;=NOW(),Tbl_ResidentData[[#This Row],[PRN Med Started]]&lt;=BH$4,OR(Tbl_ResidentData[[#This Row],[PRN Med Discontinued]]&gt;BH$4,ISBLANK(Tbl_ResidentData[[#This Row],[PRN Med Discontinued]])))</f>
        <v>0</v>
      </c>
      <c r="CG176" s="121" t="b">
        <f ca="1">AND(Tbl_ResidentData[[#This Row],[PRN Med Started]]&lt;&gt;"",Tbl_ResidentData[[#This Row],[PRN Med Started]]&lt;=NOW(),Tbl_ResidentData[[#This Row],[PRN Med Started]]&lt;=BI$4,OR(Tbl_ResidentData[[#This Row],[PRN Med Discontinued]]&gt;BI$4,ISBLANK(Tbl_ResidentData[[#This Row],[PRN Med Discontinued]])))</f>
        <v>0</v>
      </c>
      <c r="CH176" s="121" t="b">
        <f ca="1">AND(Tbl_ResidentData[[#This Row],[PRN Med Started]]&lt;&gt;"",Tbl_ResidentData[[#This Row],[PRN Med Started]]&lt;=NOW(),Tbl_ResidentData[[#This Row],[PRN Med Started]]&lt;=BJ$4,OR(Tbl_ResidentData[[#This Row],[PRN Med Discontinued]]&gt;BJ$4,ISBLANK(Tbl_ResidentData[[#This Row],[PRN Med Discontinued]])))</f>
        <v>0</v>
      </c>
      <c r="CI176" s="121" t="b">
        <f ca="1">AND(Tbl_ResidentData[[#This Row],[PRN Med Started]]&lt;&gt;"",Tbl_ResidentData[[#This Row],[PRN Med Started]]&lt;=NOW(),Tbl_ResidentData[[#This Row],[PRN Med Started]]&lt;=BK$4,OR(Tbl_ResidentData[[#This Row],[PRN Med Discontinued]]&gt;BK$4,ISBLANK(Tbl_ResidentData[[#This Row],[PRN Med Discontinued]])))</f>
        <v>0</v>
      </c>
      <c r="CJ176" s="121" t="b">
        <f ca="1">AND(Tbl_ResidentData[[#This Row],[PRN Med Started]]&lt;&gt;"",Tbl_ResidentData[[#This Row],[PRN Med Started]]&lt;=NOW(),Tbl_ResidentData[[#This Row],[PRN Med Started]]&lt;=BL$4,OR(Tbl_ResidentData[[#This Row],[PRN Med Discontinued]]&gt;BL$4,ISBLANK(Tbl_ResidentData[[#This Row],[PRN Med Discontinued]])))</f>
        <v>0</v>
      </c>
      <c r="CK176" s="121" t="b">
        <f ca="1">AND(Tbl_ResidentData[[#This Row],[PRN Med Started]]&lt;&gt;"",Tbl_ResidentData[[#This Row],[PRN Med Started]]&lt;=NOW(),Tbl_ResidentData[[#This Row],[PRN Med Started]]&lt;=BM$4,OR(Tbl_ResidentData[[#This Row],[PRN Med Discontinued]]&gt;BM$4,ISBLANK(Tbl_ResidentData[[#This Row],[PRN Med Discontinued]])))</f>
        <v>0</v>
      </c>
      <c r="CL176" s="121" t="b">
        <f ca="1">AND(Tbl_ResidentData[[#This Row],[PRN Med Started]]&lt;&gt;"",Tbl_ResidentData[[#This Row],[PRN Med Started]]&lt;=NOW(),Tbl_ResidentData[[#This Row],[PRN Med Started]]&lt;=BN$4,OR(Tbl_ResidentData[[#This Row],[PRN Med Discontinued]]&gt;BN$4,ISBLANK(Tbl_ResidentData[[#This Row],[PRN Med Discontinued]])))</f>
        <v>0</v>
      </c>
      <c r="CM176" s="121" t="b">
        <f ca="1">AND(Tbl_ResidentData[[#This Row],[PRN Med Started]]&lt;&gt;"",Tbl_ResidentData[[#This Row],[PRN Med Started]]&lt;=NOW(),Tbl_ResidentData[[#This Row],[PRN Med Started]]&lt;=BO$4,OR(Tbl_ResidentData[[#This Row],[PRN Med Discontinued]]&gt;BO$4,ISBLANK(Tbl_ResidentData[[#This Row],[PRN Med Discontinued]])))</f>
        <v>0</v>
      </c>
      <c r="CN176" s="122" t="b">
        <f ca="1">AND(Tbl_ResidentData[[#This Row],[PRN Med Started]]&lt;&gt;"",Tbl_ResidentData[[#This Row],[PRN Med Started]]&lt;=NOW(),Tbl_ResidentData[[#This Row],[PRN Med Started]]&lt;=BP$4,OR(Tbl_ResidentData[[#This Row],[PRN Med Discontinued]]&gt;BP$4,ISBLANK(Tbl_ResidentData[[#This Row],[PRN Med Discontinued]])))</f>
        <v>0</v>
      </c>
      <c r="CO176" s="120">
        <f ca="1">IF(OR(Tbl_ResidentData[[#This Row],[S1]]=TRUE,Tbl_ResidentData[[#This Row],[P1]]=TRUE),1,0)</f>
        <v>0</v>
      </c>
      <c r="CP176" s="121">
        <f ca="1">IF(OR(Tbl_ResidentData[[#This Row],[S2]]=TRUE,Tbl_ResidentData[[#This Row],[P2]]=TRUE),1,0)</f>
        <v>0</v>
      </c>
      <c r="CQ176" s="121">
        <f ca="1">IF(OR(Tbl_ResidentData[[#This Row],[S3]]=TRUE,Tbl_ResidentData[[#This Row],[P3]]=TRUE),1,0)</f>
        <v>0</v>
      </c>
      <c r="CR176" s="120">
        <f ca="1">IF(OR(Tbl_ResidentData[[#This Row],[S4]]=TRUE,Tbl_ResidentData[[#This Row],[P4]]=TRUE),1,0)</f>
        <v>0</v>
      </c>
      <c r="CS176" s="120">
        <f ca="1">IF(OR(Tbl_ResidentData[[#This Row],[S5]]=TRUE,Tbl_ResidentData[[#This Row],[P5]]=TRUE),1,0)</f>
        <v>0</v>
      </c>
      <c r="CT176" s="120">
        <f ca="1">IF(OR(Tbl_ResidentData[[#This Row],[S6]]=TRUE,Tbl_ResidentData[[#This Row],[P6]]=TRUE),1,0)</f>
        <v>0</v>
      </c>
      <c r="CU176" s="120">
        <f ca="1">IF(OR(Tbl_ResidentData[[#This Row],[S7]]=TRUE,Tbl_ResidentData[[#This Row],[P7]]=TRUE),1,0)</f>
        <v>0</v>
      </c>
      <c r="CV176" s="120">
        <f ca="1">IF(OR(Tbl_ResidentData[[#This Row],[S8]]=TRUE,Tbl_ResidentData[[#This Row],[P8]]=TRUE),1,0)</f>
        <v>0</v>
      </c>
      <c r="CW176" s="120">
        <f ca="1">IF(OR(Tbl_ResidentData[[#This Row],[S9]]=TRUE,Tbl_ResidentData[[#This Row],[P9]]=TRUE),1,0)</f>
        <v>0</v>
      </c>
      <c r="CX176" s="120">
        <f ca="1">IF(OR(Tbl_ResidentData[[#This Row],[S10]]=TRUE,Tbl_ResidentData[[#This Row],[P10]]=TRUE),1,0)</f>
        <v>0</v>
      </c>
      <c r="CY176" s="120">
        <f ca="1">IF(OR(Tbl_ResidentData[[#This Row],[S11]]=TRUE,Tbl_ResidentData[[#This Row],[P11]]=TRUE),1,0)</f>
        <v>0</v>
      </c>
      <c r="CZ176" s="120">
        <f ca="1">IF(OR(Tbl_ResidentData[[#This Row],[S12]]=TRUE,Tbl_ResidentData[[#This Row],[P12]]=TRUE),1,0)</f>
        <v>0</v>
      </c>
      <c r="DA176" s="120">
        <f ca="1">IF(OR(Tbl_ResidentData[[#This Row],[S13]]=TRUE,Tbl_ResidentData[[#This Row],[P13]]=TRUE),1,0)</f>
        <v>0</v>
      </c>
      <c r="DB176" s="120">
        <f ca="1">IF(OR(Tbl_ResidentData[[#This Row],[S14]]=TRUE,Tbl_ResidentData[[#This Row],[P14]]=TRUE),1,0)</f>
        <v>0</v>
      </c>
      <c r="DC176" s="120">
        <f ca="1">IF(OR(Tbl_ResidentData[[#This Row],[S15]]=TRUE,Tbl_ResidentData[[#This Row],[P15]]=TRUE),1,0)</f>
        <v>0</v>
      </c>
      <c r="DD176" s="120">
        <f ca="1">IF(OR(Tbl_ResidentData[[#This Row],[S16]]=TRUE,Tbl_ResidentData[[#This Row],[P16]]=TRUE),1,0)</f>
        <v>0</v>
      </c>
      <c r="DE176" s="120">
        <f ca="1">IF(OR(Tbl_ResidentData[[#This Row],[S17]]=TRUE,Tbl_ResidentData[[#This Row],[P17]]=TRUE),1,0)</f>
        <v>0</v>
      </c>
      <c r="DF176" s="120">
        <f ca="1">IF(OR(Tbl_ResidentData[[#This Row],[S18]]=TRUE,Tbl_ResidentData[[#This Row],[P18]]=TRUE),1,0)</f>
        <v>0</v>
      </c>
      <c r="DG176" s="120">
        <f ca="1">IF(OR(Tbl_ResidentData[[#This Row],[S19]]=TRUE,Tbl_ResidentData[[#This Row],[P19]]=TRUE),1,0)</f>
        <v>0</v>
      </c>
      <c r="DH176" s="120">
        <f ca="1">IF(OR(Tbl_ResidentData[[#This Row],[S20]]=TRUE,Tbl_ResidentData[[#This Row],[P20]]=TRUE),1,0)</f>
        <v>0</v>
      </c>
      <c r="DI176" s="120">
        <f ca="1">IF(OR(Tbl_ResidentData[[#This Row],[S21]]=TRUE,Tbl_ResidentData[[#This Row],[P21]]=TRUE),1,0)</f>
        <v>0</v>
      </c>
      <c r="DJ176" s="120">
        <f ca="1">IF(OR(Tbl_ResidentData[[#This Row],[S22]]=TRUE,Tbl_ResidentData[[#This Row],[P22]]=TRUE),1,0)</f>
        <v>0</v>
      </c>
      <c r="DK176" s="120">
        <f ca="1">IF(OR(Tbl_ResidentData[[#This Row],[S23]]=TRUE,Tbl_ResidentData[[#This Row],[P23]]=TRUE),1,0)</f>
        <v>0</v>
      </c>
      <c r="DL176" s="120">
        <f ca="1">IF(OR(Tbl_ResidentData[[#This Row],[S24]]=TRUE,Tbl_ResidentData[[#This Row],[P24]]=TRUE),1,0)</f>
        <v>0</v>
      </c>
      <c r="DM176" s="123" t="str">
        <f ca="1">IFERROR(INDEX($CO$4:$DL$4,MATCH(TRUE,INDEX((Tbl_ResidentData[[#This Row],[Over1]:[Over24]]&lt;&gt;0),0),0)),"")</f>
        <v/>
      </c>
      <c r="DN176" s="133" t="str">
        <f>IFERROR(INDEX(Tbl_PDSAData[Last DRT],MATCH(Tbl_ResidentData[Resident Name '[last, first']],Tbl_PDSAData[Resident Name (last, first)],0)),"")</f>
        <v/>
      </c>
      <c r="DO176" s="222" t="str">
        <f>IFERROR(INDEX(Tbl_PDSAData[Last MR],MATCH(Tbl_ResidentData[Resident Name '[last, first']],Tbl_PDSAData[Resident Name (last, first)],0)),"")</f>
        <v/>
      </c>
    </row>
    <row r="177" spans="1:119" x14ac:dyDescent="0.25">
      <c r="A177" s="179"/>
      <c r="B177" s="180"/>
      <c r="C177" s="180"/>
      <c r="D177" s="218"/>
      <c r="E177" s="179"/>
      <c r="F177" s="179"/>
      <c r="G177" s="181"/>
      <c r="H177" s="182"/>
      <c r="I177" s="185"/>
      <c r="J177" s="387"/>
      <c r="K177" s="178"/>
      <c r="L177" s="388"/>
      <c r="M177" s="185"/>
      <c r="N177" s="386"/>
      <c r="O177" s="178"/>
      <c r="P177" s="388"/>
      <c r="Q177" s="395"/>
      <c r="R177" s="396"/>
      <c r="S177" s="131" t="str">
        <f>IF(ISBLANK(Tbl_ResidentData[[#This Row],[Discharge '[mmm-yyyy']]]),IF(ISBLANK(Tbl_ResidentData[[#This Row],[Enrollment '[mmm-yyyy']]]),"","In Care Home"),"Discharged")</f>
        <v/>
      </c>
      <c r="T177" s="119" t="str">
        <f>IF(ISBLANK(Tbl_ResidentData[[#This Row],[Diagnosis (RAI)]]),IF(ISBLANK(Tbl_ResidentData[[#This Row],[Resident Name '[last, first']]]),"",0),IF(Tbl_ResidentData[[#This Row],[Diagnosis (RAI)]]="Other (see clinical notes)",0,1))</f>
        <v/>
      </c>
      <c r="U177" s="120" t="str">
        <f ca="1">IF(U$4&gt;NOW(),"-",IF(ISBLANK(Tbl_ResidentData[[#This Row],[Enrollment '[mmm-yyyy']]]),"-",AND((Tbl_ResidentData[[#This Row],[Enrollment '[mmm-yyyy']]]&lt;=U$4),IF(ISBLANK(Tbl_ResidentData[[#This Row],[Discharge '[mmm-yyyy']]]),TRUE,(Tbl_ResidentData[[#This Row],[Discharge '[mmm-yyyy']]]&gt;=U$4)))))</f>
        <v>-</v>
      </c>
      <c r="V177" s="121" t="str">
        <f ca="1">IF(V$4&gt;NOW(),"-",IF(ISBLANK(Tbl_ResidentData[[#This Row],[Enrollment '[mmm-yyyy']]]),"-",AND((Tbl_ResidentData[[#This Row],[Enrollment '[mmm-yyyy']]]&lt;=V$4),IF(ISBLANK(Tbl_ResidentData[[#This Row],[Discharge '[mmm-yyyy']]]),TRUE,(Tbl_ResidentData[[#This Row],[Discharge '[mmm-yyyy']]]&gt;=V$4)))))</f>
        <v>-</v>
      </c>
      <c r="W177" s="121" t="str">
        <f ca="1">IF(W$4&gt;NOW(),"-",IF(ISBLANK(Tbl_ResidentData[[#This Row],[Enrollment '[mmm-yyyy']]]),"-",AND((Tbl_ResidentData[[#This Row],[Enrollment '[mmm-yyyy']]]&lt;=W$4),IF(ISBLANK(Tbl_ResidentData[[#This Row],[Discharge '[mmm-yyyy']]]),TRUE,(Tbl_ResidentData[[#This Row],[Discharge '[mmm-yyyy']]]&gt;=W$4)))))</f>
        <v>-</v>
      </c>
      <c r="X177" s="121" t="str">
        <f ca="1">IF(X$4&gt;NOW(),"-",IF(ISBLANK(Tbl_ResidentData[[#This Row],[Enrollment '[mmm-yyyy']]]),"-",AND((Tbl_ResidentData[[#This Row],[Enrollment '[mmm-yyyy']]]&lt;=X$4),IF(ISBLANK(Tbl_ResidentData[[#This Row],[Discharge '[mmm-yyyy']]]),TRUE,(Tbl_ResidentData[[#This Row],[Discharge '[mmm-yyyy']]]&gt;=X$4)))))</f>
        <v>-</v>
      </c>
      <c r="Y177" s="121" t="str">
        <f ca="1">IF(Y$4&gt;NOW(),"-",IF(ISBLANK(Tbl_ResidentData[[#This Row],[Enrollment '[mmm-yyyy']]]),"-",AND((Tbl_ResidentData[[#This Row],[Enrollment '[mmm-yyyy']]]&lt;=Y$4),IF(ISBLANK(Tbl_ResidentData[[#This Row],[Discharge '[mmm-yyyy']]]),TRUE,(Tbl_ResidentData[[#This Row],[Discharge '[mmm-yyyy']]]&gt;=Y$4)))))</f>
        <v>-</v>
      </c>
      <c r="Z177" s="121" t="str">
        <f ca="1">IF(Z$4&gt;NOW(),"-",IF(ISBLANK(Tbl_ResidentData[[#This Row],[Enrollment '[mmm-yyyy']]]),"-",AND((Tbl_ResidentData[[#This Row],[Enrollment '[mmm-yyyy']]]&lt;=Z$4),IF(ISBLANK(Tbl_ResidentData[[#This Row],[Discharge '[mmm-yyyy']]]),TRUE,(Tbl_ResidentData[[#This Row],[Discharge '[mmm-yyyy']]]&gt;=Z$4)))))</f>
        <v>-</v>
      </c>
      <c r="AA177" s="121" t="str">
        <f ca="1">IF(AA$4&gt;NOW(),"-",IF(ISBLANK(Tbl_ResidentData[[#This Row],[Enrollment '[mmm-yyyy']]]),"-",AND((Tbl_ResidentData[[#This Row],[Enrollment '[mmm-yyyy']]]&lt;=AA$4),IF(ISBLANK(Tbl_ResidentData[[#This Row],[Discharge '[mmm-yyyy']]]),TRUE,(Tbl_ResidentData[[#This Row],[Discharge '[mmm-yyyy']]]&gt;=AA$4)))))</f>
        <v>-</v>
      </c>
      <c r="AB177" s="121" t="str">
        <f ca="1">IF(AB$4&gt;NOW(),"-",IF(ISBLANK(Tbl_ResidentData[[#This Row],[Enrollment '[mmm-yyyy']]]),"-",AND((Tbl_ResidentData[[#This Row],[Enrollment '[mmm-yyyy']]]&lt;=AB$4),IF(ISBLANK(Tbl_ResidentData[[#This Row],[Discharge '[mmm-yyyy']]]),TRUE,(Tbl_ResidentData[[#This Row],[Discharge '[mmm-yyyy']]]&gt;=AB$4)))))</f>
        <v>-</v>
      </c>
      <c r="AC177" s="121" t="str">
        <f ca="1">IF(AC$4&gt;NOW(),"-",IF(ISBLANK(Tbl_ResidentData[[#This Row],[Enrollment '[mmm-yyyy']]]),"-",AND((Tbl_ResidentData[[#This Row],[Enrollment '[mmm-yyyy']]]&lt;=AC$4),IF(ISBLANK(Tbl_ResidentData[[#This Row],[Discharge '[mmm-yyyy']]]),TRUE,(Tbl_ResidentData[[#This Row],[Discharge '[mmm-yyyy']]]&gt;=AC$4)))))</f>
        <v>-</v>
      </c>
      <c r="AD177" s="121" t="str">
        <f ca="1">IF(AD$4&gt;NOW(),"-",IF(ISBLANK(Tbl_ResidentData[[#This Row],[Enrollment '[mmm-yyyy']]]),"-",AND((Tbl_ResidentData[[#This Row],[Enrollment '[mmm-yyyy']]]&lt;=AD$4),IF(ISBLANK(Tbl_ResidentData[[#This Row],[Discharge '[mmm-yyyy']]]),TRUE,(Tbl_ResidentData[[#This Row],[Discharge '[mmm-yyyy']]]&gt;=AD$4)))))</f>
        <v>-</v>
      </c>
      <c r="AE177" s="121" t="str">
        <f ca="1">IF(AE$4&gt;NOW(),"-",IF(ISBLANK(Tbl_ResidentData[[#This Row],[Enrollment '[mmm-yyyy']]]),"-",AND((Tbl_ResidentData[[#This Row],[Enrollment '[mmm-yyyy']]]&lt;=AE$4),IF(ISBLANK(Tbl_ResidentData[[#This Row],[Discharge '[mmm-yyyy']]]),TRUE,(Tbl_ResidentData[[#This Row],[Discharge '[mmm-yyyy']]]&gt;=AE$4)))))</f>
        <v>-</v>
      </c>
      <c r="AF177" s="121" t="str">
        <f ca="1">IF(AF$4&gt;NOW(),"-",IF(ISBLANK(Tbl_ResidentData[[#This Row],[Enrollment '[mmm-yyyy']]]),"-",AND((Tbl_ResidentData[[#This Row],[Enrollment '[mmm-yyyy']]]&lt;=AF$4),IF(ISBLANK(Tbl_ResidentData[[#This Row],[Discharge '[mmm-yyyy']]]),TRUE,(Tbl_ResidentData[[#This Row],[Discharge '[mmm-yyyy']]]&gt;=AF$4)))))</f>
        <v>-</v>
      </c>
      <c r="AG177" s="121" t="str">
        <f ca="1">IF(AG$4&gt;NOW(),"-",IF(ISBLANK(Tbl_ResidentData[[#This Row],[Enrollment '[mmm-yyyy']]]),"-",AND((Tbl_ResidentData[[#This Row],[Enrollment '[mmm-yyyy']]]&lt;=AG$4),IF(ISBLANK(Tbl_ResidentData[[#This Row],[Discharge '[mmm-yyyy']]]),TRUE,(Tbl_ResidentData[[#This Row],[Discharge '[mmm-yyyy']]]&gt;=AG$4)))))</f>
        <v>-</v>
      </c>
      <c r="AH177" s="121" t="str">
        <f ca="1">IF(AH$4&gt;NOW(),"-",IF(ISBLANK(Tbl_ResidentData[[#This Row],[Enrollment '[mmm-yyyy']]]),"-",AND((Tbl_ResidentData[[#This Row],[Enrollment '[mmm-yyyy']]]&lt;=AH$4),IF(ISBLANK(Tbl_ResidentData[[#This Row],[Discharge '[mmm-yyyy']]]),TRUE,(Tbl_ResidentData[[#This Row],[Discharge '[mmm-yyyy']]]&gt;=AH$4)))))</f>
        <v>-</v>
      </c>
      <c r="AI177" s="121" t="str">
        <f ca="1">IF(AI$4&gt;NOW(),"-",IF(ISBLANK(Tbl_ResidentData[[#This Row],[Enrollment '[mmm-yyyy']]]),"-",AND((Tbl_ResidentData[[#This Row],[Enrollment '[mmm-yyyy']]]&lt;=AI$4),IF(ISBLANK(Tbl_ResidentData[[#This Row],[Discharge '[mmm-yyyy']]]),TRUE,(Tbl_ResidentData[[#This Row],[Discharge '[mmm-yyyy']]]&gt;=AI$4)))))</f>
        <v>-</v>
      </c>
      <c r="AJ177" s="121" t="str">
        <f ca="1">IF(AJ$4&gt;NOW(),"-",IF(ISBLANK(Tbl_ResidentData[[#This Row],[Enrollment '[mmm-yyyy']]]),"-",AND((Tbl_ResidentData[[#This Row],[Enrollment '[mmm-yyyy']]]&lt;=AJ$4),IF(ISBLANK(Tbl_ResidentData[[#This Row],[Discharge '[mmm-yyyy']]]),TRUE,(Tbl_ResidentData[[#This Row],[Discharge '[mmm-yyyy']]]&gt;=AJ$4)))))</f>
        <v>-</v>
      </c>
      <c r="AK177" s="121" t="str">
        <f ca="1">IF(AK$4&gt;NOW(),"-",IF(ISBLANK(Tbl_ResidentData[[#This Row],[Enrollment '[mmm-yyyy']]]),"-",AND((Tbl_ResidentData[[#This Row],[Enrollment '[mmm-yyyy']]]&lt;=AK$4),IF(ISBLANK(Tbl_ResidentData[[#This Row],[Discharge '[mmm-yyyy']]]),TRUE,(Tbl_ResidentData[[#This Row],[Discharge '[mmm-yyyy']]]&gt;=AK$4)))))</f>
        <v>-</v>
      </c>
      <c r="AL177" s="121" t="str">
        <f ca="1">IF(AL$4&gt;NOW(),"-",IF(ISBLANK(Tbl_ResidentData[[#This Row],[Enrollment '[mmm-yyyy']]]),"-",AND((Tbl_ResidentData[[#This Row],[Enrollment '[mmm-yyyy']]]&lt;=AL$4),IF(ISBLANK(Tbl_ResidentData[[#This Row],[Discharge '[mmm-yyyy']]]),TRUE,(Tbl_ResidentData[[#This Row],[Discharge '[mmm-yyyy']]]&gt;=AL$4)))))</f>
        <v>-</v>
      </c>
      <c r="AM177" s="121" t="str">
        <f ca="1">IF(AM$4&gt;NOW(),"-",IF(ISBLANK(Tbl_ResidentData[[#This Row],[Enrollment '[mmm-yyyy']]]),"-",AND((Tbl_ResidentData[[#This Row],[Enrollment '[mmm-yyyy']]]&lt;=AM$4),IF(ISBLANK(Tbl_ResidentData[[#This Row],[Discharge '[mmm-yyyy']]]),TRUE,(Tbl_ResidentData[[#This Row],[Discharge '[mmm-yyyy']]]&gt;=AM$4)))))</f>
        <v>-</v>
      </c>
      <c r="AN177" s="121" t="str">
        <f ca="1">IF(AN$4&gt;NOW(),"-",IF(ISBLANK(Tbl_ResidentData[[#This Row],[Enrollment '[mmm-yyyy']]]),"-",AND((Tbl_ResidentData[[#This Row],[Enrollment '[mmm-yyyy']]]&lt;=AN$4),IF(ISBLANK(Tbl_ResidentData[[#This Row],[Discharge '[mmm-yyyy']]]),TRUE,(Tbl_ResidentData[[#This Row],[Discharge '[mmm-yyyy']]]&gt;=AN$4)))))</f>
        <v>-</v>
      </c>
      <c r="AO177" s="121" t="str">
        <f ca="1">IF(AO$4&gt;NOW(),"-",IF(ISBLANK(Tbl_ResidentData[[#This Row],[Enrollment '[mmm-yyyy']]]),"-",AND((Tbl_ResidentData[[#This Row],[Enrollment '[mmm-yyyy']]]&lt;=AO$4),IF(ISBLANK(Tbl_ResidentData[[#This Row],[Discharge '[mmm-yyyy']]]),TRUE,(Tbl_ResidentData[[#This Row],[Discharge '[mmm-yyyy']]]&gt;=AO$4)))))</f>
        <v>-</v>
      </c>
      <c r="AP177" s="121" t="str">
        <f ca="1">IF(AP$4&gt;NOW(),"-",IF(ISBLANK(Tbl_ResidentData[[#This Row],[Enrollment '[mmm-yyyy']]]),"-",AND((Tbl_ResidentData[[#This Row],[Enrollment '[mmm-yyyy']]]&lt;=AP$4),IF(ISBLANK(Tbl_ResidentData[[#This Row],[Discharge '[mmm-yyyy']]]),TRUE,(Tbl_ResidentData[[#This Row],[Discharge '[mmm-yyyy']]]&gt;=AP$4)))))</f>
        <v>-</v>
      </c>
      <c r="AQ177" s="121" t="str">
        <f ca="1">IF(AQ$4&gt;NOW(),"-",IF(ISBLANK(Tbl_ResidentData[[#This Row],[Enrollment '[mmm-yyyy']]]),"-",AND((Tbl_ResidentData[[#This Row],[Enrollment '[mmm-yyyy']]]&lt;=AQ$4),IF(ISBLANK(Tbl_ResidentData[[#This Row],[Discharge '[mmm-yyyy']]]),TRUE,(Tbl_ResidentData[[#This Row],[Discharge '[mmm-yyyy']]]&gt;=AQ$4)))))</f>
        <v>-</v>
      </c>
      <c r="AR177" s="122" t="str">
        <f ca="1">IF(AR$4&gt;NOW(),"-",IF(ISBLANK(Tbl_ResidentData[[#This Row],[Enrollment '[mmm-yyyy']]]),"-",AND((Tbl_ResidentData[[#This Row],[Enrollment '[mmm-yyyy']]]&lt;=AR$4),IF(ISBLANK(Tbl_ResidentData[[#This Row],[Discharge '[mmm-yyyy']]]),TRUE,(Tbl_ResidentData[[#This Row],[Discharge '[mmm-yyyy']]]&gt;=AR$4)))))</f>
        <v>-</v>
      </c>
      <c r="AS17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7" s="120" t="b">
        <f ca="1">AND(Tbl_ResidentData[[#This Row],[PRN Med Started]]&lt;&gt;"",Tbl_ResidentData[[#This Row],[PRN Med Started]]&lt;=NOW(),Tbl_ResidentData[[#This Row],[PRN Med Started]]&lt;=AS$4,OR(Tbl_ResidentData[[#This Row],[PRN Med Discontinued]]&gt;AS$4,ISBLANK(Tbl_ResidentData[[#This Row],[PRN Med Discontinued]])))</f>
        <v>0</v>
      </c>
      <c r="BR177" s="121" t="b">
        <f ca="1">AND(Tbl_ResidentData[[#This Row],[PRN Med Started]]&lt;&gt;"",Tbl_ResidentData[[#This Row],[PRN Med Started]]&lt;=NOW(),Tbl_ResidentData[[#This Row],[PRN Med Started]]&lt;=AT$4,OR(Tbl_ResidentData[[#This Row],[PRN Med Discontinued]]&gt;AT$4,ISBLANK(Tbl_ResidentData[[#This Row],[PRN Med Discontinued]])))</f>
        <v>0</v>
      </c>
      <c r="BS177" s="121" t="b">
        <f ca="1">AND(Tbl_ResidentData[[#This Row],[PRN Med Started]]&lt;&gt;"",Tbl_ResidentData[[#This Row],[PRN Med Started]]&lt;=NOW(),Tbl_ResidentData[[#This Row],[PRN Med Started]]&lt;=AU$4,OR(Tbl_ResidentData[[#This Row],[PRN Med Discontinued]]&gt;AU$4,ISBLANK(Tbl_ResidentData[[#This Row],[PRN Med Discontinued]])))</f>
        <v>0</v>
      </c>
      <c r="BT177" s="121" t="b">
        <f ca="1">AND(Tbl_ResidentData[[#This Row],[PRN Med Started]]&lt;&gt;"",Tbl_ResidentData[[#This Row],[PRN Med Started]]&lt;=NOW(),Tbl_ResidentData[[#This Row],[PRN Med Started]]&lt;=AV$4,OR(Tbl_ResidentData[[#This Row],[PRN Med Discontinued]]&gt;AV$4,ISBLANK(Tbl_ResidentData[[#This Row],[PRN Med Discontinued]])))</f>
        <v>0</v>
      </c>
      <c r="BU177" s="121" t="b">
        <f ca="1">AND(Tbl_ResidentData[[#This Row],[PRN Med Started]]&lt;&gt;"",Tbl_ResidentData[[#This Row],[PRN Med Started]]&lt;=NOW(),Tbl_ResidentData[[#This Row],[PRN Med Started]]&lt;=AW$4,OR(Tbl_ResidentData[[#This Row],[PRN Med Discontinued]]&gt;AW$4,ISBLANK(Tbl_ResidentData[[#This Row],[PRN Med Discontinued]])))</f>
        <v>0</v>
      </c>
      <c r="BV177" s="121" t="b">
        <f ca="1">AND(Tbl_ResidentData[[#This Row],[PRN Med Started]]&lt;&gt;"",Tbl_ResidentData[[#This Row],[PRN Med Started]]&lt;=NOW(),Tbl_ResidentData[[#This Row],[PRN Med Started]]&lt;=AX$4,OR(Tbl_ResidentData[[#This Row],[PRN Med Discontinued]]&gt;AX$4,ISBLANK(Tbl_ResidentData[[#This Row],[PRN Med Discontinued]])))</f>
        <v>0</v>
      </c>
      <c r="BW177" s="121" t="b">
        <f ca="1">AND(Tbl_ResidentData[[#This Row],[PRN Med Started]]&lt;&gt;"",Tbl_ResidentData[[#This Row],[PRN Med Started]]&lt;=NOW(),Tbl_ResidentData[[#This Row],[PRN Med Started]]&lt;=AY$4,OR(Tbl_ResidentData[[#This Row],[PRN Med Discontinued]]&gt;AY$4,ISBLANK(Tbl_ResidentData[[#This Row],[PRN Med Discontinued]])))</f>
        <v>0</v>
      </c>
      <c r="BX177" s="121" t="b">
        <f ca="1">AND(Tbl_ResidentData[[#This Row],[PRN Med Started]]&lt;&gt;"",Tbl_ResidentData[[#This Row],[PRN Med Started]]&lt;=NOW(),Tbl_ResidentData[[#This Row],[PRN Med Started]]&lt;=AZ$4,OR(Tbl_ResidentData[[#This Row],[PRN Med Discontinued]]&gt;AZ$4,ISBLANK(Tbl_ResidentData[[#This Row],[PRN Med Discontinued]])))</f>
        <v>0</v>
      </c>
      <c r="BY177" s="121" t="b">
        <f ca="1">AND(Tbl_ResidentData[[#This Row],[PRN Med Started]]&lt;&gt;"",Tbl_ResidentData[[#This Row],[PRN Med Started]]&lt;=NOW(),Tbl_ResidentData[[#This Row],[PRN Med Started]]&lt;=BA$4,OR(Tbl_ResidentData[[#This Row],[PRN Med Discontinued]]&gt;BA$4,ISBLANK(Tbl_ResidentData[[#This Row],[PRN Med Discontinued]])))</f>
        <v>0</v>
      </c>
      <c r="BZ177" s="121" t="b">
        <f ca="1">AND(Tbl_ResidentData[[#This Row],[PRN Med Started]]&lt;&gt;"",Tbl_ResidentData[[#This Row],[PRN Med Started]]&lt;=NOW(),Tbl_ResidentData[[#This Row],[PRN Med Started]]&lt;=BB$4,OR(Tbl_ResidentData[[#This Row],[PRN Med Discontinued]]&gt;BB$4,ISBLANK(Tbl_ResidentData[[#This Row],[PRN Med Discontinued]])))</f>
        <v>0</v>
      </c>
      <c r="CA177" s="121" t="b">
        <f ca="1">AND(Tbl_ResidentData[[#This Row],[PRN Med Started]]&lt;&gt;"",Tbl_ResidentData[[#This Row],[PRN Med Started]]&lt;=NOW(),Tbl_ResidentData[[#This Row],[PRN Med Started]]&lt;=BC$4,OR(Tbl_ResidentData[[#This Row],[PRN Med Discontinued]]&gt;BC$4,ISBLANK(Tbl_ResidentData[[#This Row],[PRN Med Discontinued]])))</f>
        <v>0</v>
      </c>
      <c r="CB177" s="121" t="b">
        <f ca="1">AND(Tbl_ResidentData[[#This Row],[PRN Med Started]]&lt;&gt;"",Tbl_ResidentData[[#This Row],[PRN Med Started]]&lt;=NOW(),Tbl_ResidentData[[#This Row],[PRN Med Started]]&lt;=BD$4,OR(Tbl_ResidentData[[#This Row],[PRN Med Discontinued]]&gt;BD$4,ISBLANK(Tbl_ResidentData[[#This Row],[PRN Med Discontinued]])))</f>
        <v>0</v>
      </c>
      <c r="CC177" s="121" t="b">
        <f ca="1">AND(Tbl_ResidentData[[#This Row],[PRN Med Started]]&lt;&gt;"",Tbl_ResidentData[[#This Row],[PRN Med Started]]&lt;=NOW(),Tbl_ResidentData[[#This Row],[PRN Med Started]]&lt;=BE$4,OR(Tbl_ResidentData[[#This Row],[PRN Med Discontinued]]&gt;BE$4,ISBLANK(Tbl_ResidentData[[#This Row],[PRN Med Discontinued]])))</f>
        <v>0</v>
      </c>
      <c r="CD177" s="121" t="b">
        <f ca="1">AND(Tbl_ResidentData[[#This Row],[PRN Med Started]]&lt;&gt;"",Tbl_ResidentData[[#This Row],[PRN Med Started]]&lt;=NOW(),Tbl_ResidentData[[#This Row],[PRN Med Started]]&lt;=BF$4,OR(Tbl_ResidentData[[#This Row],[PRN Med Discontinued]]&gt;BF$4,ISBLANK(Tbl_ResidentData[[#This Row],[PRN Med Discontinued]])))</f>
        <v>0</v>
      </c>
      <c r="CE177" s="121" t="b">
        <f ca="1">AND(Tbl_ResidentData[[#This Row],[PRN Med Started]]&lt;&gt;"",Tbl_ResidentData[[#This Row],[PRN Med Started]]&lt;=NOW(),Tbl_ResidentData[[#This Row],[PRN Med Started]]&lt;=BG$4,OR(Tbl_ResidentData[[#This Row],[PRN Med Discontinued]]&gt;BG$4,ISBLANK(Tbl_ResidentData[[#This Row],[PRN Med Discontinued]])))</f>
        <v>0</v>
      </c>
      <c r="CF177" s="121" t="b">
        <f ca="1">AND(Tbl_ResidentData[[#This Row],[PRN Med Started]]&lt;&gt;"",Tbl_ResidentData[[#This Row],[PRN Med Started]]&lt;=NOW(),Tbl_ResidentData[[#This Row],[PRN Med Started]]&lt;=BH$4,OR(Tbl_ResidentData[[#This Row],[PRN Med Discontinued]]&gt;BH$4,ISBLANK(Tbl_ResidentData[[#This Row],[PRN Med Discontinued]])))</f>
        <v>0</v>
      </c>
      <c r="CG177" s="121" t="b">
        <f ca="1">AND(Tbl_ResidentData[[#This Row],[PRN Med Started]]&lt;&gt;"",Tbl_ResidentData[[#This Row],[PRN Med Started]]&lt;=NOW(),Tbl_ResidentData[[#This Row],[PRN Med Started]]&lt;=BI$4,OR(Tbl_ResidentData[[#This Row],[PRN Med Discontinued]]&gt;BI$4,ISBLANK(Tbl_ResidentData[[#This Row],[PRN Med Discontinued]])))</f>
        <v>0</v>
      </c>
      <c r="CH177" s="121" t="b">
        <f ca="1">AND(Tbl_ResidentData[[#This Row],[PRN Med Started]]&lt;&gt;"",Tbl_ResidentData[[#This Row],[PRN Med Started]]&lt;=NOW(),Tbl_ResidentData[[#This Row],[PRN Med Started]]&lt;=BJ$4,OR(Tbl_ResidentData[[#This Row],[PRN Med Discontinued]]&gt;BJ$4,ISBLANK(Tbl_ResidentData[[#This Row],[PRN Med Discontinued]])))</f>
        <v>0</v>
      </c>
      <c r="CI177" s="121" t="b">
        <f ca="1">AND(Tbl_ResidentData[[#This Row],[PRN Med Started]]&lt;&gt;"",Tbl_ResidentData[[#This Row],[PRN Med Started]]&lt;=NOW(),Tbl_ResidentData[[#This Row],[PRN Med Started]]&lt;=BK$4,OR(Tbl_ResidentData[[#This Row],[PRN Med Discontinued]]&gt;BK$4,ISBLANK(Tbl_ResidentData[[#This Row],[PRN Med Discontinued]])))</f>
        <v>0</v>
      </c>
      <c r="CJ177" s="121" t="b">
        <f ca="1">AND(Tbl_ResidentData[[#This Row],[PRN Med Started]]&lt;&gt;"",Tbl_ResidentData[[#This Row],[PRN Med Started]]&lt;=NOW(),Tbl_ResidentData[[#This Row],[PRN Med Started]]&lt;=BL$4,OR(Tbl_ResidentData[[#This Row],[PRN Med Discontinued]]&gt;BL$4,ISBLANK(Tbl_ResidentData[[#This Row],[PRN Med Discontinued]])))</f>
        <v>0</v>
      </c>
      <c r="CK177" s="121" t="b">
        <f ca="1">AND(Tbl_ResidentData[[#This Row],[PRN Med Started]]&lt;&gt;"",Tbl_ResidentData[[#This Row],[PRN Med Started]]&lt;=NOW(),Tbl_ResidentData[[#This Row],[PRN Med Started]]&lt;=BM$4,OR(Tbl_ResidentData[[#This Row],[PRN Med Discontinued]]&gt;BM$4,ISBLANK(Tbl_ResidentData[[#This Row],[PRN Med Discontinued]])))</f>
        <v>0</v>
      </c>
      <c r="CL177" s="121" t="b">
        <f ca="1">AND(Tbl_ResidentData[[#This Row],[PRN Med Started]]&lt;&gt;"",Tbl_ResidentData[[#This Row],[PRN Med Started]]&lt;=NOW(),Tbl_ResidentData[[#This Row],[PRN Med Started]]&lt;=BN$4,OR(Tbl_ResidentData[[#This Row],[PRN Med Discontinued]]&gt;BN$4,ISBLANK(Tbl_ResidentData[[#This Row],[PRN Med Discontinued]])))</f>
        <v>0</v>
      </c>
      <c r="CM177" s="121" t="b">
        <f ca="1">AND(Tbl_ResidentData[[#This Row],[PRN Med Started]]&lt;&gt;"",Tbl_ResidentData[[#This Row],[PRN Med Started]]&lt;=NOW(),Tbl_ResidentData[[#This Row],[PRN Med Started]]&lt;=BO$4,OR(Tbl_ResidentData[[#This Row],[PRN Med Discontinued]]&gt;BO$4,ISBLANK(Tbl_ResidentData[[#This Row],[PRN Med Discontinued]])))</f>
        <v>0</v>
      </c>
      <c r="CN177" s="122" t="b">
        <f ca="1">AND(Tbl_ResidentData[[#This Row],[PRN Med Started]]&lt;&gt;"",Tbl_ResidentData[[#This Row],[PRN Med Started]]&lt;=NOW(),Tbl_ResidentData[[#This Row],[PRN Med Started]]&lt;=BP$4,OR(Tbl_ResidentData[[#This Row],[PRN Med Discontinued]]&gt;BP$4,ISBLANK(Tbl_ResidentData[[#This Row],[PRN Med Discontinued]])))</f>
        <v>0</v>
      </c>
      <c r="CO177" s="120">
        <f ca="1">IF(OR(Tbl_ResidentData[[#This Row],[S1]]=TRUE,Tbl_ResidentData[[#This Row],[P1]]=TRUE),1,0)</f>
        <v>0</v>
      </c>
      <c r="CP177" s="121">
        <f ca="1">IF(OR(Tbl_ResidentData[[#This Row],[S2]]=TRUE,Tbl_ResidentData[[#This Row],[P2]]=TRUE),1,0)</f>
        <v>0</v>
      </c>
      <c r="CQ177" s="121">
        <f ca="1">IF(OR(Tbl_ResidentData[[#This Row],[S3]]=TRUE,Tbl_ResidentData[[#This Row],[P3]]=TRUE),1,0)</f>
        <v>0</v>
      </c>
      <c r="CR177" s="120">
        <f ca="1">IF(OR(Tbl_ResidentData[[#This Row],[S4]]=TRUE,Tbl_ResidentData[[#This Row],[P4]]=TRUE),1,0)</f>
        <v>0</v>
      </c>
      <c r="CS177" s="120">
        <f ca="1">IF(OR(Tbl_ResidentData[[#This Row],[S5]]=TRUE,Tbl_ResidentData[[#This Row],[P5]]=TRUE),1,0)</f>
        <v>0</v>
      </c>
      <c r="CT177" s="120">
        <f ca="1">IF(OR(Tbl_ResidentData[[#This Row],[S6]]=TRUE,Tbl_ResidentData[[#This Row],[P6]]=TRUE),1,0)</f>
        <v>0</v>
      </c>
      <c r="CU177" s="120">
        <f ca="1">IF(OR(Tbl_ResidentData[[#This Row],[S7]]=TRUE,Tbl_ResidentData[[#This Row],[P7]]=TRUE),1,0)</f>
        <v>0</v>
      </c>
      <c r="CV177" s="120">
        <f ca="1">IF(OR(Tbl_ResidentData[[#This Row],[S8]]=TRUE,Tbl_ResidentData[[#This Row],[P8]]=TRUE),1,0)</f>
        <v>0</v>
      </c>
      <c r="CW177" s="120">
        <f ca="1">IF(OR(Tbl_ResidentData[[#This Row],[S9]]=TRUE,Tbl_ResidentData[[#This Row],[P9]]=TRUE),1,0)</f>
        <v>0</v>
      </c>
      <c r="CX177" s="120">
        <f ca="1">IF(OR(Tbl_ResidentData[[#This Row],[S10]]=TRUE,Tbl_ResidentData[[#This Row],[P10]]=TRUE),1,0)</f>
        <v>0</v>
      </c>
      <c r="CY177" s="120">
        <f ca="1">IF(OR(Tbl_ResidentData[[#This Row],[S11]]=TRUE,Tbl_ResidentData[[#This Row],[P11]]=TRUE),1,0)</f>
        <v>0</v>
      </c>
      <c r="CZ177" s="120">
        <f ca="1">IF(OR(Tbl_ResidentData[[#This Row],[S12]]=TRUE,Tbl_ResidentData[[#This Row],[P12]]=TRUE),1,0)</f>
        <v>0</v>
      </c>
      <c r="DA177" s="120">
        <f ca="1">IF(OR(Tbl_ResidentData[[#This Row],[S13]]=TRUE,Tbl_ResidentData[[#This Row],[P13]]=TRUE),1,0)</f>
        <v>0</v>
      </c>
      <c r="DB177" s="120">
        <f ca="1">IF(OR(Tbl_ResidentData[[#This Row],[S14]]=TRUE,Tbl_ResidentData[[#This Row],[P14]]=TRUE),1,0)</f>
        <v>0</v>
      </c>
      <c r="DC177" s="120">
        <f ca="1">IF(OR(Tbl_ResidentData[[#This Row],[S15]]=TRUE,Tbl_ResidentData[[#This Row],[P15]]=TRUE),1,0)</f>
        <v>0</v>
      </c>
      <c r="DD177" s="120">
        <f ca="1">IF(OR(Tbl_ResidentData[[#This Row],[S16]]=TRUE,Tbl_ResidentData[[#This Row],[P16]]=TRUE),1,0)</f>
        <v>0</v>
      </c>
      <c r="DE177" s="120">
        <f ca="1">IF(OR(Tbl_ResidentData[[#This Row],[S17]]=TRUE,Tbl_ResidentData[[#This Row],[P17]]=TRUE),1,0)</f>
        <v>0</v>
      </c>
      <c r="DF177" s="120">
        <f ca="1">IF(OR(Tbl_ResidentData[[#This Row],[S18]]=TRUE,Tbl_ResidentData[[#This Row],[P18]]=TRUE),1,0)</f>
        <v>0</v>
      </c>
      <c r="DG177" s="120">
        <f ca="1">IF(OR(Tbl_ResidentData[[#This Row],[S19]]=TRUE,Tbl_ResidentData[[#This Row],[P19]]=TRUE),1,0)</f>
        <v>0</v>
      </c>
      <c r="DH177" s="120">
        <f ca="1">IF(OR(Tbl_ResidentData[[#This Row],[S20]]=TRUE,Tbl_ResidentData[[#This Row],[P20]]=TRUE),1,0)</f>
        <v>0</v>
      </c>
      <c r="DI177" s="120">
        <f ca="1">IF(OR(Tbl_ResidentData[[#This Row],[S21]]=TRUE,Tbl_ResidentData[[#This Row],[P21]]=TRUE),1,0)</f>
        <v>0</v>
      </c>
      <c r="DJ177" s="120">
        <f ca="1">IF(OR(Tbl_ResidentData[[#This Row],[S22]]=TRUE,Tbl_ResidentData[[#This Row],[P22]]=TRUE),1,0)</f>
        <v>0</v>
      </c>
      <c r="DK177" s="120">
        <f ca="1">IF(OR(Tbl_ResidentData[[#This Row],[S23]]=TRUE,Tbl_ResidentData[[#This Row],[P23]]=TRUE),1,0)</f>
        <v>0</v>
      </c>
      <c r="DL177" s="120">
        <f ca="1">IF(OR(Tbl_ResidentData[[#This Row],[S24]]=TRUE,Tbl_ResidentData[[#This Row],[P24]]=TRUE),1,0)</f>
        <v>0</v>
      </c>
      <c r="DM177" s="123" t="str">
        <f ca="1">IFERROR(INDEX($CO$4:$DL$4,MATCH(TRUE,INDEX((Tbl_ResidentData[[#This Row],[Over1]:[Over24]]&lt;&gt;0),0),0)),"")</f>
        <v/>
      </c>
      <c r="DN177" s="133" t="str">
        <f>IFERROR(INDEX(Tbl_PDSAData[Last DRT],MATCH(Tbl_ResidentData[Resident Name '[last, first']],Tbl_PDSAData[Resident Name (last, first)],0)),"")</f>
        <v/>
      </c>
      <c r="DO177" s="222" t="str">
        <f>IFERROR(INDEX(Tbl_PDSAData[Last MR],MATCH(Tbl_ResidentData[Resident Name '[last, first']],Tbl_PDSAData[Resident Name (last, first)],0)),"")</f>
        <v/>
      </c>
    </row>
    <row r="178" spans="1:119" x14ac:dyDescent="0.25">
      <c r="A178" s="179"/>
      <c r="B178" s="180"/>
      <c r="C178" s="180"/>
      <c r="D178" s="218"/>
      <c r="E178" s="179"/>
      <c r="F178" s="179"/>
      <c r="G178" s="181"/>
      <c r="H178" s="375"/>
      <c r="I178" s="185"/>
      <c r="J178" s="387"/>
      <c r="K178" s="178"/>
      <c r="L178" s="388"/>
      <c r="M178" s="185"/>
      <c r="N178" s="386"/>
      <c r="O178" s="178"/>
      <c r="P178" s="388"/>
      <c r="Q178" s="394"/>
      <c r="R178" s="388"/>
      <c r="S178" s="131" t="str">
        <f>IF(ISBLANK(Tbl_ResidentData[[#This Row],[Discharge '[mmm-yyyy']]]),IF(ISBLANK(Tbl_ResidentData[[#This Row],[Enrollment '[mmm-yyyy']]]),"","In Care Home"),"Discharged")</f>
        <v/>
      </c>
      <c r="T178" s="119" t="str">
        <f>IF(ISBLANK(Tbl_ResidentData[[#This Row],[Diagnosis (RAI)]]),IF(ISBLANK(Tbl_ResidentData[[#This Row],[Resident Name '[last, first']]]),"",0),IF(Tbl_ResidentData[[#This Row],[Diagnosis (RAI)]]="Other (see clinical notes)",0,1))</f>
        <v/>
      </c>
      <c r="U178" s="120" t="str">
        <f ca="1">IF(U$4&gt;NOW(),"-",IF(ISBLANK(Tbl_ResidentData[[#This Row],[Enrollment '[mmm-yyyy']]]),"-",AND((Tbl_ResidentData[[#This Row],[Enrollment '[mmm-yyyy']]]&lt;=U$4),IF(ISBLANK(Tbl_ResidentData[[#This Row],[Discharge '[mmm-yyyy']]]),TRUE,(Tbl_ResidentData[[#This Row],[Discharge '[mmm-yyyy']]]&gt;=U$4)))))</f>
        <v>-</v>
      </c>
      <c r="V178" s="121" t="str">
        <f ca="1">IF(V$4&gt;NOW(),"-",IF(ISBLANK(Tbl_ResidentData[[#This Row],[Enrollment '[mmm-yyyy']]]),"-",AND((Tbl_ResidentData[[#This Row],[Enrollment '[mmm-yyyy']]]&lt;=V$4),IF(ISBLANK(Tbl_ResidentData[[#This Row],[Discharge '[mmm-yyyy']]]),TRUE,(Tbl_ResidentData[[#This Row],[Discharge '[mmm-yyyy']]]&gt;=V$4)))))</f>
        <v>-</v>
      </c>
      <c r="W178" s="121" t="str">
        <f ca="1">IF(W$4&gt;NOW(),"-",IF(ISBLANK(Tbl_ResidentData[[#This Row],[Enrollment '[mmm-yyyy']]]),"-",AND((Tbl_ResidentData[[#This Row],[Enrollment '[mmm-yyyy']]]&lt;=W$4),IF(ISBLANK(Tbl_ResidentData[[#This Row],[Discharge '[mmm-yyyy']]]),TRUE,(Tbl_ResidentData[[#This Row],[Discharge '[mmm-yyyy']]]&gt;=W$4)))))</f>
        <v>-</v>
      </c>
      <c r="X178" s="121" t="str">
        <f ca="1">IF(X$4&gt;NOW(),"-",IF(ISBLANK(Tbl_ResidentData[[#This Row],[Enrollment '[mmm-yyyy']]]),"-",AND((Tbl_ResidentData[[#This Row],[Enrollment '[mmm-yyyy']]]&lt;=X$4),IF(ISBLANK(Tbl_ResidentData[[#This Row],[Discharge '[mmm-yyyy']]]),TRUE,(Tbl_ResidentData[[#This Row],[Discharge '[mmm-yyyy']]]&gt;=X$4)))))</f>
        <v>-</v>
      </c>
      <c r="Y178" s="121" t="str">
        <f ca="1">IF(Y$4&gt;NOW(),"-",IF(ISBLANK(Tbl_ResidentData[[#This Row],[Enrollment '[mmm-yyyy']]]),"-",AND((Tbl_ResidentData[[#This Row],[Enrollment '[mmm-yyyy']]]&lt;=Y$4),IF(ISBLANK(Tbl_ResidentData[[#This Row],[Discharge '[mmm-yyyy']]]),TRUE,(Tbl_ResidentData[[#This Row],[Discharge '[mmm-yyyy']]]&gt;=Y$4)))))</f>
        <v>-</v>
      </c>
      <c r="Z178" s="121" t="str">
        <f ca="1">IF(Z$4&gt;NOW(),"-",IF(ISBLANK(Tbl_ResidentData[[#This Row],[Enrollment '[mmm-yyyy']]]),"-",AND((Tbl_ResidentData[[#This Row],[Enrollment '[mmm-yyyy']]]&lt;=Z$4),IF(ISBLANK(Tbl_ResidentData[[#This Row],[Discharge '[mmm-yyyy']]]),TRUE,(Tbl_ResidentData[[#This Row],[Discharge '[mmm-yyyy']]]&gt;=Z$4)))))</f>
        <v>-</v>
      </c>
      <c r="AA178" s="121" t="str">
        <f ca="1">IF(AA$4&gt;NOW(),"-",IF(ISBLANK(Tbl_ResidentData[[#This Row],[Enrollment '[mmm-yyyy']]]),"-",AND((Tbl_ResidentData[[#This Row],[Enrollment '[mmm-yyyy']]]&lt;=AA$4),IF(ISBLANK(Tbl_ResidentData[[#This Row],[Discharge '[mmm-yyyy']]]),TRUE,(Tbl_ResidentData[[#This Row],[Discharge '[mmm-yyyy']]]&gt;=AA$4)))))</f>
        <v>-</v>
      </c>
      <c r="AB178" s="121" t="str">
        <f ca="1">IF(AB$4&gt;NOW(),"-",IF(ISBLANK(Tbl_ResidentData[[#This Row],[Enrollment '[mmm-yyyy']]]),"-",AND((Tbl_ResidentData[[#This Row],[Enrollment '[mmm-yyyy']]]&lt;=AB$4),IF(ISBLANK(Tbl_ResidentData[[#This Row],[Discharge '[mmm-yyyy']]]),TRUE,(Tbl_ResidentData[[#This Row],[Discharge '[mmm-yyyy']]]&gt;=AB$4)))))</f>
        <v>-</v>
      </c>
      <c r="AC178" s="121" t="str">
        <f ca="1">IF(AC$4&gt;NOW(),"-",IF(ISBLANK(Tbl_ResidentData[[#This Row],[Enrollment '[mmm-yyyy']]]),"-",AND((Tbl_ResidentData[[#This Row],[Enrollment '[mmm-yyyy']]]&lt;=AC$4),IF(ISBLANK(Tbl_ResidentData[[#This Row],[Discharge '[mmm-yyyy']]]),TRUE,(Tbl_ResidentData[[#This Row],[Discharge '[mmm-yyyy']]]&gt;=AC$4)))))</f>
        <v>-</v>
      </c>
      <c r="AD178" s="121" t="str">
        <f ca="1">IF(AD$4&gt;NOW(),"-",IF(ISBLANK(Tbl_ResidentData[[#This Row],[Enrollment '[mmm-yyyy']]]),"-",AND((Tbl_ResidentData[[#This Row],[Enrollment '[mmm-yyyy']]]&lt;=AD$4),IF(ISBLANK(Tbl_ResidentData[[#This Row],[Discharge '[mmm-yyyy']]]),TRUE,(Tbl_ResidentData[[#This Row],[Discharge '[mmm-yyyy']]]&gt;=AD$4)))))</f>
        <v>-</v>
      </c>
      <c r="AE178" s="121" t="str">
        <f ca="1">IF(AE$4&gt;NOW(),"-",IF(ISBLANK(Tbl_ResidentData[[#This Row],[Enrollment '[mmm-yyyy']]]),"-",AND((Tbl_ResidentData[[#This Row],[Enrollment '[mmm-yyyy']]]&lt;=AE$4),IF(ISBLANK(Tbl_ResidentData[[#This Row],[Discharge '[mmm-yyyy']]]),TRUE,(Tbl_ResidentData[[#This Row],[Discharge '[mmm-yyyy']]]&gt;=AE$4)))))</f>
        <v>-</v>
      </c>
      <c r="AF178" s="121" t="str">
        <f ca="1">IF(AF$4&gt;NOW(),"-",IF(ISBLANK(Tbl_ResidentData[[#This Row],[Enrollment '[mmm-yyyy']]]),"-",AND((Tbl_ResidentData[[#This Row],[Enrollment '[mmm-yyyy']]]&lt;=AF$4),IF(ISBLANK(Tbl_ResidentData[[#This Row],[Discharge '[mmm-yyyy']]]),TRUE,(Tbl_ResidentData[[#This Row],[Discharge '[mmm-yyyy']]]&gt;=AF$4)))))</f>
        <v>-</v>
      </c>
      <c r="AG178" s="121" t="str">
        <f ca="1">IF(AG$4&gt;NOW(),"-",IF(ISBLANK(Tbl_ResidentData[[#This Row],[Enrollment '[mmm-yyyy']]]),"-",AND((Tbl_ResidentData[[#This Row],[Enrollment '[mmm-yyyy']]]&lt;=AG$4),IF(ISBLANK(Tbl_ResidentData[[#This Row],[Discharge '[mmm-yyyy']]]),TRUE,(Tbl_ResidentData[[#This Row],[Discharge '[mmm-yyyy']]]&gt;=AG$4)))))</f>
        <v>-</v>
      </c>
      <c r="AH178" s="121" t="str">
        <f ca="1">IF(AH$4&gt;NOW(),"-",IF(ISBLANK(Tbl_ResidentData[[#This Row],[Enrollment '[mmm-yyyy']]]),"-",AND((Tbl_ResidentData[[#This Row],[Enrollment '[mmm-yyyy']]]&lt;=AH$4),IF(ISBLANK(Tbl_ResidentData[[#This Row],[Discharge '[mmm-yyyy']]]),TRUE,(Tbl_ResidentData[[#This Row],[Discharge '[mmm-yyyy']]]&gt;=AH$4)))))</f>
        <v>-</v>
      </c>
      <c r="AI178" s="121" t="str">
        <f ca="1">IF(AI$4&gt;NOW(),"-",IF(ISBLANK(Tbl_ResidentData[[#This Row],[Enrollment '[mmm-yyyy']]]),"-",AND((Tbl_ResidentData[[#This Row],[Enrollment '[mmm-yyyy']]]&lt;=AI$4),IF(ISBLANK(Tbl_ResidentData[[#This Row],[Discharge '[mmm-yyyy']]]),TRUE,(Tbl_ResidentData[[#This Row],[Discharge '[mmm-yyyy']]]&gt;=AI$4)))))</f>
        <v>-</v>
      </c>
      <c r="AJ178" s="121" t="str">
        <f ca="1">IF(AJ$4&gt;NOW(),"-",IF(ISBLANK(Tbl_ResidentData[[#This Row],[Enrollment '[mmm-yyyy']]]),"-",AND((Tbl_ResidentData[[#This Row],[Enrollment '[mmm-yyyy']]]&lt;=AJ$4),IF(ISBLANK(Tbl_ResidentData[[#This Row],[Discharge '[mmm-yyyy']]]),TRUE,(Tbl_ResidentData[[#This Row],[Discharge '[mmm-yyyy']]]&gt;=AJ$4)))))</f>
        <v>-</v>
      </c>
      <c r="AK178" s="121" t="str">
        <f ca="1">IF(AK$4&gt;NOW(),"-",IF(ISBLANK(Tbl_ResidentData[[#This Row],[Enrollment '[mmm-yyyy']]]),"-",AND((Tbl_ResidentData[[#This Row],[Enrollment '[mmm-yyyy']]]&lt;=AK$4),IF(ISBLANK(Tbl_ResidentData[[#This Row],[Discharge '[mmm-yyyy']]]),TRUE,(Tbl_ResidentData[[#This Row],[Discharge '[mmm-yyyy']]]&gt;=AK$4)))))</f>
        <v>-</v>
      </c>
      <c r="AL178" s="121" t="str">
        <f ca="1">IF(AL$4&gt;NOW(),"-",IF(ISBLANK(Tbl_ResidentData[[#This Row],[Enrollment '[mmm-yyyy']]]),"-",AND((Tbl_ResidentData[[#This Row],[Enrollment '[mmm-yyyy']]]&lt;=AL$4),IF(ISBLANK(Tbl_ResidentData[[#This Row],[Discharge '[mmm-yyyy']]]),TRUE,(Tbl_ResidentData[[#This Row],[Discharge '[mmm-yyyy']]]&gt;=AL$4)))))</f>
        <v>-</v>
      </c>
      <c r="AM178" s="121" t="str">
        <f ca="1">IF(AM$4&gt;NOW(),"-",IF(ISBLANK(Tbl_ResidentData[[#This Row],[Enrollment '[mmm-yyyy']]]),"-",AND((Tbl_ResidentData[[#This Row],[Enrollment '[mmm-yyyy']]]&lt;=AM$4),IF(ISBLANK(Tbl_ResidentData[[#This Row],[Discharge '[mmm-yyyy']]]),TRUE,(Tbl_ResidentData[[#This Row],[Discharge '[mmm-yyyy']]]&gt;=AM$4)))))</f>
        <v>-</v>
      </c>
      <c r="AN178" s="121" t="str">
        <f ca="1">IF(AN$4&gt;NOW(),"-",IF(ISBLANK(Tbl_ResidentData[[#This Row],[Enrollment '[mmm-yyyy']]]),"-",AND((Tbl_ResidentData[[#This Row],[Enrollment '[mmm-yyyy']]]&lt;=AN$4),IF(ISBLANK(Tbl_ResidentData[[#This Row],[Discharge '[mmm-yyyy']]]),TRUE,(Tbl_ResidentData[[#This Row],[Discharge '[mmm-yyyy']]]&gt;=AN$4)))))</f>
        <v>-</v>
      </c>
      <c r="AO178" s="121" t="str">
        <f ca="1">IF(AO$4&gt;NOW(),"-",IF(ISBLANK(Tbl_ResidentData[[#This Row],[Enrollment '[mmm-yyyy']]]),"-",AND((Tbl_ResidentData[[#This Row],[Enrollment '[mmm-yyyy']]]&lt;=AO$4),IF(ISBLANK(Tbl_ResidentData[[#This Row],[Discharge '[mmm-yyyy']]]),TRUE,(Tbl_ResidentData[[#This Row],[Discharge '[mmm-yyyy']]]&gt;=AO$4)))))</f>
        <v>-</v>
      </c>
      <c r="AP178" s="121" t="str">
        <f ca="1">IF(AP$4&gt;NOW(),"-",IF(ISBLANK(Tbl_ResidentData[[#This Row],[Enrollment '[mmm-yyyy']]]),"-",AND((Tbl_ResidentData[[#This Row],[Enrollment '[mmm-yyyy']]]&lt;=AP$4),IF(ISBLANK(Tbl_ResidentData[[#This Row],[Discharge '[mmm-yyyy']]]),TRUE,(Tbl_ResidentData[[#This Row],[Discharge '[mmm-yyyy']]]&gt;=AP$4)))))</f>
        <v>-</v>
      </c>
      <c r="AQ178" s="121" t="str">
        <f ca="1">IF(AQ$4&gt;NOW(),"-",IF(ISBLANK(Tbl_ResidentData[[#This Row],[Enrollment '[mmm-yyyy']]]),"-",AND((Tbl_ResidentData[[#This Row],[Enrollment '[mmm-yyyy']]]&lt;=AQ$4),IF(ISBLANK(Tbl_ResidentData[[#This Row],[Discharge '[mmm-yyyy']]]),TRUE,(Tbl_ResidentData[[#This Row],[Discharge '[mmm-yyyy']]]&gt;=AQ$4)))))</f>
        <v>-</v>
      </c>
      <c r="AR178" s="122" t="str">
        <f ca="1">IF(AR$4&gt;NOW(),"-",IF(ISBLANK(Tbl_ResidentData[[#This Row],[Enrollment '[mmm-yyyy']]]),"-",AND((Tbl_ResidentData[[#This Row],[Enrollment '[mmm-yyyy']]]&lt;=AR$4),IF(ISBLANK(Tbl_ResidentData[[#This Row],[Discharge '[mmm-yyyy']]]),TRUE,(Tbl_ResidentData[[#This Row],[Discharge '[mmm-yyyy']]]&gt;=AR$4)))))</f>
        <v>-</v>
      </c>
      <c r="AS17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8" s="120" t="b">
        <f ca="1">AND(Tbl_ResidentData[[#This Row],[PRN Med Started]]&lt;&gt;"",Tbl_ResidentData[[#This Row],[PRN Med Started]]&lt;=NOW(),Tbl_ResidentData[[#This Row],[PRN Med Started]]&lt;=AS$4,OR(Tbl_ResidentData[[#This Row],[PRN Med Discontinued]]&gt;AS$4,ISBLANK(Tbl_ResidentData[[#This Row],[PRN Med Discontinued]])))</f>
        <v>0</v>
      </c>
      <c r="BR178" s="121" t="b">
        <f ca="1">AND(Tbl_ResidentData[[#This Row],[PRN Med Started]]&lt;&gt;"",Tbl_ResidentData[[#This Row],[PRN Med Started]]&lt;=NOW(),Tbl_ResidentData[[#This Row],[PRN Med Started]]&lt;=AT$4,OR(Tbl_ResidentData[[#This Row],[PRN Med Discontinued]]&gt;AT$4,ISBLANK(Tbl_ResidentData[[#This Row],[PRN Med Discontinued]])))</f>
        <v>0</v>
      </c>
      <c r="BS178" s="121" t="b">
        <f ca="1">AND(Tbl_ResidentData[[#This Row],[PRN Med Started]]&lt;&gt;"",Tbl_ResidentData[[#This Row],[PRN Med Started]]&lt;=NOW(),Tbl_ResidentData[[#This Row],[PRN Med Started]]&lt;=AU$4,OR(Tbl_ResidentData[[#This Row],[PRN Med Discontinued]]&gt;AU$4,ISBLANK(Tbl_ResidentData[[#This Row],[PRN Med Discontinued]])))</f>
        <v>0</v>
      </c>
      <c r="BT178" s="121" t="b">
        <f ca="1">AND(Tbl_ResidentData[[#This Row],[PRN Med Started]]&lt;&gt;"",Tbl_ResidentData[[#This Row],[PRN Med Started]]&lt;=NOW(),Tbl_ResidentData[[#This Row],[PRN Med Started]]&lt;=AV$4,OR(Tbl_ResidentData[[#This Row],[PRN Med Discontinued]]&gt;AV$4,ISBLANK(Tbl_ResidentData[[#This Row],[PRN Med Discontinued]])))</f>
        <v>0</v>
      </c>
      <c r="BU178" s="121" t="b">
        <f ca="1">AND(Tbl_ResidentData[[#This Row],[PRN Med Started]]&lt;&gt;"",Tbl_ResidentData[[#This Row],[PRN Med Started]]&lt;=NOW(),Tbl_ResidentData[[#This Row],[PRN Med Started]]&lt;=AW$4,OR(Tbl_ResidentData[[#This Row],[PRN Med Discontinued]]&gt;AW$4,ISBLANK(Tbl_ResidentData[[#This Row],[PRN Med Discontinued]])))</f>
        <v>0</v>
      </c>
      <c r="BV178" s="121" t="b">
        <f ca="1">AND(Tbl_ResidentData[[#This Row],[PRN Med Started]]&lt;&gt;"",Tbl_ResidentData[[#This Row],[PRN Med Started]]&lt;=NOW(),Tbl_ResidentData[[#This Row],[PRN Med Started]]&lt;=AX$4,OR(Tbl_ResidentData[[#This Row],[PRN Med Discontinued]]&gt;AX$4,ISBLANK(Tbl_ResidentData[[#This Row],[PRN Med Discontinued]])))</f>
        <v>0</v>
      </c>
      <c r="BW178" s="121" t="b">
        <f ca="1">AND(Tbl_ResidentData[[#This Row],[PRN Med Started]]&lt;&gt;"",Tbl_ResidentData[[#This Row],[PRN Med Started]]&lt;=NOW(),Tbl_ResidentData[[#This Row],[PRN Med Started]]&lt;=AY$4,OR(Tbl_ResidentData[[#This Row],[PRN Med Discontinued]]&gt;AY$4,ISBLANK(Tbl_ResidentData[[#This Row],[PRN Med Discontinued]])))</f>
        <v>0</v>
      </c>
      <c r="BX178" s="121" t="b">
        <f ca="1">AND(Tbl_ResidentData[[#This Row],[PRN Med Started]]&lt;&gt;"",Tbl_ResidentData[[#This Row],[PRN Med Started]]&lt;=NOW(),Tbl_ResidentData[[#This Row],[PRN Med Started]]&lt;=AZ$4,OR(Tbl_ResidentData[[#This Row],[PRN Med Discontinued]]&gt;AZ$4,ISBLANK(Tbl_ResidentData[[#This Row],[PRN Med Discontinued]])))</f>
        <v>0</v>
      </c>
      <c r="BY178" s="121" t="b">
        <f ca="1">AND(Tbl_ResidentData[[#This Row],[PRN Med Started]]&lt;&gt;"",Tbl_ResidentData[[#This Row],[PRN Med Started]]&lt;=NOW(),Tbl_ResidentData[[#This Row],[PRN Med Started]]&lt;=BA$4,OR(Tbl_ResidentData[[#This Row],[PRN Med Discontinued]]&gt;BA$4,ISBLANK(Tbl_ResidentData[[#This Row],[PRN Med Discontinued]])))</f>
        <v>0</v>
      </c>
      <c r="BZ178" s="121" t="b">
        <f ca="1">AND(Tbl_ResidentData[[#This Row],[PRN Med Started]]&lt;&gt;"",Tbl_ResidentData[[#This Row],[PRN Med Started]]&lt;=NOW(),Tbl_ResidentData[[#This Row],[PRN Med Started]]&lt;=BB$4,OR(Tbl_ResidentData[[#This Row],[PRN Med Discontinued]]&gt;BB$4,ISBLANK(Tbl_ResidentData[[#This Row],[PRN Med Discontinued]])))</f>
        <v>0</v>
      </c>
      <c r="CA178" s="121" t="b">
        <f ca="1">AND(Tbl_ResidentData[[#This Row],[PRN Med Started]]&lt;&gt;"",Tbl_ResidentData[[#This Row],[PRN Med Started]]&lt;=NOW(),Tbl_ResidentData[[#This Row],[PRN Med Started]]&lt;=BC$4,OR(Tbl_ResidentData[[#This Row],[PRN Med Discontinued]]&gt;BC$4,ISBLANK(Tbl_ResidentData[[#This Row],[PRN Med Discontinued]])))</f>
        <v>0</v>
      </c>
      <c r="CB178" s="121" t="b">
        <f ca="1">AND(Tbl_ResidentData[[#This Row],[PRN Med Started]]&lt;&gt;"",Tbl_ResidentData[[#This Row],[PRN Med Started]]&lt;=NOW(),Tbl_ResidentData[[#This Row],[PRN Med Started]]&lt;=BD$4,OR(Tbl_ResidentData[[#This Row],[PRN Med Discontinued]]&gt;BD$4,ISBLANK(Tbl_ResidentData[[#This Row],[PRN Med Discontinued]])))</f>
        <v>0</v>
      </c>
      <c r="CC178" s="121" t="b">
        <f ca="1">AND(Tbl_ResidentData[[#This Row],[PRN Med Started]]&lt;&gt;"",Tbl_ResidentData[[#This Row],[PRN Med Started]]&lt;=NOW(),Tbl_ResidentData[[#This Row],[PRN Med Started]]&lt;=BE$4,OR(Tbl_ResidentData[[#This Row],[PRN Med Discontinued]]&gt;BE$4,ISBLANK(Tbl_ResidentData[[#This Row],[PRN Med Discontinued]])))</f>
        <v>0</v>
      </c>
      <c r="CD178" s="121" t="b">
        <f ca="1">AND(Tbl_ResidentData[[#This Row],[PRN Med Started]]&lt;&gt;"",Tbl_ResidentData[[#This Row],[PRN Med Started]]&lt;=NOW(),Tbl_ResidentData[[#This Row],[PRN Med Started]]&lt;=BF$4,OR(Tbl_ResidentData[[#This Row],[PRN Med Discontinued]]&gt;BF$4,ISBLANK(Tbl_ResidentData[[#This Row],[PRN Med Discontinued]])))</f>
        <v>0</v>
      </c>
      <c r="CE178" s="121" t="b">
        <f ca="1">AND(Tbl_ResidentData[[#This Row],[PRN Med Started]]&lt;&gt;"",Tbl_ResidentData[[#This Row],[PRN Med Started]]&lt;=NOW(),Tbl_ResidentData[[#This Row],[PRN Med Started]]&lt;=BG$4,OR(Tbl_ResidentData[[#This Row],[PRN Med Discontinued]]&gt;BG$4,ISBLANK(Tbl_ResidentData[[#This Row],[PRN Med Discontinued]])))</f>
        <v>0</v>
      </c>
      <c r="CF178" s="121" t="b">
        <f ca="1">AND(Tbl_ResidentData[[#This Row],[PRN Med Started]]&lt;&gt;"",Tbl_ResidentData[[#This Row],[PRN Med Started]]&lt;=NOW(),Tbl_ResidentData[[#This Row],[PRN Med Started]]&lt;=BH$4,OR(Tbl_ResidentData[[#This Row],[PRN Med Discontinued]]&gt;BH$4,ISBLANK(Tbl_ResidentData[[#This Row],[PRN Med Discontinued]])))</f>
        <v>0</v>
      </c>
      <c r="CG178" s="121" t="b">
        <f ca="1">AND(Tbl_ResidentData[[#This Row],[PRN Med Started]]&lt;&gt;"",Tbl_ResidentData[[#This Row],[PRN Med Started]]&lt;=NOW(),Tbl_ResidentData[[#This Row],[PRN Med Started]]&lt;=BI$4,OR(Tbl_ResidentData[[#This Row],[PRN Med Discontinued]]&gt;BI$4,ISBLANK(Tbl_ResidentData[[#This Row],[PRN Med Discontinued]])))</f>
        <v>0</v>
      </c>
      <c r="CH178" s="121" t="b">
        <f ca="1">AND(Tbl_ResidentData[[#This Row],[PRN Med Started]]&lt;&gt;"",Tbl_ResidentData[[#This Row],[PRN Med Started]]&lt;=NOW(),Tbl_ResidentData[[#This Row],[PRN Med Started]]&lt;=BJ$4,OR(Tbl_ResidentData[[#This Row],[PRN Med Discontinued]]&gt;BJ$4,ISBLANK(Tbl_ResidentData[[#This Row],[PRN Med Discontinued]])))</f>
        <v>0</v>
      </c>
      <c r="CI178" s="121" t="b">
        <f ca="1">AND(Tbl_ResidentData[[#This Row],[PRN Med Started]]&lt;&gt;"",Tbl_ResidentData[[#This Row],[PRN Med Started]]&lt;=NOW(),Tbl_ResidentData[[#This Row],[PRN Med Started]]&lt;=BK$4,OR(Tbl_ResidentData[[#This Row],[PRN Med Discontinued]]&gt;BK$4,ISBLANK(Tbl_ResidentData[[#This Row],[PRN Med Discontinued]])))</f>
        <v>0</v>
      </c>
      <c r="CJ178" s="121" t="b">
        <f ca="1">AND(Tbl_ResidentData[[#This Row],[PRN Med Started]]&lt;&gt;"",Tbl_ResidentData[[#This Row],[PRN Med Started]]&lt;=NOW(),Tbl_ResidentData[[#This Row],[PRN Med Started]]&lt;=BL$4,OR(Tbl_ResidentData[[#This Row],[PRN Med Discontinued]]&gt;BL$4,ISBLANK(Tbl_ResidentData[[#This Row],[PRN Med Discontinued]])))</f>
        <v>0</v>
      </c>
      <c r="CK178" s="121" t="b">
        <f ca="1">AND(Tbl_ResidentData[[#This Row],[PRN Med Started]]&lt;&gt;"",Tbl_ResidentData[[#This Row],[PRN Med Started]]&lt;=NOW(),Tbl_ResidentData[[#This Row],[PRN Med Started]]&lt;=BM$4,OR(Tbl_ResidentData[[#This Row],[PRN Med Discontinued]]&gt;BM$4,ISBLANK(Tbl_ResidentData[[#This Row],[PRN Med Discontinued]])))</f>
        <v>0</v>
      </c>
      <c r="CL178" s="121" t="b">
        <f ca="1">AND(Tbl_ResidentData[[#This Row],[PRN Med Started]]&lt;&gt;"",Tbl_ResidentData[[#This Row],[PRN Med Started]]&lt;=NOW(),Tbl_ResidentData[[#This Row],[PRN Med Started]]&lt;=BN$4,OR(Tbl_ResidentData[[#This Row],[PRN Med Discontinued]]&gt;BN$4,ISBLANK(Tbl_ResidentData[[#This Row],[PRN Med Discontinued]])))</f>
        <v>0</v>
      </c>
      <c r="CM178" s="121" t="b">
        <f ca="1">AND(Tbl_ResidentData[[#This Row],[PRN Med Started]]&lt;&gt;"",Tbl_ResidentData[[#This Row],[PRN Med Started]]&lt;=NOW(),Tbl_ResidentData[[#This Row],[PRN Med Started]]&lt;=BO$4,OR(Tbl_ResidentData[[#This Row],[PRN Med Discontinued]]&gt;BO$4,ISBLANK(Tbl_ResidentData[[#This Row],[PRN Med Discontinued]])))</f>
        <v>0</v>
      </c>
      <c r="CN178" s="122" t="b">
        <f ca="1">AND(Tbl_ResidentData[[#This Row],[PRN Med Started]]&lt;&gt;"",Tbl_ResidentData[[#This Row],[PRN Med Started]]&lt;=NOW(),Tbl_ResidentData[[#This Row],[PRN Med Started]]&lt;=BP$4,OR(Tbl_ResidentData[[#This Row],[PRN Med Discontinued]]&gt;BP$4,ISBLANK(Tbl_ResidentData[[#This Row],[PRN Med Discontinued]])))</f>
        <v>0</v>
      </c>
      <c r="CO178" s="120">
        <f ca="1">IF(OR(Tbl_ResidentData[[#This Row],[S1]]=TRUE,Tbl_ResidentData[[#This Row],[P1]]=TRUE),1,0)</f>
        <v>0</v>
      </c>
      <c r="CP178" s="121">
        <f ca="1">IF(OR(Tbl_ResidentData[[#This Row],[S2]]=TRUE,Tbl_ResidentData[[#This Row],[P2]]=TRUE),1,0)</f>
        <v>0</v>
      </c>
      <c r="CQ178" s="121">
        <f ca="1">IF(OR(Tbl_ResidentData[[#This Row],[S3]]=TRUE,Tbl_ResidentData[[#This Row],[P3]]=TRUE),1,0)</f>
        <v>0</v>
      </c>
      <c r="CR178" s="120">
        <f ca="1">IF(OR(Tbl_ResidentData[[#This Row],[S4]]=TRUE,Tbl_ResidentData[[#This Row],[P4]]=TRUE),1,0)</f>
        <v>0</v>
      </c>
      <c r="CS178" s="120">
        <f ca="1">IF(OR(Tbl_ResidentData[[#This Row],[S5]]=TRUE,Tbl_ResidentData[[#This Row],[P5]]=TRUE),1,0)</f>
        <v>0</v>
      </c>
      <c r="CT178" s="120">
        <f ca="1">IF(OR(Tbl_ResidentData[[#This Row],[S6]]=TRUE,Tbl_ResidentData[[#This Row],[P6]]=TRUE),1,0)</f>
        <v>0</v>
      </c>
      <c r="CU178" s="120">
        <f ca="1">IF(OR(Tbl_ResidentData[[#This Row],[S7]]=TRUE,Tbl_ResidentData[[#This Row],[P7]]=TRUE),1,0)</f>
        <v>0</v>
      </c>
      <c r="CV178" s="120">
        <f ca="1">IF(OR(Tbl_ResidentData[[#This Row],[S8]]=TRUE,Tbl_ResidentData[[#This Row],[P8]]=TRUE),1,0)</f>
        <v>0</v>
      </c>
      <c r="CW178" s="120">
        <f ca="1">IF(OR(Tbl_ResidentData[[#This Row],[S9]]=TRUE,Tbl_ResidentData[[#This Row],[P9]]=TRUE),1,0)</f>
        <v>0</v>
      </c>
      <c r="CX178" s="120">
        <f ca="1">IF(OR(Tbl_ResidentData[[#This Row],[S10]]=TRUE,Tbl_ResidentData[[#This Row],[P10]]=TRUE),1,0)</f>
        <v>0</v>
      </c>
      <c r="CY178" s="120">
        <f ca="1">IF(OR(Tbl_ResidentData[[#This Row],[S11]]=TRUE,Tbl_ResidentData[[#This Row],[P11]]=TRUE),1,0)</f>
        <v>0</v>
      </c>
      <c r="CZ178" s="120">
        <f ca="1">IF(OR(Tbl_ResidentData[[#This Row],[S12]]=TRUE,Tbl_ResidentData[[#This Row],[P12]]=TRUE),1,0)</f>
        <v>0</v>
      </c>
      <c r="DA178" s="120">
        <f ca="1">IF(OR(Tbl_ResidentData[[#This Row],[S13]]=TRUE,Tbl_ResidentData[[#This Row],[P13]]=TRUE),1,0)</f>
        <v>0</v>
      </c>
      <c r="DB178" s="120">
        <f ca="1">IF(OR(Tbl_ResidentData[[#This Row],[S14]]=TRUE,Tbl_ResidentData[[#This Row],[P14]]=TRUE),1,0)</f>
        <v>0</v>
      </c>
      <c r="DC178" s="120">
        <f ca="1">IF(OR(Tbl_ResidentData[[#This Row],[S15]]=TRUE,Tbl_ResidentData[[#This Row],[P15]]=TRUE),1,0)</f>
        <v>0</v>
      </c>
      <c r="DD178" s="120">
        <f ca="1">IF(OR(Tbl_ResidentData[[#This Row],[S16]]=TRUE,Tbl_ResidentData[[#This Row],[P16]]=TRUE),1,0)</f>
        <v>0</v>
      </c>
      <c r="DE178" s="120">
        <f ca="1">IF(OR(Tbl_ResidentData[[#This Row],[S17]]=TRUE,Tbl_ResidentData[[#This Row],[P17]]=TRUE),1,0)</f>
        <v>0</v>
      </c>
      <c r="DF178" s="120">
        <f ca="1">IF(OR(Tbl_ResidentData[[#This Row],[S18]]=TRUE,Tbl_ResidentData[[#This Row],[P18]]=TRUE),1,0)</f>
        <v>0</v>
      </c>
      <c r="DG178" s="120">
        <f ca="1">IF(OR(Tbl_ResidentData[[#This Row],[S19]]=TRUE,Tbl_ResidentData[[#This Row],[P19]]=TRUE),1,0)</f>
        <v>0</v>
      </c>
      <c r="DH178" s="120">
        <f ca="1">IF(OR(Tbl_ResidentData[[#This Row],[S20]]=TRUE,Tbl_ResidentData[[#This Row],[P20]]=TRUE),1,0)</f>
        <v>0</v>
      </c>
      <c r="DI178" s="120">
        <f ca="1">IF(OR(Tbl_ResidentData[[#This Row],[S21]]=TRUE,Tbl_ResidentData[[#This Row],[P21]]=TRUE),1,0)</f>
        <v>0</v>
      </c>
      <c r="DJ178" s="120">
        <f ca="1">IF(OR(Tbl_ResidentData[[#This Row],[S22]]=TRUE,Tbl_ResidentData[[#This Row],[P22]]=TRUE),1,0)</f>
        <v>0</v>
      </c>
      <c r="DK178" s="120">
        <f ca="1">IF(OR(Tbl_ResidentData[[#This Row],[S23]]=TRUE,Tbl_ResidentData[[#This Row],[P23]]=TRUE),1,0)</f>
        <v>0</v>
      </c>
      <c r="DL178" s="120">
        <f ca="1">IF(OR(Tbl_ResidentData[[#This Row],[S24]]=TRUE,Tbl_ResidentData[[#This Row],[P24]]=TRUE),1,0)</f>
        <v>0</v>
      </c>
      <c r="DM178" s="123" t="str">
        <f ca="1">IFERROR(INDEX($CO$4:$DL$4,MATCH(TRUE,INDEX((Tbl_ResidentData[[#This Row],[Over1]:[Over24]]&lt;&gt;0),0),0)),"")</f>
        <v/>
      </c>
      <c r="DN178" s="133" t="str">
        <f>IFERROR(INDEX(Tbl_PDSAData[Last DRT],MATCH(Tbl_ResidentData[Resident Name '[last, first']],Tbl_PDSAData[Resident Name (last, first)],0)),"")</f>
        <v/>
      </c>
      <c r="DO178" s="222" t="str">
        <f>IFERROR(INDEX(Tbl_PDSAData[Last MR],MATCH(Tbl_ResidentData[Resident Name '[last, first']],Tbl_PDSAData[Resident Name (last, first)],0)),"")</f>
        <v/>
      </c>
    </row>
    <row r="179" spans="1:119" x14ac:dyDescent="0.25">
      <c r="A179" s="179"/>
      <c r="B179" s="180"/>
      <c r="C179" s="180"/>
      <c r="D179" s="218"/>
      <c r="E179" s="179"/>
      <c r="F179" s="179"/>
      <c r="G179" s="181"/>
      <c r="H179" s="375"/>
      <c r="I179" s="185"/>
      <c r="J179" s="387"/>
      <c r="K179" s="178"/>
      <c r="L179" s="388"/>
      <c r="M179" s="185"/>
      <c r="N179" s="386"/>
      <c r="O179" s="178"/>
      <c r="P179" s="388"/>
      <c r="Q179" s="395"/>
      <c r="R179" s="396"/>
      <c r="S179" s="131" t="str">
        <f>IF(ISBLANK(Tbl_ResidentData[[#This Row],[Discharge '[mmm-yyyy']]]),IF(ISBLANK(Tbl_ResidentData[[#This Row],[Enrollment '[mmm-yyyy']]]),"","In Care Home"),"Discharged")</f>
        <v/>
      </c>
      <c r="T179" s="119" t="str">
        <f>IF(ISBLANK(Tbl_ResidentData[[#This Row],[Diagnosis (RAI)]]),IF(ISBLANK(Tbl_ResidentData[[#This Row],[Resident Name '[last, first']]]),"",0),IF(Tbl_ResidentData[[#This Row],[Diagnosis (RAI)]]="Other (see clinical notes)",0,1))</f>
        <v/>
      </c>
      <c r="U179" s="120" t="str">
        <f ca="1">IF(U$4&gt;NOW(),"-",IF(ISBLANK(Tbl_ResidentData[[#This Row],[Enrollment '[mmm-yyyy']]]),"-",AND((Tbl_ResidentData[[#This Row],[Enrollment '[mmm-yyyy']]]&lt;=U$4),IF(ISBLANK(Tbl_ResidentData[[#This Row],[Discharge '[mmm-yyyy']]]),TRUE,(Tbl_ResidentData[[#This Row],[Discharge '[mmm-yyyy']]]&gt;=U$4)))))</f>
        <v>-</v>
      </c>
      <c r="V179" s="121" t="str">
        <f ca="1">IF(V$4&gt;NOW(),"-",IF(ISBLANK(Tbl_ResidentData[[#This Row],[Enrollment '[mmm-yyyy']]]),"-",AND((Tbl_ResidentData[[#This Row],[Enrollment '[mmm-yyyy']]]&lt;=V$4),IF(ISBLANK(Tbl_ResidentData[[#This Row],[Discharge '[mmm-yyyy']]]),TRUE,(Tbl_ResidentData[[#This Row],[Discharge '[mmm-yyyy']]]&gt;=V$4)))))</f>
        <v>-</v>
      </c>
      <c r="W179" s="121" t="str">
        <f ca="1">IF(W$4&gt;NOW(),"-",IF(ISBLANK(Tbl_ResidentData[[#This Row],[Enrollment '[mmm-yyyy']]]),"-",AND((Tbl_ResidentData[[#This Row],[Enrollment '[mmm-yyyy']]]&lt;=W$4),IF(ISBLANK(Tbl_ResidentData[[#This Row],[Discharge '[mmm-yyyy']]]),TRUE,(Tbl_ResidentData[[#This Row],[Discharge '[mmm-yyyy']]]&gt;=W$4)))))</f>
        <v>-</v>
      </c>
      <c r="X179" s="121" t="str">
        <f ca="1">IF(X$4&gt;NOW(),"-",IF(ISBLANK(Tbl_ResidentData[[#This Row],[Enrollment '[mmm-yyyy']]]),"-",AND((Tbl_ResidentData[[#This Row],[Enrollment '[mmm-yyyy']]]&lt;=X$4),IF(ISBLANK(Tbl_ResidentData[[#This Row],[Discharge '[mmm-yyyy']]]),TRUE,(Tbl_ResidentData[[#This Row],[Discharge '[mmm-yyyy']]]&gt;=X$4)))))</f>
        <v>-</v>
      </c>
      <c r="Y179" s="121" t="str">
        <f ca="1">IF(Y$4&gt;NOW(),"-",IF(ISBLANK(Tbl_ResidentData[[#This Row],[Enrollment '[mmm-yyyy']]]),"-",AND((Tbl_ResidentData[[#This Row],[Enrollment '[mmm-yyyy']]]&lt;=Y$4),IF(ISBLANK(Tbl_ResidentData[[#This Row],[Discharge '[mmm-yyyy']]]),TRUE,(Tbl_ResidentData[[#This Row],[Discharge '[mmm-yyyy']]]&gt;=Y$4)))))</f>
        <v>-</v>
      </c>
      <c r="Z179" s="121" t="str">
        <f ca="1">IF(Z$4&gt;NOW(),"-",IF(ISBLANK(Tbl_ResidentData[[#This Row],[Enrollment '[mmm-yyyy']]]),"-",AND((Tbl_ResidentData[[#This Row],[Enrollment '[mmm-yyyy']]]&lt;=Z$4),IF(ISBLANK(Tbl_ResidentData[[#This Row],[Discharge '[mmm-yyyy']]]),TRUE,(Tbl_ResidentData[[#This Row],[Discharge '[mmm-yyyy']]]&gt;=Z$4)))))</f>
        <v>-</v>
      </c>
      <c r="AA179" s="121" t="str">
        <f ca="1">IF(AA$4&gt;NOW(),"-",IF(ISBLANK(Tbl_ResidentData[[#This Row],[Enrollment '[mmm-yyyy']]]),"-",AND((Tbl_ResidentData[[#This Row],[Enrollment '[mmm-yyyy']]]&lt;=AA$4),IF(ISBLANK(Tbl_ResidentData[[#This Row],[Discharge '[mmm-yyyy']]]),TRUE,(Tbl_ResidentData[[#This Row],[Discharge '[mmm-yyyy']]]&gt;=AA$4)))))</f>
        <v>-</v>
      </c>
      <c r="AB179" s="121" t="str">
        <f ca="1">IF(AB$4&gt;NOW(),"-",IF(ISBLANK(Tbl_ResidentData[[#This Row],[Enrollment '[mmm-yyyy']]]),"-",AND((Tbl_ResidentData[[#This Row],[Enrollment '[mmm-yyyy']]]&lt;=AB$4),IF(ISBLANK(Tbl_ResidentData[[#This Row],[Discharge '[mmm-yyyy']]]),TRUE,(Tbl_ResidentData[[#This Row],[Discharge '[mmm-yyyy']]]&gt;=AB$4)))))</f>
        <v>-</v>
      </c>
      <c r="AC179" s="121" t="str">
        <f ca="1">IF(AC$4&gt;NOW(),"-",IF(ISBLANK(Tbl_ResidentData[[#This Row],[Enrollment '[mmm-yyyy']]]),"-",AND((Tbl_ResidentData[[#This Row],[Enrollment '[mmm-yyyy']]]&lt;=AC$4),IF(ISBLANK(Tbl_ResidentData[[#This Row],[Discharge '[mmm-yyyy']]]),TRUE,(Tbl_ResidentData[[#This Row],[Discharge '[mmm-yyyy']]]&gt;=AC$4)))))</f>
        <v>-</v>
      </c>
      <c r="AD179" s="121" t="str">
        <f ca="1">IF(AD$4&gt;NOW(),"-",IF(ISBLANK(Tbl_ResidentData[[#This Row],[Enrollment '[mmm-yyyy']]]),"-",AND((Tbl_ResidentData[[#This Row],[Enrollment '[mmm-yyyy']]]&lt;=AD$4),IF(ISBLANK(Tbl_ResidentData[[#This Row],[Discharge '[mmm-yyyy']]]),TRUE,(Tbl_ResidentData[[#This Row],[Discharge '[mmm-yyyy']]]&gt;=AD$4)))))</f>
        <v>-</v>
      </c>
      <c r="AE179" s="121" t="str">
        <f ca="1">IF(AE$4&gt;NOW(),"-",IF(ISBLANK(Tbl_ResidentData[[#This Row],[Enrollment '[mmm-yyyy']]]),"-",AND((Tbl_ResidentData[[#This Row],[Enrollment '[mmm-yyyy']]]&lt;=AE$4),IF(ISBLANK(Tbl_ResidentData[[#This Row],[Discharge '[mmm-yyyy']]]),TRUE,(Tbl_ResidentData[[#This Row],[Discharge '[mmm-yyyy']]]&gt;=AE$4)))))</f>
        <v>-</v>
      </c>
      <c r="AF179" s="121" t="str">
        <f ca="1">IF(AF$4&gt;NOW(),"-",IF(ISBLANK(Tbl_ResidentData[[#This Row],[Enrollment '[mmm-yyyy']]]),"-",AND((Tbl_ResidentData[[#This Row],[Enrollment '[mmm-yyyy']]]&lt;=AF$4),IF(ISBLANK(Tbl_ResidentData[[#This Row],[Discharge '[mmm-yyyy']]]),TRUE,(Tbl_ResidentData[[#This Row],[Discharge '[mmm-yyyy']]]&gt;=AF$4)))))</f>
        <v>-</v>
      </c>
      <c r="AG179" s="121" t="str">
        <f ca="1">IF(AG$4&gt;NOW(),"-",IF(ISBLANK(Tbl_ResidentData[[#This Row],[Enrollment '[mmm-yyyy']]]),"-",AND((Tbl_ResidentData[[#This Row],[Enrollment '[mmm-yyyy']]]&lt;=AG$4),IF(ISBLANK(Tbl_ResidentData[[#This Row],[Discharge '[mmm-yyyy']]]),TRUE,(Tbl_ResidentData[[#This Row],[Discharge '[mmm-yyyy']]]&gt;=AG$4)))))</f>
        <v>-</v>
      </c>
      <c r="AH179" s="121" t="str">
        <f ca="1">IF(AH$4&gt;NOW(),"-",IF(ISBLANK(Tbl_ResidentData[[#This Row],[Enrollment '[mmm-yyyy']]]),"-",AND((Tbl_ResidentData[[#This Row],[Enrollment '[mmm-yyyy']]]&lt;=AH$4),IF(ISBLANK(Tbl_ResidentData[[#This Row],[Discharge '[mmm-yyyy']]]),TRUE,(Tbl_ResidentData[[#This Row],[Discharge '[mmm-yyyy']]]&gt;=AH$4)))))</f>
        <v>-</v>
      </c>
      <c r="AI179" s="121" t="str">
        <f ca="1">IF(AI$4&gt;NOW(),"-",IF(ISBLANK(Tbl_ResidentData[[#This Row],[Enrollment '[mmm-yyyy']]]),"-",AND((Tbl_ResidentData[[#This Row],[Enrollment '[mmm-yyyy']]]&lt;=AI$4),IF(ISBLANK(Tbl_ResidentData[[#This Row],[Discharge '[mmm-yyyy']]]),TRUE,(Tbl_ResidentData[[#This Row],[Discharge '[mmm-yyyy']]]&gt;=AI$4)))))</f>
        <v>-</v>
      </c>
      <c r="AJ179" s="121" t="str">
        <f ca="1">IF(AJ$4&gt;NOW(),"-",IF(ISBLANK(Tbl_ResidentData[[#This Row],[Enrollment '[mmm-yyyy']]]),"-",AND((Tbl_ResidentData[[#This Row],[Enrollment '[mmm-yyyy']]]&lt;=AJ$4),IF(ISBLANK(Tbl_ResidentData[[#This Row],[Discharge '[mmm-yyyy']]]),TRUE,(Tbl_ResidentData[[#This Row],[Discharge '[mmm-yyyy']]]&gt;=AJ$4)))))</f>
        <v>-</v>
      </c>
      <c r="AK179" s="121" t="str">
        <f ca="1">IF(AK$4&gt;NOW(),"-",IF(ISBLANK(Tbl_ResidentData[[#This Row],[Enrollment '[mmm-yyyy']]]),"-",AND((Tbl_ResidentData[[#This Row],[Enrollment '[mmm-yyyy']]]&lt;=AK$4),IF(ISBLANK(Tbl_ResidentData[[#This Row],[Discharge '[mmm-yyyy']]]),TRUE,(Tbl_ResidentData[[#This Row],[Discharge '[mmm-yyyy']]]&gt;=AK$4)))))</f>
        <v>-</v>
      </c>
      <c r="AL179" s="121" t="str">
        <f ca="1">IF(AL$4&gt;NOW(),"-",IF(ISBLANK(Tbl_ResidentData[[#This Row],[Enrollment '[mmm-yyyy']]]),"-",AND((Tbl_ResidentData[[#This Row],[Enrollment '[mmm-yyyy']]]&lt;=AL$4),IF(ISBLANK(Tbl_ResidentData[[#This Row],[Discharge '[mmm-yyyy']]]),TRUE,(Tbl_ResidentData[[#This Row],[Discharge '[mmm-yyyy']]]&gt;=AL$4)))))</f>
        <v>-</v>
      </c>
      <c r="AM179" s="121" t="str">
        <f ca="1">IF(AM$4&gt;NOW(),"-",IF(ISBLANK(Tbl_ResidentData[[#This Row],[Enrollment '[mmm-yyyy']]]),"-",AND((Tbl_ResidentData[[#This Row],[Enrollment '[mmm-yyyy']]]&lt;=AM$4),IF(ISBLANK(Tbl_ResidentData[[#This Row],[Discharge '[mmm-yyyy']]]),TRUE,(Tbl_ResidentData[[#This Row],[Discharge '[mmm-yyyy']]]&gt;=AM$4)))))</f>
        <v>-</v>
      </c>
      <c r="AN179" s="121" t="str">
        <f ca="1">IF(AN$4&gt;NOW(),"-",IF(ISBLANK(Tbl_ResidentData[[#This Row],[Enrollment '[mmm-yyyy']]]),"-",AND((Tbl_ResidentData[[#This Row],[Enrollment '[mmm-yyyy']]]&lt;=AN$4),IF(ISBLANK(Tbl_ResidentData[[#This Row],[Discharge '[mmm-yyyy']]]),TRUE,(Tbl_ResidentData[[#This Row],[Discharge '[mmm-yyyy']]]&gt;=AN$4)))))</f>
        <v>-</v>
      </c>
      <c r="AO179" s="121" t="str">
        <f ca="1">IF(AO$4&gt;NOW(),"-",IF(ISBLANK(Tbl_ResidentData[[#This Row],[Enrollment '[mmm-yyyy']]]),"-",AND((Tbl_ResidentData[[#This Row],[Enrollment '[mmm-yyyy']]]&lt;=AO$4),IF(ISBLANK(Tbl_ResidentData[[#This Row],[Discharge '[mmm-yyyy']]]),TRUE,(Tbl_ResidentData[[#This Row],[Discharge '[mmm-yyyy']]]&gt;=AO$4)))))</f>
        <v>-</v>
      </c>
      <c r="AP179" s="121" t="str">
        <f ca="1">IF(AP$4&gt;NOW(),"-",IF(ISBLANK(Tbl_ResidentData[[#This Row],[Enrollment '[mmm-yyyy']]]),"-",AND((Tbl_ResidentData[[#This Row],[Enrollment '[mmm-yyyy']]]&lt;=AP$4),IF(ISBLANK(Tbl_ResidentData[[#This Row],[Discharge '[mmm-yyyy']]]),TRUE,(Tbl_ResidentData[[#This Row],[Discharge '[mmm-yyyy']]]&gt;=AP$4)))))</f>
        <v>-</v>
      </c>
      <c r="AQ179" s="121" t="str">
        <f ca="1">IF(AQ$4&gt;NOW(),"-",IF(ISBLANK(Tbl_ResidentData[[#This Row],[Enrollment '[mmm-yyyy']]]),"-",AND((Tbl_ResidentData[[#This Row],[Enrollment '[mmm-yyyy']]]&lt;=AQ$4),IF(ISBLANK(Tbl_ResidentData[[#This Row],[Discharge '[mmm-yyyy']]]),TRUE,(Tbl_ResidentData[[#This Row],[Discharge '[mmm-yyyy']]]&gt;=AQ$4)))))</f>
        <v>-</v>
      </c>
      <c r="AR179" s="122" t="str">
        <f ca="1">IF(AR$4&gt;NOW(),"-",IF(ISBLANK(Tbl_ResidentData[[#This Row],[Enrollment '[mmm-yyyy']]]),"-",AND((Tbl_ResidentData[[#This Row],[Enrollment '[mmm-yyyy']]]&lt;=AR$4),IF(ISBLANK(Tbl_ResidentData[[#This Row],[Discharge '[mmm-yyyy']]]),TRUE,(Tbl_ResidentData[[#This Row],[Discharge '[mmm-yyyy']]]&gt;=AR$4)))))</f>
        <v>-</v>
      </c>
      <c r="AS17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9" s="120" t="b">
        <f ca="1">AND(Tbl_ResidentData[[#This Row],[PRN Med Started]]&lt;&gt;"",Tbl_ResidentData[[#This Row],[PRN Med Started]]&lt;=NOW(),Tbl_ResidentData[[#This Row],[PRN Med Started]]&lt;=AS$4,OR(Tbl_ResidentData[[#This Row],[PRN Med Discontinued]]&gt;AS$4,ISBLANK(Tbl_ResidentData[[#This Row],[PRN Med Discontinued]])))</f>
        <v>0</v>
      </c>
      <c r="BR179" s="121" t="b">
        <f ca="1">AND(Tbl_ResidentData[[#This Row],[PRN Med Started]]&lt;&gt;"",Tbl_ResidentData[[#This Row],[PRN Med Started]]&lt;=NOW(),Tbl_ResidentData[[#This Row],[PRN Med Started]]&lt;=AT$4,OR(Tbl_ResidentData[[#This Row],[PRN Med Discontinued]]&gt;AT$4,ISBLANK(Tbl_ResidentData[[#This Row],[PRN Med Discontinued]])))</f>
        <v>0</v>
      </c>
      <c r="BS179" s="121" t="b">
        <f ca="1">AND(Tbl_ResidentData[[#This Row],[PRN Med Started]]&lt;&gt;"",Tbl_ResidentData[[#This Row],[PRN Med Started]]&lt;=NOW(),Tbl_ResidentData[[#This Row],[PRN Med Started]]&lt;=AU$4,OR(Tbl_ResidentData[[#This Row],[PRN Med Discontinued]]&gt;AU$4,ISBLANK(Tbl_ResidentData[[#This Row],[PRN Med Discontinued]])))</f>
        <v>0</v>
      </c>
      <c r="BT179" s="121" t="b">
        <f ca="1">AND(Tbl_ResidentData[[#This Row],[PRN Med Started]]&lt;&gt;"",Tbl_ResidentData[[#This Row],[PRN Med Started]]&lt;=NOW(),Tbl_ResidentData[[#This Row],[PRN Med Started]]&lt;=AV$4,OR(Tbl_ResidentData[[#This Row],[PRN Med Discontinued]]&gt;AV$4,ISBLANK(Tbl_ResidentData[[#This Row],[PRN Med Discontinued]])))</f>
        <v>0</v>
      </c>
      <c r="BU179" s="121" t="b">
        <f ca="1">AND(Tbl_ResidentData[[#This Row],[PRN Med Started]]&lt;&gt;"",Tbl_ResidentData[[#This Row],[PRN Med Started]]&lt;=NOW(),Tbl_ResidentData[[#This Row],[PRN Med Started]]&lt;=AW$4,OR(Tbl_ResidentData[[#This Row],[PRN Med Discontinued]]&gt;AW$4,ISBLANK(Tbl_ResidentData[[#This Row],[PRN Med Discontinued]])))</f>
        <v>0</v>
      </c>
      <c r="BV179" s="121" t="b">
        <f ca="1">AND(Tbl_ResidentData[[#This Row],[PRN Med Started]]&lt;&gt;"",Tbl_ResidentData[[#This Row],[PRN Med Started]]&lt;=NOW(),Tbl_ResidentData[[#This Row],[PRN Med Started]]&lt;=AX$4,OR(Tbl_ResidentData[[#This Row],[PRN Med Discontinued]]&gt;AX$4,ISBLANK(Tbl_ResidentData[[#This Row],[PRN Med Discontinued]])))</f>
        <v>0</v>
      </c>
      <c r="BW179" s="121" t="b">
        <f ca="1">AND(Tbl_ResidentData[[#This Row],[PRN Med Started]]&lt;&gt;"",Tbl_ResidentData[[#This Row],[PRN Med Started]]&lt;=NOW(),Tbl_ResidentData[[#This Row],[PRN Med Started]]&lt;=AY$4,OR(Tbl_ResidentData[[#This Row],[PRN Med Discontinued]]&gt;AY$4,ISBLANK(Tbl_ResidentData[[#This Row],[PRN Med Discontinued]])))</f>
        <v>0</v>
      </c>
      <c r="BX179" s="121" t="b">
        <f ca="1">AND(Tbl_ResidentData[[#This Row],[PRN Med Started]]&lt;&gt;"",Tbl_ResidentData[[#This Row],[PRN Med Started]]&lt;=NOW(),Tbl_ResidentData[[#This Row],[PRN Med Started]]&lt;=AZ$4,OR(Tbl_ResidentData[[#This Row],[PRN Med Discontinued]]&gt;AZ$4,ISBLANK(Tbl_ResidentData[[#This Row],[PRN Med Discontinued]])))</f>
        <v>0</v>
      </c>
      <c r="BY179" s="121" t="b">
        <f ca="1">AND(Tbl_ResidentData[[#This Row],[PRN Med Started]]&lt;&gt;"",Tbl_ResidentData[[#This Row],[PRN Med Started]]&lt;=NOW(),Tbl_ResidentData[[#This Row],[PRN Med Started]]&lt;=BA$4,OR(Tbl_ResidentData[[#This Row],[PRN Med Discontinued]]&gt;BA$4,ISBLANK(Tbl_ResidentData[[#This Row],[PRN Med Discontinued]])))</f>
        <v>0</v>
      </c>
      <c r="BZ179" s="121" t="b">
        <f ca="1">AND(Tbl_ResidentData[[#This Row],[PRN Med Started]]&lt;&gt;"",Tbl_ResidentData[[#This Row],[PRN Med Started]]&lt;=NOW(),Tbl_ResidentData[[#This Row],[PRN Med Started]]&lt;=BB$4,OR(Tbl_ResidentData[[#This Row],[PRN Med Discontinued]]&gt;BB$4,ISBLANK(Tbl_ResidentData[[#This Row],[PRN Med Discontinued]])))</f>
        <v>0</v>
      </c>
      <c r="CA179" s="121" t="b">
        <f ca="1">AND(Tbl_ResidentData[[#This Row],[PRN Med Started]]&lt;&gt;"",Tbl_ResidentData[[#This Row],[PRN Med Started]]&lt;=NOW(),Tbl_ResidentData[[#This Row],[PRN Med Started]]&lt;=BC$4,OR(Tbl_ResidentData[[#This Row],[PRN Med Discontinued]]&gt;BC$4,ISBLANK(Tbl_ResidentData[[#This Row],[PRN Med Discontinued]])))</f>
        <v>0</v>
      </c>
      <c r="CB179" s="121" t="b">
        <f ca="1">AND(Tbl_ResidentData[[#This Row],[PRN Med Started]]&lt;&gt;"",Tbl_ResidentData[[#This Row],[PRN Med Started]]&lt;=NOW(),Tbl_ResidentData[[#This Row],[PRN Med Started]]&lt;=BD$4,OR(Tbl_ResidentData[[#This Row],[PRN Med Discontinued]]&gt;BD$4,ISBLANK(Tbl_ResidentData[[#This Row],[PRN Med Discontinued]])))</f>
        <v>0</v>
      </c>
      <c r="CC179" s="121" t="b">
        <f ca="1">AND(Tbl_ResidentData[[#This Row],[PRN Med Started]]&lt;&gt;"",Tbl_ResidentData[[#This Row],[PRN Med Started]]&lt;=NOW(),Tbl_ResidentData[[#This Row],[PRN Med Started]]&lt;=BE$4,OR(Tbl_ResidentData[[#This Row],[PRN Med Discontinued]]&gt;BE$4,ISBLANK(Tbl_ResidentData[[#This Row],[PRN Med Discontinued]])))</f>
        <v>0</v>
      </c>
      <c r="CD179" s="121" t="b">
        <f ca="1">AND(Tbl_ResidentData[[#This Row],[PRN Med Started]]&lt;&gt;"",Tbl_ResidentData[[#This Row],[PRN Med Started]]&lt;=NOW(),Tbl_ResidentData[[#This Row],[PRN Med Started]]&lt;=BF$4,OR(Tbl_ResidentData[[#This Row],[PRN Med Discontinued]]&gt;BF$4,ISBLANK(Tbl_ResidentData[[#This Row],[PRN Med Discontinued]])))</f>
        <v>0</v>
      </c>
      <c r="CE179" s="121" t="b">
        <f ca="1">AND(Tbl_ResidentData[[#This Row],[PRN Med Started]]&lt;&gt;"",Tbl_ResidentData[[#This Row],[PRN Med Started]]&lt;=NOW(),Tbl_ResidentData[[#This Row],[PRN Med Started]]&lt;=BG$4,OR(Tbl_ResidentData[[#This Row],[PRN Med Discontinued]]&gt;BG$4,ISBLANK(Tbl_ResidentData[[#This Row],[PRN Med Discontinued]])))</f>
        <v>0</v>
      </c>
      <c r="CF179" s="121" t="b">
        <f ca="1">AND(Tbl_ResidentData[[#This Row],[PRN Med Started]]&lt;&gt;"",Tbl_ResidentData[[#This Row],[PRN Med Started]]&lt;=NOW(),Tbl_ResidentData[[#This Row],[PRN Med Started]]&lt;=BH$4,OR(Tbl_ResidentData[[#This Row],[PRN Med Discontinued]]&gt;BH$4,ISBLANK(Tbl_ResidentData[[#This Row],[PRN Med Discontinued]])))</f>
        <v>0</v>
      </c>
      <c r="CG179" s="121" t="b">
        <f ca="1">AND(Tbl_ResidentData[[#This Row],[PRN Med Started]]&lt;&gt;"",Tbl_ResidentData[[#This Row],[PRN Med Started]]&lt;=NOW(),Tbl_ResidentData[[#This Row],[PRN Med Started]]&lt;=BI$4,OR(Tbl_ResidentData[[#This Row],[PRN Med Discontinued]]&gt;BI$4,ISBLANK(Tbl_ResidentData[[#This Row],[PRN Med Discontinued]])))</f>
        <v>0</v>
      </c>
      <c r="CH179" s="121" t="b">
        <f ca="1">AND(Tbl_ResidentData[[#This Row],[PRN Med Started]]&lt;&gt;"",Tbl_ResidentData[[#This Row],[PRN Med Started]]&lt;=NOW(),Tbl_ResidentData[[#This Row],[PRN Med Started]]&lt;=BJ$4,OR(Tbl_ResidentData[[#This Row],[PRN Med Discontinued]]&gt;BJ$4,ISBLANK(Tbl_ResidentData[[#This Row],[PRN Med Discontinued]])))</f>
        <v>0</v>
      </c>
      <c r="CI179" s="121" t="b">
        <f ca="1">AND(Tbl_ResidentData[[#This Row],[PRN Med Started]]&lt;&gt;"",Tbl_ResidentData[[#This Row],[PRN Med Started]]&lt;=NOW(),Tbl_ResidentData[[#This Row],[PRN Med Started]]&lt;=BK$4,OR(Tbl_ResidentData[[#This Row],[PRN Med Discontinued]]&gt;BK$4,ISBLANK(Tbl_ResidentData[[#This Row],[PRN Med Discontinued]])))</f>
        <v>0</v>
      </c>
      <c r="CJ179" s="121" t="b">
        <f ca="1">AND(Tbl_ResidentData[[#This Row],[PRN Med Started]]&lt;&gt;"",Tbl_ResidentData[[#This Row],[PRN Med Started]]&lt;=NOW(),Tbl_ResidentData[[#This Row],[PRN Med Started]]&lt;=BL$4,OR(Tbl_ResidentData[[#This Row],[PRN Med Discontinued]]&gt;BL$4,ISBLANK(Tbl_ResidentData[[#This Row],[PRN Med Discontinued]])))</f>
        <v>0</v>
      </c>
      <c r="CK179" s="121" t="b">
        <f ca="1">AND(Tbl_ResidentData[[#This Row],[PRN Med Started]]&lt;&gt;"",Tbl_ResidentData[[#This Row],[PRN Med Started]]&lt;=NOW(),Tbl_ResidentData[[#This Row],[PRN Med Started]]&lt;=BM$4,OR(Tbl_ResidentData[[#This Row],[PRN Med Discontinued]]&gt;BM$4,ISBLANK(Tbl_ResidentData[[#This Row],[PRN Med Discontinued]])))</f>
        <v>0</v>
      </c>
      <c r="CL179" s="121" t="b">
        <f ca="1">AND(Tbl_ResidentData[[#This Row],[PRN Med Started]]&lt;&gt;"",Tbl_ResidentData[[#This Row],[PRN Med Started]]&lt;=NOW(),Tbl_ResidentData[[#This Row],[PRN Med Started]]&lt;=BN$4,OR(Tbl_ResidentData[[#This Row],[PRN Med Discontinued]]&gt;BN$4,ISBLANK(Tbl_ResidentData[[#This Row],[PRN Med Discontinued]])))</f>
        <v>0</v>
      </c>
      <c r="CM179" s="121" t="b">
        <f ca="1">AND(Tbl_ResidentData[[#This Row],[PRN Med Started]]&lt;&gt;"",Tbl_ResidentData[[#This Row],[PRN Med Started]]&lt;=NOW(),Tbl_ResidentData[[#This Row],[PRN Med Started]]&lt;=BO$4,OR(Tbl_ResidentData[[#This Row],[PRN Med Discontinued]]&gt;BO$4,ISBLANK(Tbl_ResidentData[[#This Row],[PRN Med Discontinued]])))</f>
        <v>0</v>
      </c>
      <c r="CN179" s="122" t="b">
        <f ca="1">AND(Tbl_ResidentData[[#This Row],[PRN Med Started]]&lt;&gt;"",Tbl_ResidentData[[#This Row],[PRN Med Started]]&lt;=NOW(),Tbl_ResidentData[[#This Row],[PRN Med Started]]&lt;=BP$4,OR(Tbl_ResidentData[[#This Row],[PRN Med Discontinued]]&gt;BP$4,ISBLANK(Tbl_ResidentData[[#This Row],[PRN Med Discontinued]])))</f>
        <v>0</v>
      </c>
      <c r="CO179" s="120">
        <f ca="1">IF(OR(Tbl_ResidentData[[#This Row],[S1]]=TRUE,Tbl_ResidentData[[#This Row],[P1]]=TRUE),1,0)</f>
        <v>0</v>
      </c>
      <c r="CP179" s="121">
        <f ca="1">IF(OR(Tbl_ResidentData[[#This Row],[S2]]=TRUE,Tbl_ResidentData[[#This Row],[P2]]=TRUE),1,0)</f>
        <v>0</v>
      </c>
      <c r="CQ179" s="121">
        <f ca="1">IF(OR(Tbl_ResidentData[[#This Row],[S3]]=TRUE,Tbl_ResidentData[[#This Row],[P3]]=TRUE),1,0)</f>
        <v>0</v>
      </c>
      <c r="CR179" s="120">
        <f ca="1">IF(OR(Tbl_ResidentData[[#This Row],[S4]]=TRUE,Tbl_ResidentData[[#This Row],[P4]]=TRUE),1,0)</f>
        <v>0</v>
      </c>
      <c r="CS179" s="120">
        <f ca="1">IF(OR(Tbl_ResidentData[[#This Row],[S5]]=TRUE,Tbl_ResidentData[[#This Row],[P5]]=TRUE),1,0)</f>
        <v>0</v>
      </c>
      <c r="CT179" s="120">
        <f ca="1">IF(OR(Tbl_ResidentData[[#This Row],[S6]]=TRUE,Tbl_ResidentData[[#This Row],[P6]]=TRUE),1,0)</f>
        <v>0</v>
      </c>
      <c r="CU179" s="120">
        <f ca="1">IF(OR(Tbl_ResidentData[[#This Row],[S7]]=TRUE,Tbl_ResidentData[[#This Row],[P7]]=TRUE),1,0)</f>
        <v>0</v>
      </c>
      <c r="CV179" s="120">
        <f ca="1">IF(OR(Tbl_ResidentData[[#This Row],[S8]]=TRUE,Tbl_ResidentData[[#This Row],[P8]]=TRUE),1,0)</f>
        <v>0</v>
      </c>
      <c r="CW179" s="120">
        <f ca="1">IF(OR(Tbl_ResidentData[[#This Row],[S9]]=TRUE,Tbl_ResidentData[[#This Row],[P9]]=TRUE),1,0)</f>
        <v>0</v>
      </c>
      <c r="CX179" s="120">
        <f ca="1">IF(OR(Tbl_ResidentData[[#This Row],[S10]]=TRUE,Tbl_ResidentData[[#This Row],[P10]]=TRUE),1,0)</f>
        <v>0</v>
      </c>
      <c r="CY179" s="120">
        <f ca="1">IF(OR(Tbl_ResidentData[[#This Row],[S11]]=TRUE,Tbl_ResidentData[[#This Row],[P11]]=TRUE),1,0)</f>
        <v>0</v>
      </c>
      <c r="CZ179" s="120">
        <f ca="1">IF(OR(Tbl_ResidentData[[#This Row],[S12]]=TRUE,Tbl_ResidentData[[#This Row],[P12]]=TRUE),1,0)</f>
        <v>0</v>
      </c>
      <c r="DA179" s="120">
        <f ca="1">IF(OR(Tbl_ResidentData[[#This Row],[S13]]=TRUE,Tbl_ResidentData[[#This Row],[P13]]=TRUE),1,0)</f>
        <v>0</v>
      </c>
      <c r="DB179" s="120">
        <f ca="1">IF(OR(Tbl_ResidentData[[#This Row],[S14]]=TRUE,Tbl_ResidentData[[#This Row],[P14]]=TRUE),1,0)</f>
        <v>0</v>
      </c>
      <c r="DC179" s="120">
        <f ca="1">IF(OR(Tbl_ResidentData[[#This Row],[S15]]=TRUE,Tbl_ResidentData[[#This Row],[P15]]=TRUE),1,0)</f>
        <v>0</v>
      </c>
      <c r="DD179" s="120">
        <f ca="1">IF(OR(Tbl_ResidentData[[#This Row],[S16]]=TRUE,Tbl_ResidentData[[#This Row],[P16]]=TRUE),1,0)</f>
        <v>0</v>
      </c>
      <c r="DE179" s="120">
        <f ca="1">IF(OR(Tbl_ResidentData[[#This Row],[S17]]=TRUE,Tbl_ResidentData[[#This Row],[P17]]=TRUE),1,0)</f>
        <v>0</v>
      </c>
      <c r="DF179" s="120">
        <f ca="1">IF(OR(Tbl_ResidentData[[#This Row],[S18]]=TRUE,Tbl_ResidentData[[#This Row],[P18]]=TRUE),1,0)</f>
        <v>0</v>
      </c>
      <c r="DG179" s="120">
        <f ca="1">IF(OR(Tbl_ResidentData[[#This Row],[S19]]=TRUE,Tbl_ResidentData[[#This Row],[P19]]=TRUE),1,0)</f>
        <v>0</v>
      </c>
      <c r="DH179" s="120">
        <f ca="1">IF(OR(Tbl_ResidentData[[#This Row],[S20]]=TRUE,Tbl_ResidentData[[#This Row],[P20]]=TRUE),1,0)</f>
        <v>0</v>
      </c>
      <c r="DI179" s="120">
        <f ca="1">IF(OR(Tbl_ResidentData[[#This Row],[S21]]=TRUE,Tbl_ResidentData[[#This Row],[P21]]=TRUE),1,0)</f>
        <v>0</v>
      </c>
      <c r="DJ179" s="120">
        <f ca="1">IF(OR(Tbl_ResidentData[[#This Row],[S22]]=TRUE,Tbl_ResidentData[[#This Row],[P22]]=TRUE),1,0)</f>
        <v>0</v>
      </c>
      <c r="DK179" s="120">
        <f ca="1">IF(OR(Tbl_ResidentData[[#This Row],[S23]]=TRUE,Tbl_ResidentData[[#This Row],[P23]]=TRUE),1,0)</f>
        <v>0</v>
      </c>
      <c r="DL179" s="120">
        <f ca="1">IF(OR(Tbl_ResidentData[[#This Row],[S24]]=TRUE,Tbl_ResidentData[[#This Row],[P24]]=TRUE),1,0)</f>
        <v>0</v>
      </c>
      <c r="DM179" s="123" t="str">
        <f ca="1">IFERROR(INDEX($CO$4:$DL$4,MATCH(TRUE,INDEX((Tbl_ResidentData[[#This Row],[Over1]:[Over24]]&lt;&gt;0),0),0)),"")</f>
        <v/>
      </c>
      <c r="DN179" s="133" t="str">
        <f>IFERROR(INDEX(Tbl_PDSAData[Last DRT],MATCH(Tbl_ResidentData[Resident Name '[last, first']],Tbl_PDSAData[Resident Name (last, first)],0)),"")</f>
        <v/>
      </c>
      <c r="DO179" s="222" t="str">
        <f>IFERROR(INDEX(Tbl_PDSAData[Last MR],MATCH(Tbl_ResidentData[Resident Name '[last, first']],Tbl_PDSAData[Resident Name (last, first)],0)),"")</f>
        <v/>
      </c>
    </row>
    <row r="180" spans="1:119" x14ac:dyDescent="0.25">
      <c r="A180" s="179"/>
      <c r="B180" s="180"/>
      <c r="C180" s="180"/>
      <c r="D180" s="218"/>
      <c r="E180" s="179"/>
      <c r="F180" s="179"/>
      <c r="G180" s="181"/>
      <c r="H180" s="182"/>
      <c r="I180" s="185"/>
      <c r="J180" s="387"/>
      <c r="K180" s="178"/>
      <c r="L180" s="388"/>
      <c r="M180" s="185"/>
      <c r="N180" s="386"/>
      <c r="O180" s="178"/>
      <c r="P180" s="388"/>
      <c r="Q180" s="394"/>
      <c r="R180" s="388"/>
      <c r="S180" s="131" t="str">
        <f>IF(ISBLANK(Tbl_ResidentData[[#This Row],[Discharge '[mmm-yyyy']]]),IF(ISBLANK(Tbl_ResidentData[[#This Row],[Enrollment '[mmm-yyyy']]]),"","In Care Home"),"Discharged")</f>
        <v/>
      </c>
      <c r="T180" s="119" t="str">
        <f>IF(ISBLANK(Tbl_ResidentData[[#This Row],[Diagnosis (RAI)]]),IF(ISBLANK(Tbl_ResidentData[[#This Row],[Resident Name '[last, first']]]),"",0),IF(Tbl_ResidentData[[#This Row],[Diagnosis (RAI)]]="Other (see clinical notes)",0,1))</f>
        <v/>
      </c>
      <c r="U180" s="120" t="str">
        <f ca="1">IF(U$4&gt;NOW(),"-",IF(ISBLANK(Tbl_ResidentData[[#This Row],[Enrollment '[mmm-yyyy']]]),"-",AND((Tbl_ResidentData[[#This Row],[Enrollment '[mmm-yyyy']]]&lt;=U$4),IF(ISBLANK(Tbl_ResidentData[[#This Row],[Discharge '[mmm-yyyy']]]),TRUE,(Tbl_ResidentData[[#This Row],[Discharge '[mmm-yyyy']]]&gt;=U$4)))))</f>
        <v>-</v>
      </c>
      <c r="V180" s="121" t="str">
        <f ca="1">IF(V$4&gt;NOW(),"-",IF(ISBLANK(Tbl_ResidentData[[#This Row],[Enrollment '[mmm-yyyy']]]),"-",AND((Tbl_ResidentData[[#This Row],[Enrollment '[mmm-yyyy']]]&lt;=V$4),IF(ISBLANK(Tbl_ResidentData[[#This Row],[Discharge '[mmm-yyyy']]]),TRUE,(Tbl_ResidentData[[#This Row],[Discharge '[mmm-yyyy']]]&gt;=V$4)))))</f>
        <v>-</v>
      </c>
      <c r="W180" s="121" t="str">
        <f ca="1">IF(W$4&gt;NOW(),"-",IF(ISBLANK(Tbl_ResidentData[[#This Row],[Enrollment '[mmm-yyyy']]]),"-",AND((Tbl_ResidentData[[#This Row],[Enrollment '[mmm-yyyy']]]&lt;=W$4),IF(ISBLANK(Tbl_ResidentData[[#This Row],[Discharge '[mmm-yyyy']]]),TRUE,(Tbl_ResidentData[[#This Row],[Discharge '[mmm-yyyy']]]&gt;=W$4)))))</f>
        <v>-</v>
      </c>
      <c r="X180" s="121" t="str">
        <f ca="1">IF(X$4&gt;NOW(),"-",IF(ISBLANK(Tbl_ResidentData[[#This Row],[Enrollment '[mmm-yyyy']]]),"-",AND((Tbl_ResidentData[[#This Row],[Enrollment '[mmm-yyyy']]]&lt;=X$4),IF(ISBLANK(Tbl_ResidentData[[#This Row],[Discharge '[mmm-yyyy']]]),TRUE,(Tbl_ResidentData[[#This Row],[Discharge '[mmm-yyyy']]]&gt;=X$4)))))</f>
        <v>-</v>
      </c>
      <c r="Y180" s="121" t="str">
        <f ca="1">IF(Y$4&gt;NOW(),"-",IF(ISBLANK(Tbl_ResidentData[[#This Row],[Enrollment '[mmm-yyyy']]]),"-",AND((Tbl_ResidentData[[#This Row],[Enrollment '[mmm-yyyy']]]&lt;=Y$4),IF(ISBLANK(Tbl_ResidentData[[#This Row],[Discharge '[mmm-yyyy']]]),TRUE,(Tbl_ResidentData[[#This Row],[Discharge '[mmm-yyyy']]]&gt;=Y$4)))))</f>
        <v>-</v>
      </c>
      <c r="Z180" s="121" t="str">
        <f ca="1">IF(Z$4&gt;NOW(),"-",IF(ISBLANK(Tbl_ResidentData[[#This Row],[Enrollment '[mmm-yyyy']]]),"-",AND((Tbl_ResidentData[[#This Row],[Enrollment '[mmm-yyyy']]]&lt;=Z$4),IF(ISBLANK(Tbl_ResidentData[[#This Row],[Discharge '[mmm-yyyy']]]),TRUE,(Tbl_ResidentData[[#This Row],[Discharge '[mmm-yyyy']]]&gt;=Z$4)))))</f>
        <v>-</v>
      </c>
      <c r="AA180" s="121" t="str">
        <f ca="1">IF(AA$4&gt;NOW(),"-",IF(ISBLANK(Tbl_ResidentData[[#This Row],[Enrollment '[mmm-yyyy']]]),"-",AND((Tbl_ResidentData[[#This Row],[Enrollment '[mmm-yyyy']]]&lt;=AA$4),IF(ISBLANK(Tbl_ResidentData[[#This Row],[Discharge '[mmm-yyyy']]]),TRUE,(Tbl_ResidentData[[#This Row],[Discharge '[mmm-yyyy']]]&gt;=AA$4)))))</f>
        <v>-</v>
      </c>
      <c r="AB180" s="121" t="str">
        <f ca="1">IF(AB$4&gt;NOW(),"-",IF(ISBLANK(Tbl_ResidentData[[#This Row],[Enrollment '[mmm-yyyy']]]),"-",AND((Tbl_ResidentData[[#This Row],[Enrollment '[mmm-yyyy']]]&lt;=AB$4),IF(ISBLANK(Tbl_ResidentData[[#This Row],[Discharge '[mmm-yyyy']]]),TRUE,(Tbl_ResidentData[[#This Row],[Discharge '[mmm-yyyy']]]&gt;=AB$4)))))</f>
        <v>-</v>
      </c>
      <c r="AC180" s="121" t="str">
        <f ca="1">IF(AC$4&gt;NOW(),"-",IF(ISBLANK(Tbl_ResidentData[[#This Row],[Enrollment '[mmm-yyyy']]]),"-",AND((Tbl_ResidentData[[#This Row],[Enrollment '[mmm-yyyy']]]&lt;=AC$4),IF(ISBLANK(Tbl_ResidentData[[#This Row],[Discharge '[mmm-yyyy']]]),TRUE,(Tbl_ResidentData[[#This Row],[Discharge '[mmm-yyyy']]]&gt;=AC$4)))))</f>
        <v>-</v>
      </c>
      <c r="AD180" s="121" t="str">
        <f ca="1">IF(AD$4&gt;NOW(),"-",IF(ISBLANK(Tbl_ResidentData[[#This Row],[Enrollment '[mmm-yyyy']]]),"-",AND((Tbl_ResidentData[[#This Row],[Enrollment '[mmm-yyyy']]]&lt;=AD$4),IF(ISBLANK(Tbl_ResidentData[[#This Row],[Discharge '[mmm-yyyy']]]),TRUE,(Tbl_ResidentData[[#This Row],[Discharge '[mmm-yyyy']]]&gt;=AD$4)))))</f>
        <v>-</v>
      </c>
      <c r="AE180" s="121" t="str">
        <f ca="1">IF(AE$4&gt;NOW(),"-",IF(ISBLANK(Tbl_ResidentData[[#This Row],[Enrollment '[mmm-yyyy']]]),"-",AND((Tbl_ResidentData[[#This Row],[Enrollment '[mmm-yyyy']]]&lt;=AE$4),IF(ISBLANK(Tbl_ResidentData[[#This Row],[Discharge '[mmm-yyyy']]]),TRUE,(Tbl_ResidentData[[#This Row],[Discharge '[mmm-yyyy']]]&gt;=AE$4)))))</f>
        <v>-</v>
      </c>
      <c r="AF180" s="121" t="str">
        <f ca="1">IF(AF$4&gt;NOW(),"-",IF(ISBLANK(Tbl_ResidentData[[#This Row],[Enrollment '[mmm-yyyy']]]),"-",AND((Tbl_ResidentData[[#This Row],[Enrollment '[mmm-yyyy']]]&lt;=AF$4),IF(ISBLANK(Tbl_ResidentData[[#This Row],[Discharge '[mmm-yyyy']]]),TRUE,(Tbl_ResidentData[[#This Row],[Discharge '[mmm-yyyy']]]&gt;=AF$4)))))</f>
        <v>-</v>
      </c>
      <c r="AG180" s="121" t="str">
        <f ca="1">IF(AG$4&gt;NOW(),"-",IF(ISBLANK(Tbl_ResidentData[[#This Row],[Enrollment '[mmm-yyyy']]]),"-",AND((Tbl_ResidentData[[#This Row],[Enrollment '[mmm-yyyy']]]&lt;=AG$4),IF(ISBLANK(Tbl_ResidentData[[#This Row],[Discharge '[mmm-yyyy']]]),TRUE,(Tbl_ResidentData[[#This Row],[Discharge '[mmm-yyyy']]]&gt;=AG$4)))))</f>
        <v>-</v>
      </c>
      <c r="AH180" s="121" t="str">
        <f ca="1">IF(AH$4&gt;NOW(),"-",IF(ISBLANK(Tbl_ResidentData[[#This Row],[Enrollment '[mmm-yyyy']]]),"-",AND((Tbl_ResidentData[[#This Row],[Enrollment '[mmm-yyyy']]]&lt;=AH$4),IF(ISBLANK(Tbl_ResidentData[[#This Row],[Discharge '[mmm-yyyy']]]),TRUE,(Tbl_ResidentData[[#This Row],[Discharge '[mmm-yyyy']]]&gt;=AH$4)))))</f>
        <v>-</v>
      </c>
      <c r="AI180" s="121" t="str">
        <f ca="1">IF(AI$4&gt;NOW(),"-",IF(ISBLANK(Tbl_ResidentData[[#This Row],[Enrollment '[mmm-yyyy']]]),"-",AND((Tbl_ResidentData[[#This Row],[Enrollment '[mmm-yyyy']]]&lt;=AI$4),IF(ISBLANK(Tbl_ResidentData[[#This Row],[Discharge '[mmm-yyyy']]]),TRUE,(Tbl_ResidentData[[#This Row],[Discharge '[mmm-yyyy']]]&gt;=AI$4)))))</f>
        <v>-</v>
      </c>
      <c r="AJ180" s="121" t="str">
        <f ca="1">IF(AJ$4&gt;NOW(),"-",IF(ISBLANK(Tbl_ResidentData[[#This Row],[Enrollment '[mmm-yyyy']]]),"-",AND((Tbl_ResidentData[[#This Row],[Enrollment '[mmm-yyyy']]]&lt;=AJ$4),IF(ISBLANK(Tbl_ResidentData[[#This Row],[Discharge '[mmm-yyyy']]]),TRUE,(Tbl_ResidentData[[#This Row],[Discharge '[mmm-yyyy']]]&gt;=AJ$4)))))</f>
        <v>-</v>
      </c>
      <c r="AK180" s="121" t="str">
        <f ca="1">IF(AK$4&gt;NOW(),"-",IF(ISBLANK(Tbl_ResidentData[[#This Row],[Enrollment '[mmm-yyyy']]]),"-",AND((Tbl_ResidentData[[#This Row],[Enrollment '[mmm-yyyy']]]&lt;=AK$4),IF(ISBLANK(Tbl_ResidentData[[#This Row],[Discharge '[mmm-yyyy']]]),TRUE,(Tbl_ResidentData[[#This Row],[Discharge '[mmm-yyyy']]]&gt;=AK$4)))))</f>
        <v>-</v>
      </c>
      <c r="AL180" s="121" t="str">
        <f ca="1">IF(AL$4&gt;NOW(),"-",IF(ISBLANK(Tbl_ResidentData[[#This Row],[Enrollment '[mmm-yyyy']]]),"-",AND((Tbl_ResidentData[[#This Row],[Enrollment '[mmm-yyyy']]]&lt;=AL$4),IF(ISBLANK(Tbl_ResidentData[[#This Row],[Discharge '[mmm-yyyy']]]),TRUE,(Tbl_ResidentData[[#This Row],[Discharge '[mmm-yyyy']]]&gt;=AL$4)))))</f>
        <v>-</v>
      </c>
      <c r="AM180" s="121" t="str">
        <f ca="1">IF(AM$4&gt;NOW(),"-",IF(ISBLANK(Tbl_ResidentData[[#This Row],[Enrollment '[mmm-yyyy']]]),"-",AND((Tbl_ResidentData[[#This Row],[Enrollment '[mmm-yyyy']]]&lt;=AM$4),IF(ISBLANK(Tbl_ResidentData[[#This Row],[Discharge '[mmm-yyyy']]]),TRUE,(Tbl_ResidentData[[#This Row],[Discharge '[mmm-yyyy']]]&gt;=AM$4)))))</f>
        <v>-</v>
      </c>
      <c r="AN180" s="121" t="str">
        <f ca="1">IF(AN$4&gt;NOW(),"-",IF(ISBLANK(Tbl_ResidentData[[#This Row],[Enrollment '[mmm-yyyy']]]),"-",AND((Tbl_ResidentData[[#This Row],[Enrollment '[mmm-yyyy']]]&lt;=AN$4),IF(ISBLANK(Tbl_ResidentData[[#This Row],[Discharge '[mmm-yyyy']]]),TRUE,(Tbl_ResidentData[[#This Row],[Discharge '[mmm-yyyy']]]&gt;=AN$4)))))</f>
        <v>-</v>
      </c>
      <c r="AO180" s="121" t="str">
        <f ca="1">IF(AO$4&gt;NOW(),"-",IF(ISBLANK(Tbl_ResidentData[[#This Row],[Enrollment '[mmm-yyyy']]]),"-",AND((Tbl_ResidentData[[#This Row],[Enrollment '[mmm-yyyy']]]&lt;=AO$4),IF(ISBLANK(Tbl_ResidentData[[#This Row],[Discharge '[mmm-yyyy']]]),TRUE,(Tbl_ResidentData[[#This Row],[Discharge '[mmm-yyyy']]]&gt;=AO$4)))))</f>
        <v>-</v>
      </c>
      <c r="AP180" s="121" t="str">
        <f ca="1">IF(AP$4&gt;NOW(),"-",IF(ISBLANK(Tbl_ResidentData[[#This Row],[Enrollment '[mmm-yyyy']]]),"-",AND((Tbl_ResidentData[[#This Row],[Enrollment '[mmm-yyyy']]]&lt;=AP$4),IF(ISBLANK(Tbl_ResidentData[[#This Row],[Discharge '[mmm-yyyy']]]),TRUE,(Tbl_ResidentData[[#This Row],[Discharge '[mmm-yyyy']]]&gt;=AP$4)))))</f>
        <v>-</v>
      </c>
      <c r="AQ180" s="121" t="str">
        <f ca="1">IF(AQ$4&gt;NOW(),"-",IF(ISBLANK(Tbl_ResidentData[[#This Row],[Enrollment '[mmm-yyyy']]]),"-",AND((Tbl_ResidentData[[#This Row],[Enrollment '[mmm-yyyy']]]&lt;=AQ$4),IF(ISBLANK(Tbl_ResidentData[[#This Row],[Discharge '[mmm-yyyy']]]),TRUE,(Tbl_ResidentData[[#This Row],[Discharge '[mmm-yyyy']]]&gt;=AQ$4)))))</f>
        <v>-</v>
      </c>
      <c r="AR180" s="122" t="str">
        <f ca="1">IF(AR$4&gt;NOW(),"-",IF(ISBLANK(Tbl_ResidentData[[#This Row],[Enrollment '[mmm-yyyy']]]),"-",AND((Tbl_ResidentData[[#This Row],[Enrollment '[mmm-yyyy']]]&lt;=AR$4),IF(ISBLANK(Tbl_ResidentData[[#This Row],[Discharge '[mmm-yyyy']]]),TRUE,(Tbl_ResidentData[[#This Row],[Discharge '[mmm-yyyy']]]&gt;=AR$4)))))</f>
        <v>-</v>
      </c>
      <c r="AS18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0" s="120" t="b">
        <f ca="1">AND(Tbl_ResidentData[[#This Row],[PRN Med Started]]&lt;&gt;"",Tbl_ResidentData[[#This Row],[PRN Med Started]]&lt;=NOW(),Tbl_ResidentData[[#This Row],[PRN Med Started]]&lt;=AS$4,OR(Tbl_ResidentData[[#This Row],[PRN Med Discontinued]]&gt;AS$4,ISBLANK(Tbl_ResidentData[[#This Row],[PRN Med Discontinued]])))</f>
        <v>0</v>
      </c>
      <c r="BR180" s="121" t="b">
        <f ca="1">AND(Tbl_ResidentData[[#This Row],[PRN Med Started]]&lt;&gt;"",Tbl_ResidentData[[#This Row],[PRN Med Started]]&lt;=NOW(),Tbl_ResidentData[[#This Row],[PRN Med Started]]&lt;=AT$4,OR(Tbl_ResidentData[[#This Row],[PRN Med Discontinued]]&gt;AT$4,ISBLANK(Tbl_ResidentData[[#This Row],[PRN Med Discontinued]])))</f>
        <v>0</v>
      </c>
      <c r="BS180" s="121" t="b">
        <f ca="1">AND(Tbl_ResidentData[[#This Row],[PRN Med Started]]&lt;&gt;"",Tbl_ResidentData[[#This Row],[PRN Med Started]]&lt;=NOW(),Tbl_ResidentData[[#This Row],[PRN Med Started]]&lt;=AU$4,OR(Tbl_ResidentData[[#This Row],[PRN Med Discontinued]]&gt;AU$4,ISBLANK(Tbl_ResidentData[[#This Row],[PRN Med Discontinued]])))</f>
        <v>0</v>
      </c>
      <c r="BT180" s="121" t="b">
        <f ca="1">AND(Tbl_ResidentData[[#This Row],[PRN Med Started]]&lt;&gt;"",Tbl_ResidentData[[#This Row],[PRN Med Started]]&lt;=NOW(),Tbl_ResidentData[[#This Row],[PRN Med Started]]&lt;=AV$4,OR(Tbl_ResidentData[[#This Row],[PRN Med Discontinued]]&gt;AV$4,ISBLANK(Tbl_ResidentData[[#This Row],[PRN Med Discontinued]])))</f>
        <v>0</v>
      </c>
      <c r="BU180" s="121" t="b">
        <f ca="1">AND(Tbl_ResidentData[[#This Row],[PRN Med Started]]&lt;&gt;"",Tbl_ResidentData[[#This Row],[PRN Med Started]]&lt;=NOW(),Tbl_ResidentData[[#This Row],[PRN Med Started]]&lt;=AW$4,OR(Tbl_ResidentData[[#This Row],[PRN Med Discontinued]]&gt;AW$4,ISBLANK(Tbl_ResidentData[[#This Row],[PRN Med Discontinued]])))</f>
        <v>0</v>
      </c>
      <c r="BV180" s="121" t="b">
        <f ca="1">AND(Tbl_ResidentData[[#This Row],[PRN Med Started]]&lt;&gt;"",Tbl_ResidentData[[#This Row],[PRN Med Started]]&lt;=NOW(),Tbl_ResidentData[[#This Row],[PRN Med Started]]&lt;=AX$4,OR(Tbl_ResidentData[[#This Row],[PRN Med Discontinued]]&gt;AX$4,ISBLANK(Tbl_ResidentData[[#This Row],[PRN Med Discontinued]])))</f>
        <v>0</v>
      </c>
      <c r="BW180" s="121" t="b">
        <f ca="1">AND(Tbl_ResidentData[[#This Row],[PRN Med Started]]&lt;&gt;"",Tbl_ResidentData[[#This Row],[PRN Med Started]]&lt;=NOW(),Tbl_ResidentData[[#This Row],[PRN Med Started]]&lt;=AY$4,OR(Tbl_ResidentData[[#This Row],[PRN Med Discontinued]]&gt;AY$4,ISBLANK(Tbl_ResidentData[[#This Row],[PRN Med Discontinued]])))</f>
        <v>0</v>
      </c>
      <c r="BX180" s="121" t="b">
        <f ca="1">AND(Tbl_ResidentData[[#This Row],[PRN Med Started]]&lt;&gt;"",Tbl_ResidentData[[#This Row],[PRN Med Started]]&lt;=NOW(),Tbl_ResidentData[[#This Row],[PRN Med Started]]&lt;=AZ$4,OR(Tbl_ResidentData[[#This Row],[PRN Med Discontinued]]&gt;AZ$4,ISBLANK(Tbl_ResidentData[[#This Row],[PRN Med Discontinued]])))</f>
        <v>0</v>
      </c>
      <c r="BY180" s="121" t="b">
        <f ca="1">AND(Tbl_ResidentData[[#This Row],[PRN Med Started]]&lt;&gt;"",Tbl_ResidentData[[#This Row],[PRN Med Started]]&lt;=NOW(),Tbl_ResidentData[[#This Row],[PRN Med Started]]&lt;=BA$4,OR(Tbl_ResidentData[[#This Row],[PRN Med Discontinued]]&gt;BA$4,ISBLANK(Tbl_ResidentData[[#This Row],[PRN Med Discontinued]])))</f>
        <v>0</v>
      </c>
      <c r="BZ180" s="121" t="b">
        <f ca="1">AND(Tbl_ResidentData[[#This Row],[PRN Med Started]]&lt;&gt;"",Tbl_ResidentData[[#This Row],[PRN Med Started]]&lt;=NOW(),Tbl_ResidentData[[#This Row],[PRN Med Started]]&lt;=BB$4,OR(Tbl_ResidentData[[#This Row],[PRN Med Discontinued]]&gt;BB$4,ISBLANK(Tbl_ResidentData[[#This Row],[PRN Med Discontinued]])))</f>
        <v>0</v>
      </c>
      <c r="CA180" s="121" t="b">
        <f ca="1">AND(Tbl_ResidentData[[#This Row],[PRN Med Started]]&lt;&gt;"",Tbl_ResidentData[[#This Row],[PRN Med Started]]&lt;=NOW(),Tbl_ResidentData[[#This Row],[PRN Med Started]]&lt;=BC$4,OR(Tbl_ResidentData[[#This Row],[PRN Med Discontinued]]&gt;BC$4,ISBLANK(Tbl_ResidentData[[#This Row],[PRN Med Discontinued]])))</f>
        <v>0</v>
      </c>
      <c r="CB180" s="121" t="b">
        <f ca="1">AND(Tbl_ResidentData[[#This Row],[PRN Med Started]]&lt;&gt;"",Tbl_ResidentData[[#This Row],[PRN Med Started]]&lt;=NOW(),Tbl_ResidentData[[#This Row],[PRN Med Started]]&lt;=BD$4,OR(Tbl_ResidentData[[#This Row],[PRN Med Discontinued]]&gt;BD$4,ISBLANK(Tbl_ResidentData[[#This Row],[PRN Med Discontinued]])))</f>
        <v>0</v>
      </c>
      <c r="CC180" s="121" t="b">
        <f ca="1">AND(Tbl_ResidentData[[#This Row],[PRN Med Started]]&lt;&gt;"",Tbl_ResidentData[[#This Row],[PRN Med Started]]&lt;=NOW(),Tbl_ResidentData[[#This Row],[PRN Med Started]]&lt;=BE$4,OR(Tbl_ResidentData[[#This Row],[PRN Med Discontinued]]&gt;BE$4,ISBLANK(Tbl_ResidentData[[#This Row],[PRN Med Discontinued]])))</f>
        <v>0</v>
      </c>
      <c r="CD180" s="121" t="b">
        <f ca="1">AND(Tbl_ResidentData[[#This Row],[PRN Med Started]]&lt;&gt;"",Tbl_ResidentData[[#This Row],[PRN Med Started]]&lt;=NOW(),Tbl_ResidentData[[#This Row],[PRN Med Started]]&lt;=BF$4,OR(Tbl_ResidentData[[#This Row],[PRN Med Discontinued]]&gt;BF$4,ISBLANK(Tbl_ResidentData[[#This Row],[PRN Med Discontinued]])))</f>
        <v>0</v>
      </c>
      <c r="CE180" s="121" t="b">
        <f ca="1">AND(Tbl_ResidentData[[#This Row],[PRN Med Started]]&lt;&gt;"",Tbl_ResidentData[[#This Row],[PRN Med Started]]&lt;=NOW(),Tbl_ResidentData[[#This Row],[PRN Med Started]]&lt;=BG$4,OR(Tbl_ResidentData[[#This Row],[PRN Med Discontinued]]&gt;BG$4,ISBLANK(Tbl_ResidentData[[#This Row],[PRN Med Discontinued]])))</f>
        <v>0</v>
      </c>
      <c r="CF180" s="121" t="b">
        <f ca="1">AND(Tbl_ResidentData[[#This Row],[PRN Med Started]]&lt;&gt;"",Tbl_ResidentData[[#This Row],[PRN Med Started]]&lt;=NOW(),Tbl_ResidentData[[#This Row],[PRN Med Started]]&lt;=BH$4,OR(Tbl_ResidentData[[#This Row],[PRN Med Discontinued]]&gt;BH$4,ISBLANK(Tbl_ResidentData[[#This Row],[PRN Med Discontinued]])))</f>
        <v>0</v>
      </c>
      <c r="CG180" s="121" t="b">
        <f ca="1">AND(Tbl_ResidentData[[#This Row],[PRN Med Started]]&lt;&gt;"",Tbl_ResidentData[[#This Row],[PRN Med Started]]&lt;=NOW(),Tbl_ResidentData[[#This Row],[PRN Med Started]]&lt;=BI$4,OR(Tbl_ResidentData[[#This Row],[PRN Med Discontinued]]&gt;BI$4,ISBLANK(Tbl_ResidentData[[#This Row],[PRN Med Discontinued]])))</f>
        <v>0</v>
      </c>
      <c r="CH180" s="121" t="b">
        <f ca="1">AND(Tbl_ResidentData[[#This Row],[PRN Med Started]]&lt;&gt;"",Tbl_ResidentData[[#This Row],[PRN Med Started]]&lt;=NOW(),Tbl_ResidentData[[#This Row],[PRN Med Started]]&lt;=BJ$4,OR(Tbl_ResidentData[[#This Row],[PRN Med Discontinued]]&gt;BJ$4,ISBLANK(Tbl_ResidentData[[#This Row],[PRN Med Discontinued]])))</f>
        <v>0</v>
      </c>
      <c r="CI180" s="121" t="b">
        <f ca="1">AND(Tbl_ResidentData[[#This Row],[PRN Med Started]]&lt;&gt;"",Tbl_ResidentData[[#This Row],[PRN Med Started]]&lt;=NOW(),Tbl_ResidentData[[#This Row],[PRN Med Started]]&lt;=BK$4,OR(Tbl_ResidentData[[#This Row],[PRN Med Discontinued]]&gt;BK$4,ISBLANK(Tbl_ResidentData[[#This Row],[PRN Med Discontinued]])))</f>
        <v>0</v>
      </c>
      <c r="CJ180" s="121" t="b">
        <f ca="1">AND(Tbl_ResidentData[[#This Row],[PRN Med Started]]&lt;&gt;"",Tbl_ResidentData[[#This Row],[PRN Med Started]]&lt;=NOW(),Tbl_ResidentData[[#This Row],[PRN Med Started]]&lt;=BL$4,OR(Tbl_ResidentData[[#This Row],[PRN Med Discontinued]]&gt;BL$4,ISBLANK(Tbl_ResidentData[[#This Row],[PRN Med Discontinued]])))</f>
        <v>0</v>
      </c>
      <c r="CK180" s="121" t="b">
        <f ca="1">AND(Tbl_ResidentData[[#This Row],[PRN Med Started]]&lt;&gt;"",Tbl_ResidentData[[#This Row],[PRN Med Started]]&lt;=NOW(),Tbl_ResidentData[[#This Row],[PRN Med Started]]&lt;=BM$4,OR(Tbl_ResidentData[[#This Row],[PRN Med Discontinued]]&gt;BM$4,ISBLANK(Tbl_ResidentData[[#This Row],[PRN Med Discontinued]])))</f>
        <v>0</v>
      </c>
      <c r="CL180" s="121" t="b">
        <f ca="1">AND(Tbl_ResidentData[[#This Row],[PRN Med Started]]&lt;&gt;"",Tbl_ResidentData[[#This Row],[PRN Med Started]]&lt;=NOW(),Tbl_ResidentData[[#This Row],[PRN Med Started]]&lt;=BN$4,OR(Tbl_ResidentData[[#This Row],[PRN Med Discontinued]]&gt;BN$4,ISBLANK(Tbl_ResidentData[[#This Row],[PRN Med Discontinued]])))</f>
        <v>0</v>
      </c>
      <c r="CM180" s="121" t="b">
        <f ca="1">AND(Tbl_ResidentData[[#This Row],[PRN Med Started]]&lt;&gt;"",Tbl_ResidentData[[#This Row],[PRN Med Started]]&lt;=NOW(),Tbl_ResidentData[[#This Row],[PRN Med Started]]&lt;=BO$4,OR(Tbl_ResidentData[[#This Row],[PRN Med Discontinued]]&gt;BO$4,ISBLANK(Tbl_ResidentData[[#This Row],[PRN Med Discontinued]])))</f>
        <v>0</v>
      </c>
      <c r="CN180" s="122" t="b">
        <f ca="1">AND(Tbl_ResidentData[[#This Row],[PRN Med Started]]&lt;&gt;"",Tbl_ResidentData[[#This Row],[PRN Med Started]]&lt;=NOW(),Tbl_ResidentData[[#This Row],[PRN Med Started]]&lt;=BP$4,OR(Tbl_ResidentData[[#This Row],[PRN Med Discontinued]]&gt;BP$4,ISBLANK(Tbl_ResidentData[[#This Row],[PRN Med Discontinued]])))</f>
        <v>0</v>
      </c>
      <c r="CO180" s="120">
        <f ca="1">IF(OR(Tbl_ResidentData[[#This Row],[S1]]=TRUE,Tbl_ResidentData[[#This Row],[P1]]=TRUE),1,0)</f>
        <v>0</v>
      </c>
      <c r="CP180" s="121">
        <f ca="1">IF(OR(Tbl_ResidentData[[#This Row],[S2]]=TRUE,Tbl_ResidentData[[#This Row],[P2]]=TRUE),1,0)</f>
        <v>0</v>
      </c>
      <c r="CQ180" s="121">
        <f ca="1">IF(OR(Tbl_ResidentData[[#This Row],[S3]]=TRUE,Tbl_ResidentData[[#This Row],[P3]]=TRUE),1,0)</f>
        <v>0</v>
      </c>
      <c r="CR180" s="120">
        <f ca="1">IF(OR(Tbl_ResidentData[[#This Row],[S4]]=TRUE,Tbl_ResidentData[[#This Row],[P4]]=TRUE),1,0)</f>
        <v>0</v>
      </c>
      <c r="CS180" s="120">
        <f ca="1">IF(OR(Tbl_ResidentData[[#This Row],[S5]]=TRUE,Tbl_ResidentData[[#This Row],[P5]]=TRUE),1,0)</f>
        <v>0</v>
      </c>
      <c r="CT180" s="120">
        <f ca="1">IF(OR(Tbl_ResidentData[[#This Row],[S6]]=TRUE,Tbl_ResidentData[[#This Row],[P6]]=TRUE),1,0)</f>
        <v>0</v>
      </c>
      <c r="CU180" s="120">
        <f ca="1">IF(OR(Tbl_ResidentData[[#This Row],[S7]]=TRUE,Tbl_ResidentData[[#This Row],[P7]]=TRUE),1,0)</f>
        <v>0</v>
      </c>
      <c r="CV180" s="120">
        <f ca="1">IF(OR(Tbl_ResidentData[[#This Row],[S8]]=TRUE,Tbl_ResidentData[[#This Row],[P8]]=TRUE),1,0)</f>
        <v>0</v>
      </c>
      <c r="CW180" s="120">
        <f ca="1">IF(OR(Tbl_ResidentData[[#This Row],[S9]]=TRUE,Tbl_ResidentData[[#This Row],[P9]]=TRUE),1,0)</f>
        <v>0</v>
      </c>
      <c r="CX180" s="120">
        <f ca="1">IF(OR(Tbl_ResidentData[[#This Row],[S10]]=TRUE,Tbl_ResidentData[[#This Row],[P10]]=TRUE),1,0)</f>
        <v>0</v>
      </c>
      <c r="CY180" s="120">
        <f ca="1">IF(OR(Tbl_ResidentData[[#This Row],[S11]]=TRUE,Tbl_ResidentData[[#This Row],[P11]]=TRUE),1,0)</f>
        <v>0</v>
      </c>
      <c r="CZ180" s="120">
        <f ca="1">IF(OR(Tbl_ResidentData[[#This Row],[S12]]=TRUE,Tbl_ResidentData[[#This Row],[P12]]=TRUE),1,0)</f>
        <v>0</v>
      </c>
      <c r="DA180" s="120">
        <f ca="1">IF(OR(Tbl_ResidentData[[#This Row],[S13]]=TRUE,Tbl_ResidentData[[#This Row],[P13]]=TRUE),1,0)</f>
        <v>0</v>
      </c>
      <c r="DB180" s="120">
        <f ca="1">IF(OR(Tbl_ResidentData[[#This Row],[S14]]=TRUE,Tbl_ResidentData[[#This Row],[P14]]=TRUE),1,0)</f>
        <v>0</v>
      </c>
      <c r="DC180" s="120">
        <f ca="1">IF(OR(Tbl_ResidentData[[#This Row],[S15]]=TRUE,Tbl_ResidentData[[#This Row],[P15]]=TRUE),1,0)</f>
        <v>0</v>
      </c>
      <c r="DD180" s="120">
        <f ca="1">IF(OR(Tbl_ResidentData[[#This Row],[S16]]=TRUE,Tbl_ResidentData[[#This Row],[P16]]=TRUE),1,0)</f>
        <v>0</v>
      </c>
      <c r="DE180" s="120">
        <f ca="1">IF(OR(Tbl_ResidentData[[#This Row],[S17]]=TRUE,Tbl_ResidentData[[#This Row],[P17]]=TRUE),1,0)</f>
        <v>0</v>
      </c>
      <c r="DF180" s="120">
        <f ca="1">IF(OR(Tbl_ResidentData[[#This Row],[S18]]=TRUE,Tbl_ResidentData[[#This Row],[P18]]=TRUE),1,0)</f>
        <v>0</v>
      </c>
      <c r="DG180" s="120">
        <f ca="1">IF(OR(Tbl_ResidentData[[#This Row],[S19]]=TRUE,Tbl_ResidentData[[#This Row],[P19]]=TRUE),1,0)</f>
        <v>0</v>
      </c>
      <c r="DH180" s="120">
        <f ca="1">IF(OR(Tbl_ResidentData[[#This Row],[S20]]=TRUE,Tbl_ResidentData[[#This Row],[P20]]=TRUE),1,0)</f>
        <v>0</v>
      </c>
      <c r="DI180" s="120">
        <f ca="1">IF(OR(Tbl_ResidentData[[#This Row],[S21]]=TRUE,Tbl_ResidentData[[#This Row],[P21]]=TRUE),1,0)</f>
        <v>0</v>
      </c>
      <c r="DJ180" s="120">
        <f ca="1">IF(OR(Tbl_ResidentData[[#This Row],[S22]]=TRUE,Tbl_ResidentData[[#This Row],[P22]]=TRUE),1,0)</f>
        <v>0</v>
      </c>
      <c r="DK180" s="120">
        <f ca="1">IF(OR(Tbl_ResidentData[[#This Row],[S23]]=TRUE,Tbl_ResidentData[[#This Row],[P23]]=TRUE),1,0)</f>
        <v>0</v>
      </c>
      <c r="DL180" s="120">
        <f ca="1">IF(OR(Tbl_ResidentData[[#This Row],[S24]]=TRUE,Tbl_ResidentData[[#This Row],[P24]]=TRUE),1,0)</f>
        <v>0</v>
      </c>
      <c r="DM180" s="123" t="str">
        <f ca="1">IFERROR(INDEX($CO$4:$DL$4,MATCH(TRUE,INDEX((Tbl_ResidentData[[#This Row],[Over1]:[Over24]]&lt;&gt;0),0),0)),"")</f>
        <v/>
      </c>
      <c r="DN180" s="133" t="str">
        <f>IFERROR(INDEX(Tbl_PDSAData[Last DRT],MATCH(Tbl_ResidentData[Resident Name '[last, first']],Tbl_PDSAData[Resident Name (last, first)],0)),"")</f>
        <v/>
      </c>
      <c r="DO180" s="222" t="str">
        <f>IFERROR(INDEX(Tbl_PDSAData[Last MR],MATCH(Tbl_ResidentData[Resident Name '[last, first']],Tbl_PDSAData[Resident Name (last, first)],0)),"")</f>
        <v/>
      </c>
    </row>
    <row r="181" spans="1:119" x14ac:dyDescent="0.25">
      <c r="A181" s="179"/>
      <c r="B181" s="180"/>
      <c r="C181" s="180"/>
      <c r="D181" s="218"/>
      <c r="E181" s="179"/>
      <c r="F181" s="179"/>
      <c r="G181" s="181"/>
      <c r="H181" s="375"/>
      <c r="I181" s="185"/>
      <c r="J181" s="387"/>
      <c r="K181" s="178"/>
      <c r="L181" s="388"/>
      <c r="M181" s="185"/>
      <c r="N181" s="386"/>
      <c r="O181" s="178"/>
      <c r="P181" s="388"/>
      <c r="Q181" s="395"/>
      <c r="R181" s="396"/>
      <c r="S181" s="131" t="str">
        <f>IF(ISBLANK(Tbl_ResidentData[[#This Row],[Discharge '[mmm-yyyy']]]),IF(ISBLANK(Tbl_ResidentData[[#This Row],[Enrollment '[mmm-yyyy']]]),"","In Care Home"),"Discharged")</f>
        <v/>
      </c>
      <c r="T181" s="119" t="str">
        <f>IF(ISBLANK(Tbl_ResidentData[[#This Row],[Diagnosis (RAI)]]),IF(ISBLANK(Tbl_ResidentData[[#This Row],[Resident Name '[last, first']]]),"",0),IF(Tbl_ResidentData[[#This Row],[Diagnosis (RAI)]]="Other (see clinical notes)",0,1))</f>
        <v/>
      </c>
      <c r="U181" s="120" t="str">
        <f ca="1">IF(U$4&gt;NOW(),"-",IF(ISBLANK(Tbl_ResidentData[[#This Row],[Enrollment '[mmm-yyyy']]]),"-",AND((Tbl_ResidentData[[#This Row],[Enrollment '[mmm-yyyy']]]&lt;=U$4),IF(ISBLANK(Tbl_ResidentData[[#This Row],[Discharge '[mmm-yyyy']]]),TRUE,(Tbl_ResidentData[[#This Row],[Discharge '[mmm-yyyy']]]&gt;=U$4)))))</f>
        <v>-</v>
      </c>
      <c r="V181" s="121" t="str">
        <f ca="1">IF(V$4&gt;NOW(),"-",IF(ISBLANK(Tbl_ResidentData[[#This Row],[Enrollment '[mmm-yyyy']]]),"-",AND((Tbl_ResidentData[[#This Row],[Enrollment '[mmm-yyyy']]]&lt;=V$4),IF(ISBLANK(Tbl_ResidentData[[#This Row],[Discharge '[mmm-yyyy']]]),TRUE,(Tbl_ResidentData[[#This Row],[Discharge '[mmm-yyyy']]]&gt;=V$4)))))</f>
        <v>-</v>
      </c>
      <c r="W181" s="121" t="str">
        <f ca="1">IF(W$4&gt;NOW(),"-",IF(ISBLANK(Tbl_ResidentData[[#This Row],[Enrollment '[mmm-yyyy']]]),"-",AND((Tbl_ResidentData[[#This Row],[Enrollment '[mmm-yyyy']]]&lt;=W$4),IF(ISBLANK(Tbl_ResidentData[[#This Row],[Discharge '[mmm-yyyy']]]),TRUE,(Tbl_ResidentData[[#This Row],[Discharge '[mmm-yyyy']]]&gt;=W$4)))))</f>
        <v>-</v>
      </c>
      <c r="X181" s="121" t="str">
        <f ca="1">IF(X$4&gt;NOW(),"-",IF(ISBLANK(Tbl_ResidentData[[#This Row],[Enrollment '[mmm-yyyy']]]),"-",AND((Tbl_ResidentData[[#This Row],[Enrollment '[mmm-yyyy']]]&lt;=X$4),IF(ISBLANK(Tbl_ResidentData[[#This Row],[Discharge '[mmm-yyyy']]]),TRUE,(Tbl_ResidentData[[#This Row],[Discharge '[mmm-yyyy']]]&gt;=X$4)))))</f>
        <v>-</v>
      </c>
      <c r="Y181" s="121" t="str">
        <f ca="1">IF(Y$4&gt;NOW(),"-",IF(ISBLANK(Tbl_ResidentData[[#This Row],[Enrollment '[mmm-yyyy']]]),"-",AND((Tbl_ResidentData[[#This Row],[Enrollment '[mmm-yyyy']]]&lt;=Y$4),IF(ISBLANK(Tbl_ResidentData[[#This Row],[Discharge '[mmm-yyyy']]]),TRUE,(Tbl_ResidentData[[#This Row],[Discharge '[mmm-yyyy']]]&gt;=Y$4)))))</f>
        <v>-</v>
      </c>
      <c r="Z181" s="121" t="str">
        <f ca="1">IF(Z$4&gt;NOW(),"-",IF(ISBLANK(Tbl_ResidentData[[#This Row],[Enrollment '[mmm-yyyy']]]),"-",AND((Tbl_ResidentData[[#This Row],[Enrollment '[mmm-yyyy']]]&lt;=Z$4),IF(ISBLANK(Tbl_ResidentData[[#This Row],[Discharge '[mmm-yyyy']]]),TRUE,(Tbl_ResidentData[[#This Row],[Discharge '[mmm-yyyy']]]&gt;=Z$4)))))</f>
        <v>-</v>
      </c>
      <c r="AA181" s="121" t="str">
        <f ca="1">IF(AA$4&gt;NOW(),"-",IF(ISBLANK(Tbl_ResidentData[[#This Row],[Enrollment '[mmm-yyyy']]]),"-",AND((Tbl_ResidentData[[#This Row],[Enrollment '[mmm-yyyy']]]&lt;=AA$4),IF(ISBLANK(Tbl_ResidentData[[#This Row],[Discharge '[mmm-yyyy']]]),TRUE,(Tbl_ResidentData[[#This Row],[Discharge '[mmm-yyyy']]]&gt;=AA$4)))))</f>
        <v>-</v>
      </c>
      <c r="AB181" s="121" t="str">
        <f ca="1">IF(AB$4&gt;NOW(),"-",IF(ISBLANK(Tbl_ResidentData[[#This Row],[Enrollment '[mmm-yyyy']]]),"-",AND((Tbl_ResidentData[[#This Row],[Enrollment '[mmm-yyyy']]]&lt;=AB$4),IF(ISBLANK(Tbl_ResidentData[[#This Row],[Discharge '[mmm-yyyy']]]),TRUE,(Tbl_ResidentData[[#This Row],[Discharge '[mmm-yyyy']]]&gt;=AB$4)))))</f>
        <v>-</v>
      </c>
      <c r="AC181" s="121" t="str">
        <f ca="1">IF(AC$4&gt;NOW(),"-",IF(ISBLANK(Tbl_ResidentData[[#This Row],[Enrollment '[mmm-yyyy']]]),"-",AND((Tbl_ResidentData[[#This Row],[Enrollment '[mmm-yyyy']]]&lt;=AC$4),IF(ISBLANK(Tbl_ResidentData[[#This Row],[Discharge '[mmm-yyyy']]]),TRUE,(Tbl_ResidentData[[#This Row],[Discharge '[mmm-yyyy']]]&gt;=AC$4)))))</f>
        <v>-</v>
      </c>
      <c r="AD181" s="121" t="str">
        <f ca="1">IF(AD$4&gt;NOW(),"-",IF(ISBLANK(Tbl_ResidentData[[#This Row],[Enrollment '[mmm-yyyy']]]),"-",AND((Tbl_ResidentData[[#This Row],[Enrollment '[mmm-yyyy']]]&lt;=AD$4),IF(ISBLANK(Tbl_ResidentData[[#This Row],[Discharge '[mmm-yyyy']]]),TRUE,(Tbl_ResidentData[[#This Row],[Discharge '[mmm-yyyy']]]&gt;=AD$4)))))</f>
        <v>-</v>
      </c>
      <c r="AE181" s="121" t="str">
        <f ca="1">IF(AE$4&gt;NOW(),"-",IF(ISBLANK(Tbl_ResidentData[[#This Row],[Enrollment '[mmm-yyyy']]]),"-",AND((Tbl_ResidentData[[#This Row],[Enrollment '[mmm-yyyy']]]&lt;=AE$4),IF(ISBLANK(Tbl_ResidentData[[#This Row],[Discharge '[mmm-yyyy']]]),TRUE,(Tbl_ResidentData[[#This Row],[Discharge '[mmm-yyyy']]]&gt;=AE$4)))))</f>
        <v>-</v>
      </c>
      <c r="AF181" s="121" t="str">
        <f ca="1">IF(AF$4&gt;NOW(),"-",IF(ISBLANK(Tbl_ResidentData[[#This Row],[Enrollment '[mmm-yyyy']]]),"-",AND((Tbl_ResidentData[[#This Row],[Enrollment '[mmm-yyyy']]]&lt;=AF$4),IF(ISBLANK(Tbl_ResidentData[[#This Row],[Discharge '[mmm-yyyy']]]),TRUE,(Tbl_ResidentData[[#This Row],[Discharge '[mmm-yyyy']]]&gt;=AF$4)))))</f>
        <v>-</v>
      </c>
      <c r="AG181" s="121" t="str">
        <f ca="1">IF(AG$4&gt;NOW(),"-",IF(ISBLANK(Tbl_ResidentData[[#This Row],[Enrollment '[mmm-yyyy']]]),"-",AND((Tbl_ResidentData[[#This Row],[Enrollment '[mmm-yyyy']]]&lt;=AG$4),IF(ISBLANK(Tbl_ResidentData[[#This Row],[Discharge '[mmm-yyyy']]]),TRUE,(Tbl_ResidentData[[#This Row],[Discharge '[mmm-yyyy']]]&gt;=AG$4)))))</f>
        <v>-</v>
      </c>
      <c r="AH181" s="121" t="str">
        <f ca="1">IF(AH$4&gt;NOW(),"-",IF(ISBLANK(Tbl_ResidentData[[#This Row],[Enrollment '[mmm-yyyy']]]),"-",AND((Tbl_ResidentData[[#This Row],[Enrollment '[mmm-yyyy']]]&lt;=AH$4),IF(ISBLANK(Tbl_ResidentData[[#This Row],[Discharge '[mmm-yyyy']]]),TRUE,(Tbl_ResidentData[[#This Row],[Discharge '[mmm-yyyy']]]&gt;=AH$4)))))</f>
        <v>-</v>
      </c>
      <c r="AI181" s="121" t="str">
        <f ca="1">IF(AI$4&gt;NOW(),"-",IF(ISBLANK(Tbl_ResidentData[[#This Row],[Enrollment '[mmm-yyyy']]]),"-",AND((Tbl_ResidentData[[#This Row],[Enrollment '[mmm-yyyy']]]&lt;=AI$4),IF(ISBLANK(Tbl_ResidentData[[#This Row],[Discharge '[mmm-yyyy']]]),TRUE,(Tbl_ResidentData[[#This Row],[Discharge '[mmm-yyyy']]]&gt;=AI$4)))))</f>
        <v>-</v>
      </c>
      <c r="AJ181" s="121" t="str">
        <f ca="1">IF(AJ$4&gt;NOW(),"-",IF(ISBLANK(Tbl_ResidentData[[#This Row],[Enrollment '[mmm-yyyy']]]),"-",AND((Tbl_ResidentData[[#This Row],[Enrollment '[mmm-yyyy']]]&lt;=AJ$4),IF(ISBLANK(Tbl_ResidentData[[#This Row],[Discharge '[mmm-yyyy']]]),TRUE,(Tbl_ResidentData[[#This Row],[Discharge '[mmm-yyyy']]]&gt;=AJ$4)))))</f>
        <v>-</v>
      </c>
      <c r="AK181" s="121" t="str">
        <f ca="1">IF(AK$4&gt;NOW(),"-",IF(ISBLANK(Tbl_ResidentData[[#This Row],[Enrollment '[mmm-yyyy']]]),"-",AND((Tbl_ResidentData[[#This Row],[Enrollment '[mmm-yyyy']]]&lt;=AK$4),IF(ISBLANK(Tbl_ResidentData[[#This Row],[Discharge '[mmm-yyyy']]]),TRUE,(Tbl_ResidentData[[#This Row],[Discharge '[mmm-yyyy']]]&gt;=AK$4)))))</f>
        <v>-</v>
      </c>
      <c r="AL181" s="121" t="str">
        <f ca="1">IF(AL$4&gt;NOW(),"-",IF(ISBLANK(Tbl_ResidentData[[#This Row],[Enrollment '[mmm-yyyy']]]),"-",AND((Tbl_ResidentData[[#This Row],[Enrollment '[mmm-yyyy']]]&lt;=AL$4),IF(ISBLANK(Tbl_ResidentData[[#This Row],[Discharge '[mmm-yyyy']]]),TRUE,(Tbl_ResidentData[[#This Row],[Discharge '[mmm-yyyy']]]&gt;=AL$4)))))</f>
        <v>-</v>
      </c>
      <c r="AM181" s="121" t="str">
        <f ca="1">IF(AM$4&gt;NOW(),"-",IF(ISBLANK(Tbl_ResidentData[[#This Row],[Enrollment '[mmm-yyyy']]]),"-",AND((Tbl_ResidentData[[#This Row],[Enrollment '[mmm-yyyy']]]&lt;=AM$4),IF(ISBLANK(Tbl_ResidentData[[#This Row],[Discharge '[mmm-yyyy']]]),TRUE,(Tbl_ResidentData[[#This Row],[Discharge '[mmm-yyyy']]]&gt;=AM$4)))))</f>
        <v>-</v>
      </c>
      <c r="AN181" s="121" t="str">
        <f ca="1">IF(AN$4&gt;NOW(),"-",IF(ISBLANK(Tbl_ResidentData[[#This Row],[Enrollment '[mmm-yyyy']]]),"-",AND((Tbl_ResidentData[[#This Row],[Enrollment '[mmm-yyyy']]]&lt;=AN$4),IF(ISBLANK(Tbl_ResidentData[[#This Row],[Discharge '[mmm-yyyy']]]),TRUE,(Tbl_ResidentData[[#This Row],[Discharge '[mmm-yyyy']]]&gt;=AN$4)))))</f>
        <v>-</v>
      </c>
      <c r="AO181" s="121" t="str">
        <f ca="1">IF(AO$4&gt;NOW(),"-",IF(ISBLANK(Tbl_ResidentData[[#This Row],[Enrollment '[mmm-yyyy']]]),"-",AND((Tbl_ResidentData[[#This Row],[Enrollment '[mmm-yyyy']]]&lt;=AO$4),IF(ISBLANK(Tbl_ResidentData[[#This Row],[Discharge '[mmm-yyyy']]]),TRUE,(Tbl_ResidentData[[#This Row],[Discharge '[mmm-yyyy']]]&gt;=AO$4)))))</f>
        <v>-</v>
      </c>
      <c r="AP181" s="121" t="str">
        <f ca="1">IF(AP$4&gt;NOW(),"-",IF(ISBLANK(Tbl_ResidentData[[#This Row],[Enrollment '[mmm-yyyy']]]),"-",AND((Tbl_ResidentData[[#This Row],[Enrollment '[mmm-yyyy']]]&lt;=AP$4),IF(ISBLANK(Tbl_ResidentData[[#This Row],[Discharge '[mmm-yyyy']]]),TRUE,(Tbl_ResidentData[[#This Row],[Discharge '[mmm-yyyy']]]&gt;=AP$4)))))</f>
        <v>-</v>
      </c>
      <c r="AQ181" s="121" t="str">
        <f ca="1">IF(AQ$4&gt;NOW(),"-",IF(ISBLANK(Tbl_ResidentData[[#This Row],[Enrollment '[mmm-yyyy']]]),"-",AND((Tbl_ResidentData[[#This Row],[Enrollment '[mmm-yyyy']]]&lt;=AQ$4),IF(ISBLANK(Tbl_ResidentData[[#This Row],[Discharge '[mmm-yyyy']]]),TRUE,(Tbl_ResidentData[[#This Row],[Discharge '[mmm-yyyy']]]&gt;=AQ$4)))))</f>
        <v>-</v>
      </c>
      <c r="AR181" s="122" t="str">
        <f ca="1">IF(AR$4&gt;NOW(),"-",IF(ISBLANK(Tbl_ResidentData[[#This Row],[Enrollment '[mmm-yyyy']]]),"-",AND((Tbl_ResidentData[[#This Row],[Enrollment '[mmm-yyyy']]]&lt;=AR$4),IF(ISBLANK(Tbl_ResidentData[[#This Row],[Discharge '[mmm-yyyy']]]),TRUE,(Tbl_ResidentData[[#This Row],[Discharge '[mmm-yyyy']]]&gt;=AR$4)))))</f>
        <v>-</v>
      </c>
      <c r="AS18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1" s="120" t="b">
        <f ca="1">AND(Tbl_ResidentData[[#This Row],[PRN Med Started]]&lt;&gt;"",Tbl_ResidentData[[#This Row],[PRN Med Started]]&lt;=NOW(),Tbl_ResidentData[[#This Row],[PRN Med Started]]&lt;=AS$4,OR(Tbl_ResidentData[[#This Row],[PRN Med Discontinued]]&gt;AS$4,ISBLANK(Tbl_ResidentData[[#This Row],[PRN Med Discontinued]])))</f>
        <v>0</v>
      </c>
      <c r="BR181" s="121" t="b">
        <f ca="1">AND(Tbl_ResidentData[[#This Row],[PRN Med Started]]&lt;&gt;"",Tbl_ResidentData[[#This Row],[PRN Med Started]]&lt;=NOW(),Tbl_ResidentData[[#This Row],[PRN Med Started]]&lt;=AT$4,OR(Tbl_ResidentData[[#This Row],[PRN Med Discontinued]]&gt;AT$4,ISBLANK(Tbl_ResidentData[[#This Row],[PRN Med Discontinued]])))</f>
        <v>0</v>
      </c>
      <c r="BS181" s="121" t="b">
        <f ca="1">AND(Tbl_ResidentData[[#This Row],[PRN Med Started]]&lt;&gt;"",Tbl_ResidentData[[#This Row],[PRN Med Started]]&lt;=NOW(),Tbl_ResidentData[[#This Row],[PRN Med Started]]&lt;=AU$4,OR(Tbl_ResidentData[[#This Row],[PRN Med Discontinued]]&gt;AU$4,ISBLANK(Tbl_ResidentData[[#This Row],[PRN Med Discontinued]])))</f>
        <v>0</v>
      </c>
      <c r="BT181" s="121" t="b">
        <f ca="1">AND(Tbl_ResidentData[[#This Row],[PRN Med Started]]&lt;&gt;"",Tbl_ResidentData[[#This Row],[PRN Med Started]]&lt;=NOW(),Tbl_ResidentData[[#This Row],[PRN Med Started]]&lt;=AV$4,OR(Tbl_ResidentData[[#This Row],[PRN Med Discontinued]]&gt;AV$4,ISBLANK(Tbl_ResidentData[[#This Row],[PRN Med Discontinued]])))</f>
        <v>0</v>
      </c>
      <c r="BU181" s="121" t="b">
        <f ca="1">AND(Tbl_ResidentData[[#This Row],[PRN Med Started]]&lt;&gt;"",Tbl_ResidentData[[#This Row],[PRN Med Started]]&lt;=NOW(),Tbl_ResidentData[[#This Row],[PRN Med Started]]&lt;=AW$4,OR(Tbl_ResidentData[[#This Row],[PRN Med Discontinued]]&gt;AW$4,ISBLANK(Tbl_ResidentData[[#This Row],[PRN Med Discontinued]])))</f>
        <v>0</v>
      </c>
      <c r="BV181" s="121" t="b">
        <f ca="1">AND(Tbl_ResidentData[[#This Row],[PRN Med Started]]&lt;&gt;"",Tbl_ResidentData[[#This Row],[PRN Med Started]]&lt;=NOW(),Tbl_ResidentData[[#This Row],[PRN Med Started]]&lt;=AX$4,OR(Tbl_ResidentData[[#This Row],[PRN Med Discontinued]]&gt;AX$4,ISBLANK(Tbl_ResidentData[[#This Row],[PRN Med Discontinued]])))</f>
        <v>0</v>
      </c>
      <c r="BW181" s="121" t="b">
        <f ca="1">AND(Tbl_ResidentData[[#This Row],[PRN Med Started]]&lt;&gt;"",Tbl_ResidentData[[#This Row],[PRN Med Started]]&lt;=NOW(),Tbl_ResidentData[[#This Row],[PRN Med Started]]&lt;=AY$4,OR(Tbl_ResidentData[[#This Row],[PRN Med Discontinued]]&gt;AY$4,ISBLANK(Tbl_ResidentData[[#This Row],[PRN Med Discontinued]])))</f>
        <v>0</v>
      </c>
      <c r="BX181" s="121" t="b">
        <f ca="1">AND(Tbl_ResidentData[[#This Row],[PRN Med Started]]&lt;&gt;"",Tbl_ResidentData[[#This Row],[PRN Med Started]]&lt;=NOW(),Tbl_ResidentData[[#This Row],[PRN Med Started]]&lt;=AZ$4,OR(Tbl_ResidentData[[#This Row],[PRN Med Discontinued]]&gt;AZ$4,ISBLANK(Tbl_ResidentData[[#This Row],[PRN Med Discontinued]])))</f>
        <v>0</v>
      </c>
      <c r="BY181" s="121" t="b">
        <f ca="1">AND(Tbl_ResidentData[[#This Row],[PRN Med Started]]&lt;&gt;"",Tbl_ResidentData[[#This Row],[PRN Med Started]]&lt;=NOW(),Tbl_ResidentData[[#This Row],[PRN Med Started]]&lt;=BA$4,OR(Tbl_ResidentData[[#This Row],[PRN Med Discontinued]]&gt;BA$4,ISBLANK(Tbl_ResidentData[[#This Row],[PRN Med Discontinued]])))</f>
        <v>0</v>
      </c>
      <c r="BZ181" s="121" t="b">
        <f ca="1">AND(Tbl_ResidentData[[#This Row],[PRN Med Started]]&lt;&gt;"",Tbl_ResidentData[[#This Row],[PRN Med Started]]&lt;=NOW(),Tbl_ResidentData[[#This Row],[PRN Med Started]]&lt;=BB$4,OR(Tbl_ResidentData[[#This Row],[PRN Med Discontinued]]&gt;BB$4,ISBLANK(Tbl_ResidentData[[#This Row],[PRN Med Discontinued]])))</f>
        <v>0</v>
      </c>
      <c r="CA181" s="121" t="b">
        <f ca="1">AND(Tbl_ResidentData[[#This Row],[PRN Med Started]]&lt;&gt;"",Tbl_ResidentData[[#This Row],[PRN Med Started]]&lt;=NOW(),Tbl_ResidentData[[#This Row],[PRN Med Started]]&lt;=BC$4,OR(Tbl_ResidentData[[#This Row],[PRN Med Discontinued]]&gt;BC$4,ISBLANK(Tbl_ResidentData[[#This Row],[PRN Med Discontinued]])))</f>
        <v>0</v>
      </c>
      <c r="CB181" s="121" t="b">
        <f ca="1">AND(Tbl_ResidentData[[#This Row],[PRN Med Started]]&lt;&gt;"",Tbl_ResidentData[[#This Row],[PRN Med Started]]&lt;=NOW(),Tbl_ResidentData[[#This Row],[PRN Med Started]]&lt;=BD$4,OR(Tbl_ResidentData[[#This Row],[PRN Med Discontinued]]&gt;BD$4,ISBLANK(Tbl_ResidentData[[#This Row],[PRN Med Discontinued]])))</f>
        <v>0</v>
      </c>
      <c r="CC181" s="121" t="b">
        <f ca="1">AND(Tbl_ResidentData[[#This Row],[PRN Med Started]]&lt;&gt;"",Tbl_ResidentData[[#This Row],[PRN Med Started]]&lt;=NOW(),Tbl_ResidentData[[#This Row],[PRN Med Started]]&lt;=BE$4,OR(Tbl_ResidentData[[#This Row],[PRN Med Discontinued]]&gt;BE$4,ISBLANK(Tbl_ResidentData[[#This Row],[PRN Med Discontinued]])))</f>
        <v>0</v>
      </c>
      <c r="CD181" s="121" t="b">
        <f ca="1">AND(Tbl_ResidentData[[#This Row],[PRN Med Started]]&lt;&gt;"",Tbl_ResidentData[[#This Row],[PRN Med Started]]&lt;=NOW(),Tbl_ResidentData[[#This Row],[PRN Med Started]]&lt;=BF$4,OR(Tbl_ResidentData[[#This Row],[PRN Med Discontinued]]&gt;BF$4,ISBLANK(Tbl_ResidentData[[#This Row],[PRN Med Discontinued]])))</f>
        <v>0</v>
      </c>
      <c r="CE181" s="121" t="b">
        <f ca="1">AND(Tbl_ResidentData[[#This Row],[PRN Med Started]]&lt;&gt;"",Tbl_ResidentData[[#This Row],[PRN Med Started]]&lt;=NOW(),Tbl_ResidentData[[#This Row],[PRN Med Started]]&lt;=BG$4,OR(Tbl_ResidentData[[#This Row],[PRN Med Discontinued]]&gt;BG$4,ISBLANK(Tbl_ResidentData[[#This Row],[PRN Med Discontinued]])))</f>
        <v>0</v>
      </c>
      <c r="CF181" s="121" t="b">
        <f ca="1">AND(Tbl_ResidentData[[#This Row],[PRN Med Started]]&lt;&gt;"",Tbl_ResidentData[[#This Row],[PRN Med Started]]&lt;=NOW(),Tbl_ResidentData[[#This Row],[PRN Med Started]]&lt;=BH$4,OR(Tbl_ResidentData[[#This Row],[PRN Med Discontinued]]&gt;BH$4,ISBLANK(Tbl_ResidentData[[#This Row],[PRN Med Discontinued]])))</f>
        <v>0</v>
      </c>
      <c r="CG181" s="121" t="b">
        <f ca="1">AND(Tbl_ResidentData[[#This Row],[PRN Med Started]]&lt;&gt;"",Tbl_ResidentData[[#This Row],[PRN Med Started]]&lt;=NOW(),Tbl_ResidentData[[#This Row],[PRN Med Started]]&lt;=BI$4,OR(Tbl_ResidentData[[#This Row],[PRN Med Discontinued]]&gt;BI$4,ISBLANK(Tbl_ResidentData[[#This Row],[PRN Med Discontinued]])))</f>
        <v>0</v>
      </c>
      <c r="CH181" s="121" t="b">
        <f ca="1">AND(Tbl_ResidentData[[#This Row],[PRN Med Started]]&lt;&gt;"",Tbl_ResidentData[[#This Row],[PRN Med Started]]&lt;=NOW(),Tbl_ResidentData[[#This Row],[PRN Med Started]]&lt;=BJ$4,OR(Tbl_ResidentData[[#This Row],[PRN Med Discontinued]]&gt;BJ$4,ISBLANK(Tbl_ResidentData[[#This Row],[PRN Med Discontinued]])))</f>
        <v>0</v>
      </c>
      <c r="CI181" s="121" t="b">
        <f ca="1">AND(Tbl_ResidentData[[#This Row],[PRN Med Started]]&lt;&gt;"",Tbl_ResidentData[[#This Row],[PRN Med Started]]&lt;=NOW(),Tbl_ResidentData[[#This Row],[PRN Med Started]]&lt;=BK$4,OR(Tbl_ResidentData[[#This Row],[PRN Med Discontinued]]&gt;BK$4,ISBLANK(Tbl_ResidentData[[#This Row],[PRN Med Discontinued]])))</f>
        <v>0</v>
      </c>
      <c r="CJ181" s="121" t="b">
        <f ca="1">AND(Tbl_ResidentData[[#This Row],[PRN Med Started]]&lt;&gt;"",Tbl_ResidentData[[#This Row],[PRN Med Started]]&lt;=NOW(),Tbl_ResidentData[[#This Row],[PRN Med Started]]&lt;=BL$4,OR(Tbl_ResidentData[[#This Row],[PRN Med Discontinued]]&gt;BL$4,ISBLANK(Tbl_ResidentData[[#This Row],[PRN Med Discontinued]])))</f>
        <v>0</v>
      </c>
      <c r="CK181" s="121" t="b">
        <f ca="1">AND(Tbl_ResidentData[[#This Row],[PRN Med Started]]&lt;&gt;"",Tbl_ResidentData[[#This Row],[PRN Med Started]]&lt;=NOW(),Tbl_ResidentData[[#This Row],[PRN Med Started]]&lt;=BM$4,OR(Tbl_ResidentData[[#This Row],[PRN Med Discontinued]]&gt;BM$4,ISBLANK(Tbl_ResidentData[[#This Row],[PRN Med Discontinued]])))</f>
        <v>0</v>
      </c>
      <c r="CL181" s="121" t="b">
        <f ca="1">AND(Tbl_ResidentData[[#This Row],[PRN Med Started]]&lt;&gt;"",Tbl_ResidentData[[#This Row],[PRN Med Started]]&lt;=NOW(),Tbl_ResidentData[[#This Row],[PRN Med Started]]&lt;=BN$4,OR(Tbl_ResidentData[[#This Row],[PRN Med Discontinued]]&gt;BN$4,ISBLANK(Tbl_ResidentData[[#This Row],[PRN Med Discontinued]])))</f>
        <v>0</v>
      </c>
      <c r="CM181" s="121" t="b">
        <f ca="1">AND(Tbl_ResidentData[[#This Row],[PRN Med Started]]&lt;&gt;"",Tbl_ResidentData[[#This Row],[PRN Med Started]]&lt;=NOW(),Tbl_ResidentData[[#This Row],[PRN Med Started]]&lt;=BO$4,OR(Tbl_ResidentData[[#This Row],[PRN Med Discontinued]]&gt;BO$4,ISBLANK(Tbl_ResidentData[[#This Row],[PRN Med Discontinued]])))</f>
        <v>0</v>
      </c>
      <c r="CN181" s="122" t="b">
        <f ca="1">AND(Tbl_ResidentData[[#This Row],[PRN Med Started]]&lt;&gt;"",Tbl_ResidentData[[#This Row],[PRN Med Started]]&lt;=NOW(),Tbl_ResidentData[[#This Row],[PRN Med Started]]&lt;=BP$4,OR(Tbl_ResidentData[[#This Row],[PRN Med Discontinued]]&gt;BP$4,ISBLANK(Tbl_ResidentData[[#This Row],[PRN Med Discontinued]])))</f>
        <v>0</v>
      </c>
      <c r="CO181" s="120">
        <f ca="1">IF(OR(Tbl_ResidentData[[#This Row],[S1]]=TRUE,Tbl_ResidentData[[#This Row],[P1]]=TRUE),1,0)</f>
        <v>0</v>
      </c>
      <c r="CP181" s="121">
        <f ca="1">IF(OR(Tbl_ResidentData[[#This Row],[S2]]=TRUE,Tbl_ResidentData[[#This Row],[P2]]=TRUE),1,0)</f>
        <v>0</v>
      </c>
      <c r="CQ181" s="121">
        <f ca="1">IF(OR(Tbl_ResidentData[[#This Row],[S3]]=TRUE,Tbl_ResidentData[[#This Row],[P3]]=TRUE),1,0)</f>
        <v>0</v>
      </c>
      <c r="CR181" s="120">
        <f ca="1">IF(OR(Tbl_ResidentData[[#This Row],[S4]]=TRUE,Tbl_ResidentData[[#This Row],[P4]]=TRUE),1,0)</f>
        <v>0</v>
      </c>
      <c r="CS181" s="120">
        <f ca="1">IF(OR(Tbl_ResidentData[[#This Row],[S5]]=TRUE,Tbl_ResidentData[[#This Row],[P5]]=TRUE),1,0)</f>
        <v>0</v>
      </c>
      <c r="CT181" s="120">
        <f ca="1">IF(OR(Tbl_ResidentData[[#This Row],[S6]]=TRUE,Tbl_ResidentData[[#This Row],[P6]]=TRUE),1,0)</f>
        <v>0</v>
      </c>
      <c r="CU181" s="120">
        <f ca="1">IF(OR(Tbl_ResidentData[[#This Row],[S7]]=TRUE,Tbl_ResidentData[[#This Row],[P7]]=TRUE),1,0)</f>
        <v>0</v>
      </c>
      <c r="CV181" s="120">
        <f ca="1">IF(OR(Tbl_ResidentData[[#This Row],[S8]]=TRUE,Tbl_ResidentData[[#This Row],[P8]]=TRUE),1,0)</f>
        <v>0</v>
      </c>
      <c r="CW181" s="120">
        <f ca="1">IF(OR(Tbl_ResidentData[[#This Row],[S9]]=TRUE,Tbl_ResidentData[[#This Row],[P9]]=TRUE),1,0)</f>
        <v>0</v>
      </c>
      <c r="CX181" s="120">
        <f ca="1">IF(OR(Tbl_ResidentData[[#This Row],[S10]]=TRUE,Tbl_ResidentData[[#This Row],[P10]]=TRUE),1,0)</f>
        <v>0</v>
      </c>
      <c r="CY181" s="120">
        <f ca="1">IF(OR(Tbl_ResidentData[[#This Row],[S11]]=TRUE,Tbl_ResidentData[[#This Row],[P11]]=TRUE),1,0)</f>
        <v>0</v>
      </c>
      <c r="CZ181" s="120">
        <f ca="1">IF(OR(Tbl_ResidentData[[#This Row],[S12]]=TRUE,Tbl_ResidentData[[#This Row],[P12]]=TRUE),1,0)</f>
        <v>0</v>
      </c>
      <c r="DA181" s="120">
        <f ca="1">IF(OR(Tbl_ResidentData[[#This Row],[S13]]=TRUE,Tbl_ResidentData[[#This Row],[P13]]=TRUE),1,0)</f>
        <v>0</v>
      </c>
      <c r="DB181" s="120">
        <f ca="1">IF(OR(Tbl_ResidentData[[#This Row],[S14]]=TRUE,Tbl_ResidentData[[#This Row],[P14]]=TRUE),1,0)</f>
        <v>0</v>
      </c>
      <c r="DC181" s="120">
        <f ca="1">IF(OR(Tbl_ResidentData[[#This Row],[S15]]=TRUE,Tbl_ResidentData[[#This Row],[P15]]=TRUE),1,0)</f>
        <v>0</v>
      </c>
      <c r="DD181" s="120">
        <f ca="1">IF(OR(Tbl_ResidentData[[#This Row],[S16]]=TRUE,Tbl_ResidentData[[#This Row],[P16]]=TRUE),1,0)</f>
        <v>0</v>
      </c>
      <c r="DE181" s="120">
        <f ca="1">IF(OR(Tbl_ResidentData[[#This Row],[S17]]=TRUE,Tbl_ResidentData[[#This Row],[P17]]=TRUE),1,0)</f>
        <v>0</v>
      </c>
      <c r="DF181" s="120">
        <f ca="1">IF(OR(Tbl_ResidentData[[#This Row],[S18]]=TRUE,Tbl_ResidentData[[#This Row],[P18]]=TRUE),1,0)</f>
        <v>0</v>
      </c>
      <c r="DG181" s="120">
        <f ca="1">IF(OR(Tbl_ResidentData[[#This Row],[S19]]=TRUE,Tbl_ResidentData[[#This Row],[P19]]=TRUE),1,0)</f>
        <v>0</v>
      </c>
      <c r="DH181" s="120">
        <f ca="1">IF(OR(Tbl_ResidentData[[#This Row],[S20]]=TRUE,Tbl_ResidentData[[#This Row],[P20]]=TRUE),1,0)</f>
        <v>0</v>
      </c>
      <c r="DI181" s="120">
        <f ca="1">IF(OR(Tbl_ResidentData[[#This Row],[S21]]=TRUE,Tbl_ResidentData[[#This Row],[P21]]=TRUE),1,0)</f>
        <v>0</v>
      </c>
      <c r="DJ181" s="120">
        <f ca="1">IF(OR(Tbl_ResidentData[[#This Row],[S22]]=TRUE,Tbl_ResidentData[[#This Row],[P22]]=TRUE),1,0)</f>
        <v>0</v>
      </c>
      <c r="DK181" s="120">
        <f ca="1">IF(OR(Tbl_ResidentData[[#This Row],[S23]]=TRUE,Tbl_ResidentData[[#This Row],[P23]]=TRUE),1,0)</f>
        <v>0</v>
      </c>
      <c r="DL181" s="120">
        <f ca="1">IF(OR(Tbl_ResidentData[[#This Row],[S24]]=TRUE,Tbl_ResidentData[[#This Row],[P24]]=TRUE),1,0)</f>
        <v>0</v>
      </c>
      <c r="DM181" s="123" t="str">
        <f ca="1">IFERROR(INDEX($CO$4:$DL$4,MATCH(TRUE,INDEX((Tbl_ResidentData[[#This Row],[Over1]:[Over24]]&lt;&gt;0),0),0)),"")</f>
        <v/>
      </c>
      <c r="DN181" s="133" t="str">
        <f>IFERROR(INDEX(Tbl_PDSAData[Last DRT],MATCH(Tbl_ResidentData[Resident Name '[last, first']],Tbl_PDSAData[Resident Name (last, first)],0)),"")</f>
        <v/>
      </c>
      <c r="DO181" s="222" t="str">
        <f>IFERROR(INDEX(Tbl_PDSAData[Last MR],MATCH(Tbl_ResidentData[Resident Name '[last, first']],Tbl_PDSAData[Resident Name (last, first)],0)),"")</f>
        <v/>
      </c>
    </row>
    <row r="182" spans="1:119" x14ac:dyDescent="0.25">
      <c r="A182" s="179"/>
      <c r="B182" s="180"/>
      <c r="C182" s="180"/>
      <c r="D182" s="217"/>
      <c r="E182" s="179"/>
      <c r="F182" s="179"/>
      <c r="G182" s="181"/>
      <c r="H182" s="375"/>
      <c r="I182" s="185"/>
      <c r="J182" s="387"/>
      <c r="K182" s="178"/>
      <c r="L182" s="388"/>
      <c r="M182" s="185"/>
      <c r="N182" s="386"/>
      <c r="O182" s="178"/>
      <c r="P182" s="388"/>
      <c r="Q182" s="394"/>
      <c r="R182" s="388"/>
      <c r="S182" s="131" t="str">
        <f>IF(ISBLANK(Tbl_ResidentData[[#This Row],[Discharge '[mmm-yyyy']]]),IF(ISBLANK(Tbl_ResidentData[[#This Row],[Enrollment '[mmm-yyyy']]]),"","In Care Home"),"Discharged")</f>
        <v/>
      </c>
      <c r="T182" s="119" t="str">
        <f>IF(ISBLANK(Tbl_ResidentData[[#This Row],[Diagnosis (RAI)]]),IF(ISBLANK(Tbl_ResidentData[[#This Row],[Resident Name '[last, first']]]),"",0),IF(Tbl_ResidentData[[#This Row],[Diagnosis (RAI)]]="Other (see clinical notes)",0,1))</f>
        <v/>
      </c>
      <c r="U182" s="120" t="str">
        <f ca="1">IF(U$4&gt;NOW(),"-",IF(ISBLANK(Tbl_ResidentData[[#This Row],[Enrollment '[mmm-yyyy']]]),"-",AND((Tbl_ResidentData[[#This Row],[Enrollment '[mmm-yyyy']]]&lt;=U$4),IF(ISBLANK(Tbl_ResidentData[[#This Row],[Discharge '[mmm-yyyy']]]),TRUE,(Tbl_ResidentData[[#This Row],[Discharge '[mmm-yyyy']]]&gt;=U$4)))))</f>
        <v>-</v>
      </c>
      <c r="V182" s="121" t="str">
        <f ca="1">IF(V$4&gt;NOW(),"-",IF(ISBLANK(Tbl_ResidentData[[#This Row],[Enrollment '[mmm-yyyy']]]),"-",AND((Tbl_ResidentData[[#This Row],[Enrollment '[mmm-yyyy']]]&lt;=V$4),IF(ISBLANK(Tbl_ResidentData[[#This Row],[Discharge '[mmm-yyyy']]]),TRUE,(Tbl_ResidentData[[#This Row],[Discharge '[mmm-yyyy']]]&gt;=V$4)))))</f>
        <v>-</v>
      </c>
      <c r="W182" s="121" t="str">
        <f ca="1">IF(W$4&gt;NOW(),"-",IF(ISBLANK(Tbl_ResidentData[[#This Row],[Enrollment '[mmm-yyyy']]]),"-",AND((Tbl_ResidentData[[#This Row],[Enrollment '[mmm-yyyy']]]&lt;=W$4),IF(ISBLANK(Tbl_ResidentData[[#This Row],[Discharge '[mmm-yyyy']]]),TRUE,(Tbl_ResidentData[[#This Row],[Discharge '[mmm-yyyy']]]&gt;=W$4)))))</f>
        <v>-</v>
      </c>
      <c r="X182" s="121" t="str">
        <f ca="1">IF(X$4&gt;NOW(),"-",IF(ISBLANK(Tbl_ResidentData[[#This Row],[Enrollment '[mmm-yyyy']]]),"-",AND((Tbl_ResidentData[[#This Row],[Enrollment '[mmm-yyyy']]]&lt;=X$4),IF(ISBLANK(Tbl_ResidentData[[#This Row],[Discharge '[mmm-yyyy']]]),TRUE,(Tbl_ResidentData[[#This Row],[Discharge '[mmm-yyyy']]]&gt;=X$4)))))</f>
        <v>-</v>
      </c>
      <c r="Y182" s="121" t="str">
        <f ca="1">IF(Y$4&gt;NOW(),"-",IF(ISBLANK(Tbl_ResidentData[[#This Row],[Enrollment '[mmm-yyyy']]]),"-",AND((Tbl_ResidentData[[#This Row],[Enrollment '[mmm-yyyy']]]&lt;=Y$4),IF(ISBLANK(Tbl_ResidentData[[#This Row],[Discharge '[mmm-yyyy']]]),TRUE,(Tbl_ResidentData[[#This Row],[Discharge '[mmm-yyyy']]]&gt;=Y$4)))))</f>
        <v>-</v>
      </c>
      <c r="Z182" s="121" t="str">
        <f ca="1">IF(Z$4&gt;NOW(),"-",IF(ISBLANK(Tbl_ResidentData[[#This Row],[Enrollment '[mmm-yyyy']]]),"-",AND((Tbl_ResidentData[[#This Row],[Enrollment '[mmm-yyyy']]]&lt;=Z$4),IF(ISBLANK(Tbl_ResidentData[[#This Row],[Discharge '[mmm-yyyy']]]),TRUE,(Tbl_ResidentData[[#This Row],[Discharge '[mmm-yyyy']]]&gt;=Z$4)))))</f>
        <v>-</v>
      </c>
      <c r="AA182" s="121" t="str">
        <f ca="1">IF(AA$4&gt;NOW(),"-",IF(ISBLANK(Tbl_ResidentData[[#This Row],[Enrollment '[mmm-yyyy']]]),"-",AND((Tbl_ResidentData[[#This Row],[Enrollment '[mmm-yyyy']]]&lt;=AA$4),IF(ISBLANK(Tbl_ResidentData[[#This Row],[Discharge '[mmm-yyyy']]]),TRUE,(Tbl_ResidentData[[#This Row],[Discharge '[mmm-yyyy']]]&gt;=AA$4)))))</f>
        <v>-</v>
      </c>
      <c r="AB182" s="121" t="str">
        <f ca="1">IF(AB$4&gt;NOW(),"-",IF(ISBLANK(Tbl_ResidentData[[#This Row],[Enrollment '[mmm-yyyy']]]),"-",AND((Tbl_ResidentData[[#This Row],[Enrollment '[mmm-yyyy']]]&lt;=AB$4),IF(ISBLANK(Tbl_ResidentData[[#This Row],[Discharge '[mmm-yyyy']]]),TRUE,(Tbl_ResidentData[[#This Row],[Discharge '[mmm-yyyy']]]&gt;=AB$4)))))</f>
        <v>-</v>
      </c>
      <c r="AC182" s="121" t="str">
        <f ca="1">IF(AC$4&gt;NOW(),"-",IF(ISBLANK(Tbl_ResidentData[[#This Row],[Enrollment '[mmm-yyyy']]]),"-",AND((Tbl_ResidentData[[#This Row],[Enrollment '[mmm-yyyy']]]&lt;=AC$4),IF(ISBLANK(Tbl_ResidentData[[#This Row],[Discharge '[mmm-yyyy']]]),TRUE,(Tbl_ResidentData[[#This Row],[Discharge '[mmm-yyyy']]]&gt;=AC$4)))))</f>
        <v>-</v>
      </c>
      <c r="AD182" s="121" t="str">
        <f ca="1">IF(AD$4&gt;NOW(),"-",IF(ISBLANK(Tbl_ResidentData[[#This Row],[Enrollment '[mmm-yyyy']]]),"-",AND((Tbl_ResidentData[[#This Row],[Enrollment '[mmm-yyyy']]]&lt;=AD$4),IF(ISBLANK(Tbl_ResidentData[[#This Row],[Discharge '[mmm-yyyy']]]),TRUE,(Tbl_ResidentData[[#This Row],[Discharge '[mmm-yyyy']]]&gt;=AD$4)))))</f>
        <v>-</v>
      </c>
      <c r="AE182" s="121" t="str">
        <f ca="1">IF(AE$4&gt;NOW(),"-",IF(ISBLANK(Tbl_ResidentData[[#This Row],[Enrollment '[mmm-yyyy']]]),"-",AND((Tbl_ResidentData[[#This Row],[Enrollment '[mmm-yyyy']]]&lt;=AE$4),IF(ISBLANK(Tbl_ResidentData[[#This Row],[Discharge '[mmm-yyyy']]]),TRUE,(Tbl_ResidentData[[#This Row],[Discharge '[mmm-yyyy']]]&gt;=AE$4)))))</f>
        <v>-</v>
      </c>
      <c r="AF182" s="121" t="str">
        <f ca="1">IF(AF$4&gt;NOW(),"-",IF(ISBLANK(Tbl_ResidentData[[#This Row],[Enrollment '[mmm-yyyy']]]),"-",AND((Tbl_ResidentData[[#This Row],[Enrollment '[mmm-yyyy']]]&lt;=AF$4),IF(ISBLANK(Tbl_ResidentData[[#This Row],[Discharge '[mmm-yyyy']]]),TRUE,(Tbl_ResidentData[[#This Row],[Discharge '[mmm-yyyy']]]&gt;=AF$4)))))</f>
        <v>-</v>
      </c>
      <c r="AG182" s="121" t="str">
        <f ca="1">IF(AG$4&gt;NOW(),"-",IF(ISBLANK(Tbl_ResidentData[[#This Row],[Enrollment '[mmm-yyyy']]]),"-",AND((Tbl_ResidentData[[#This Row],[Enrollment '[mmm-yyyy']]]&lt;=AG$4),IF(ISBLANK(Tbl_ResidentData[[#This Row],[Discharge '[mmm-yyyy']]]),TRUE,(Tbl_ResidentData[[#This Row],[Discharge '[mmm-yyyy']]]&gt;=AG$4)))))</f>
        <v>-</v>
      </c>
      <c r="AH182" s="121" t="str">
        <f ca="1">IF(AH$4&gt;NOW(),"-",IF(ISBLANK(Tbl_ResidentData[[#This Row],[Enrollment '[mmm-yyyy']]]),"-",AND((Tbl_ResidentData[[#This Row],[Enrollment '[mmm-yyyy']]]&lt;=AH$4),IF(ISBLANK(Tbl_ResidentData[[#This Row],[Discharge '[mmm-yyyy']]]),TRUE,(Tbl_ResidentData[[#This Row],[Discharge '[mmm-yyyy']]]&gt;=AH$4)))))</f>
        <v>-</v>
      </c>
      <c r="AI182" s="121" t="str">
        <f ca="1">IF(AI$4&gt;NOW(),"-",IF(ISBLANK(Tbl_ResidentData[[#This Row],[Enrollment '[mmm-yyyy']]]),"-",AND((Tbl_ResidentData[[#This Row],[Enrollment '[mmm-yyyy']]]&lt;=AI$4),IF(ISBLANK(Tbl_ResidentData[[#This Row],[Discharge '[mmm-yyyy']]]),TRUE,(Tbl_ResidentData[[#This Row],[Discharge '[mmm-yyyy']]]&gt;=AI$4)))))</f>
        <v>-</v>
      </c>
      <c r="AJ182" s="121" t="str">
        <f ca="1">IF(AJ$4&gt;NOW(),"-",IF(ISBLANK(Tbl_ResidentData[[#This Row],[Enrollment '[mmm-yyyy']]]),"-",AND((Tbl_ResidentData[[#This Row],[Enrollment '[mmm-yyyy']]]&lt;=AJ$4),IF(ISBLANK(Tbl_ResidentData[[#This Row],[Discharge '[mmm-yyyy']]]),TRUE,(Tbl_ResidentData[[#This Row],[Discharge '[mmm-yyyy']]]&gt;=AJ$4)))))</f>
        <v>-</v>
      </c>
      <c r="AK182" s="121" t="str">
        <f ca="1">IF(AK$4&gt;NOW(),"-",IF(ISBLANK(Tbl_ResidentData[[#This Row],[Enrollment '[mmm-yyyy']]]),"-",AND((Tbl_ResidentData[[#This Row],[Enrollment '[mmm-yyyy']]]&lt;=AK$4),IF(ISBLANK(Tbl_ResidentData[[#This Row],[Discharge '[mmm-yyyy']]]),TRUE,(Tbl_ResidentData[[#This Row],[Discharge '[mmm-yyyy']]]&gt;=AK$4)))))</f>
        <v>-</v>
      </c>
      <c r="AL182" s="121" t="str">
        <f ca="1">IF(AL$4&gt;NOW(),"-",IF(ISBLANK(Tbl_ResidentData[[#This Row],[Enrollment '[mmm-yyyy']]]),"-",AND((Tbl_ResidentData[[#This Row],[Enrollment '[mmm-yyyy']]]&lt;=AL$4),IF(ISBLANK(Tbl_ResidentData[[#This Row],[Discharge '[mmm-yyyy']]]),TRUE,(Tbl_ResidentData[[#This Row],[Discharge '[mmm-yyyy']]]&gt;=AL$4)))))</f>
        <v>-</v>
      </c>
      <c r="AM182" s="121" t="str">
        <f ca="1">IF(AM$4&gt;NOW(),"-",IF(ISBLANK(Tbl_ResidentData[[#This Row],[Enrollment '[mmm-yyyy']]]),"-",AND((Tbl_ResidentData[[#This Row],[Enrollment '[mmm-yyyy']]]&lt;=AM$4),IF(ISBLANK(Tbl_ResidentData[[#This Row],[Discharge '[mmm-yyyy']]]),TRUE,(Tbl_ResidentData[[#This Row],[Discharge '[mmm-yyyy']]]&gt;=AM$4)))))</f>
        <v>-</v>
      </c>
      <c r="AN182" s="121" t="str">
        <f ca="1">IF(AN$4&gt;NOW(),"-",IF(ISBLANK(Tbl_ResidentData[[#This Row],[Enrollment '[mmm-yyyy']]]),"-",AND((Tbl_ResidentData[[#This Row],[Enrollment '[mmm-yyyy']]]&lt;=AN$4),IF(ISBLANK(Tbl_ResidentData[[#This Row],[Discharge '[mmm-yyyy']]]),TRUE,(Tbl_ResidentData[[#This Row],[Discharge '[mmm-yyyy']]]&gt;=AN$4)))))</f>
        <v>-</v>
      </c>
      <c r="AO182" s="121" t="str">
        <f ca="1">IF(AO$4&gt;NOW(),"-",IF(ISBLANK(Tbl_ResidentData[[#This Row],[Enrollment '[mmm-yyyy']]]),"-",AND((Tbl_ResidentData[[#This Row],[Enrollment '[mmm-yyyy']]]&lt;=AO$4),IF(ISBLANK(Tbl_ResidentData[[#This Row],[Discharge '[mmm-yyyy']]]),TRUE,(Tbl_ResidentData[[#This Row],[Discharge '[mmm-yyyy']]]&gt;=AO$4)))))</f>
        <v>-</v>
      </c>
      <c r="AP182" s="121" t="str">
        <f ca="1">IF(AP$4&gt;NOW(),"-",IF(ISBLANK(Tbl_ResidentData[[#This Row],[Enrollment '[mmm-yyyy']]]),"-",AND((Tbl_ResidentData[[#This Row],[Enrollment '[mmm-yyyy']]]&lt;=AP$4),IF(ISBLANK(Tbl_ResidentData[[#This Row],[Discharge '[mmm-yyyy']]]),TRUE,(Tbl_ResidentData[[#This Row],[Discharge '[mmm-yyyy']]]&gt;=AP$4)))))</f>
        <v>-</v>
      </c>
      <c r="AQ182" s="121" t="str">
        <f ca="1">IF(AQ$4&gt;NOW(),"-",IF(ISBLANK(Tbl_ResidentData[[#This Row],[Enrollment '[mmm-yyyy']]]),"-",AND((Tbl_ResidentData[[#This Row],[Enrollment '[mmm-yyyy']]]&lt;=AQ$4),IF(ISBLANK(Tbl_ResidentData[[#This Row],[Discharge '[mmm-yyyy']]]),TRUE,(Tbl_ResidentData[[#This Row],[Discharge '[mmm-yyyy']]]&gt;=AQ$4)))))</f>
        <v>-</v>
      </c>
      <c r="AR182" s="122" t="str">
        <f ca="1">IF(AR$4&gt;NOW(),"-",IF(ISBLANK(Tbl_ResidentData[[#This Row],[Enrollment '[mmm-yyyy']]]),"-",AND((Tbl_ResidentData[[#This Row],[Enrollment '[mmm-yyyy']]]&lt;=AR$4),IF(ISBLANK(Tbl_ResidentData[[#This Row],[Discharge '[mmm-yyyy']]]),TRUE,(Tbl_ResidentData[[#This Row],[Discharge '[mmm-yyyy']]]&gt;=AR$4)))))</f>
        <v>-</v>
      </c>
      <c r="AS18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2" s="120" t="b">
        <f ca="1">AND(Tbl_ResidentData[[#This Row],[PRN Med Started]]&lt;&gt;"",Tbl_ResidentData[[#This Row],[PRN Med Started]]&lt;=NOW(),Tbl_ResidentData[[#This Row],[PRN Med Started]]&lt;=AS$4,OR(Tbl_ResidentData[[#This Row],[PRN Med Discontinued]]&gt;AS$4,ISBLANK(Tbl_ResidentData[[#This Row],[PRN Med Discontinued]])))</f>
        <v>0</v>
      </c>
      <c r="BR182" s="121" t="b">
        <f ca="1">AND(Tbl_ResidentData[[#This Row],[PRN Med Started]]&lt;&gt;"",Tbl_ResidentData[[#This Row],[PRN Med Started]]&lt;=NOW(),Tbl_ResidentData[[#This Row],[PRN Med Started]]&lt;=AT$4,OR(Tbl_ResidentData[[#This Row],[PRN Med Discontinued]]&gt;AT$4,ISBLANK(Tbl_ResidentData[[#This Row],[PRN Med Discontinued]])))</f>
        <v>0</v>
      </c>
      <c r="BS182" s="121" t="b">
        <f ca="1">AND(Tbl_ResidentData[[#This Row],[PRN Med Started]]&lt;&gt;"",Tbl_ResidentData[[#This Row],[PRN Med Started]]&lt;=NOW(),Tbl_ResidentData[[#This Row],[PRN Med Started]]&lt;=AU$4,OR(Tbl_ResidentData[[#This Row],[PRN Med Discontinued]]&gt;AU$4,ISBLANK(Tbl_ResidentData[[#This Row],[PRN Med Discontinued]])))</f>
        <v>0</v>
      </c>
      <c r="BT182" s="121" t="b">
        <f ca="1">AND(Tbl_ResidentData[[#This Row],[PRN Med Started]]&lt;&gt;"",Tbl_ResidentData[[#This Row],[PRN Med Started]]&lt;=NOW(),Tbl_ResidentData[[#This Row],[PRN Med Started]]&lt;=AV$4,OR(Tbl_ResidentData[[#This Row],[PRN Med Discontinued]]&gt;AV$4,ISBLANK(Tbl_ResidentData[[#This Row],[PRN Med Discontinued]])))</f>
        <v>0</v>
      </c>
      <c r="BU182" s="121" t="b">
        <f ca="1">AND(Tbl_ResidentData[[#This Row],[PRN Med Started]]&lt;&gt;"",Tbl_ResidentData[[#This Row],[PRN Med Started]]&lt;=NOW(),Tbl_ResidentData[[#This Row],[PRN Med Started]]&lt;=AW$4,OR(Tbl_ResidentData[[#This Row],[PRN Med Discontinued]]&gt;AW$4,ISBLANK(Tbl_ResidentData[[#This Row],[PRN Med Discontinued]])))</f>
        <v>0</v>
      </c>
      <c r="BV182" s="121" t="b">
        <f ca="1">AND(Tbl_ResidentData[[#This Row],[PRN Med Started]]&lt;&gt;"",Tbl_ResidentData[[#This Row],[PRN Med Started]]&lt;=NOW(),Tbl_ResidentData[[#This Row],[PRN Med Started]]&lt;=AX$4,OR(Tbl_ResidentData[[#This Row],[PRN Med Discontinued]]&gt;AX$4,ISBLANK(Tbl_ResidentData[[#This Row],[PRN Med Discontinued]])))</f>
        <v>0</v>
      </c>
      <c r="BW182" s="121" t="b">
        <f ca="1">AND(Tbl_ResidentData[[#This Row],[PRN Med Started]]&lt;&gt;"",Tbl_ResidentData[[#This Row],[PRN Med Started]]&lt;=NOW(),Tbl_ResidentData[[#This Row],[PRN Med Started]]&lt;=AY$4,OR(Tbl_ResidentData[[#This Row],[PRN Med Discontinued]]&gt;AY$4,ISBLANK(Tbl_ResidentData[[#This Row],[PRN Med Discontinued]])))</f>
        <v>0</v>
      </c>
      <c r="BX182" s="121" t="b">
        <f ca="1">AND(Tbl_ResidentData[[#This Row],[PRN Med Started]]&lt;&gt;"",Tbl_ResidentData[[#This Row],[PRN Med Started]]&lt;=NOW(),Tbl_ResidentData[[#This Row],[PRN Med Started]]&lt;=AZ$4,OR(Tbl_ResidentData[[#This Row],[PRN Med Discontinued]]&gt;AZ$4,ISBLANK(Tbl_ResidentData[[#This Row],[PRN Med Discontinued]])))</f>
        <v>0</v>
      </c>
      <c r="BY182" s="121" t="b">
        <f ca="1">AND(Tbl_ResidentData[[#This Row],[PRN Med Started]]&lt;&gt;"",Tbl_ResidentData[[#This Row],[PRN Med Started]]&lt;=NOW(),Tbl_ResidentData[[#This Row],[PRN Med Started]]&lt;=BA$4,OR(Tbl_ResidentData[[#This Row],[PRN Med Discontinued]]&gt;BA$4,ISBLANK(Tbl_ResidentData[[#This Row],[PRN Med Discontinued]])))</f>
        <v>0</v>
      </c>
      <c r="BZ182" s="121" t="b">
        <f ca="1">AND(Tbl_ResidentData[[#This Row],[PRN Med Started]]&lt;&gt;"",Tbl_ResidentData[[#This Row],[PRN Med Started]]&lt;=NOW(),Tbl_ResidentData[[#This Row],[PRN Med Started]]&lt;=BB$4,OR(Tbl_ResidentData[[#This Row],[PRN Med Discontinued]]&gt;BB$4,ISBLANK(Tbl_ResidentData[[#This Row],[PRN Med Discontinued]])))</f>
        <v>0</v>
      </c>
      <c r="CA182" s="121" t="b">
        <f ca="1">AND(Tbl_ResidentData[[#This Row],[PRN Med Started]]&lt;&gt;"",Tbl_ResidentData[[#This Row],[PRN Med Started]]&lt;=NOW(),Tbl_ResidentData[[#This Row],[PRN Med Started]]&lt;=BC$4,OR(Tbl_ResidentData[[#This Row],[PRN Med Discontinued]]&gt;BC$4,ISBLANK(Tbl_ResidentData[[#This Row],[PRN Med Discontinued]])))</f>
        <v>0</v>
      </c>
      <c r="CB182" s="121" t="b">
        <f ca="1">AND(Tbl_ResidentData[[#This Row],[PRN Med Started]]&lt;&gt;"",Tbl_ResidentData[[#This Row],[PRN Med Started]]&lt;=NOW(),Tbl_ResidentData[[#This Row],[PRN Med Started]]&lt;=BD$4,OR(Tbl_ResidentData[[#This Row],[PRN Med Discontinued]]&gt;BD$4,ISBLANK(Tbl_ResidentData[[#This Row],[PRN Med Discontinued]])))</f>
        <v>0</v>
      </c>
      <c r="CC182" s="121" t="b">
        <f ca="1">AND(Tbl_ResidentData[[#This Row],[PRN Med Started]]&lt;&gt;"",Tbl_ResidentData[[#This Row],[PRN Med Started]]&lt;=NOW(),Tbl_ResidentData[[#This Row],[PRN Med Started]]&lt;=BE$4,OR(Tbl_ResidentData[[#This Row],[PRN Med Discontinued]]&gt;BE$4,ISBLANK(Tbl_ResidentData[[#This Row],[PRN Med Discontinued]])))</f>
        <v>0</v>
      </c>
      <c r="CD182" s="121" t="b">
        <f ca="1">AND(Tbl_ResidentData[[#This Row],[PRN Med Started]]&lt;&gt;"",Tbl_ResidentData[[#This Row],[PRN Med Started]]&lt;=NOW(),Tbl_ResidentData[[#This Row],[PRN Med Started]]&lt;=BF$4,OR(Tbl_ResidentData[[#This Row],[PRN Med Discontinued]]&gt;BF$4,ISBLANK(Tbl_ResidentData[[#This Row],[PRN Med Discontinued]])))</f>
        <v>0</v>
      </c>
      <c r="CE182" s="121" t="b">
        <f ca="1">AND(Tbl_ResidentData[[#This Row],[PRN Med Started]]&lt;&gt;"",Tbl_ResidentData[[#This Row],[PRN Med Started]]&lt;=NOW(),Tbl_ResidentData[[#This Row],[PRN Med Started]]&lt;=BG$4,OR(Tbl_ResidentData[[#This Row],[PRN Med Discontinued]]&gt;BG$4,ISBLANK(Tbl_ResidentData[[#This Row],[PRN Med Discontinued]])))</f>
        <v>0</v>
      </c>
      <c r="CF182" s="121" t="b">
        <f ca="1">AND(Tbl_ResidentData[[#This Row],[PRN Med Started]]&lt;&gt;"",Tbl_ResidentData[[#This Row],[PRN Med Started]]&lt;=NOW(),Tbl_ResidentData[[#This Row],[PRN Med Started]]&lt;=BH$4,OR(Tbl_ResidentData[[#This Row],[PRN Med Discontinued]]&gt;BH$4,ISBLANK(Tbl_ResidentData[[#This Row],[PRN Med Discontinued]])))</f>
        <v>0</v>
      </c>
      <c r="CG182" s="121" t="b">
        <f ca="1">AND(Tbl_ResidentData[[#This Row],[PRN Med Started]]&lt;&gt;"",Tbl_ResidentData[[#This Row],[PRN Med Started]]&lt;=NOW(),Tbl_ResidentData[[#This Row],[PRN Med Started]]&lt;=BI$4,OR(Tbl_ResidentData[[#This Row],[PRN Med Discontinued]]&gt;BI$4,ISBLANK(Tbl_ResidentData[[#This Row],[PRN Med Discontinued]])))</f>
        <v>0</v>
      </c>
      <c r="CH182" s="121" t="b">
        <f ca="1">AND(Tbl_ResidentData[[#This Row],[PRN Med Started]]&lt;&gt;"",Tbl_ResidentData[[#This Row],[PRN Med Started]]&lt;=NOW(),Tbl_ResidentData[[#This Row],[PRN Med Started]]&lt;=BJ$4,OR(Tbl_ResidentData[[#This Row],[PRN Med Discontinued]]&gt;BJ$4,ISBLANK(Tbl_ResidentData[[#This Row],[PRN Med Discontinued]])))</f>
        <v>0</v>
      </c>
      <c r="CI182" s="121" t="b">
        <f ca="1">AND(Tbl_ResidentData[[#This Row],[PRN Med Started]]&lt;&gt;"",Tbl_ResidentData[[#This Row],[PRN Med Started]]&lt;=NOW(),Tbl_ResidentData[[#This Row],[PRN Med Started]]&lt;=BK$4,OR(Tbl_ResidentData[[#This Row],[PRN Med Discontinued]]&gt;BK$4,ISBLANK(Tbl_ResidentData[[#This Row],[PRN Med Discontinued]])))</f>
        <v>0</v>
      </c>
      <c r="CJ182" s="121" t="b">
        <f ca="1">AND(Tbl_ResidentData[[#This Row],[PRN Med Started]]&lt;&gt;"",Tbl_ResidentData[[#This Row],[PRN Med Started]]&lt;=NOW(),Tbl_ResidentData[[#This Row],[PRN Med Started]]&lt;=BL$4,OR(Tbl_ResidentData[[#This Row],[PRN Med Discontinued]]&gt;BL$4,ISBLANK(Tbl_ResidentData[[#This Row],[PRN Med Discontinued]])))</f>
        <v>0</v>
      </c>
      <c r="CK182" s="121" t="b">
        <f ca="1">AND(Tbl_ResidentData[[#This Row],[PRN Med Started]]&lt;&gt;"",Tbl_ResidentData[[#This Row],[PRN Med Started]]&lt;=NOW(),Tbl_ResidentData[[#This Row],[PRN Med Started]]&lt;=BM$4,OR(Tbl_ResidentData[[#This Row],[PRN Med Discontinued]]&gt;BM$4,ISBLANK(Tbl_ResidentData[[#This Row],[PRN Med Discontinued]])))</f>
        <v>0</v>
      </c>
      <c r="CL182" s="121" t="b">
        <f ca="1">AND(Tbl_ResidentData[[#This Row],[PRN Med Started]]&lt;&gt;"",Tbl_ResidentData[[#This Row],[PRN Med Started]]&lt;=NOW(),Tbl_ResidentData[[#This Row],[PRN Med Started]]&lt;=BN$4,OR(Tbl_ResidentData[[#This Row],[PRN Med Discontinued]]&gt;BN$4,ISBLANK(Tbl_ResidentData[[#This Row],[PRN Med Discontinued]])))</f>
        <v>0</v>
      </c>
      <c r="CM182" s="121" t="b">
        <f ca="1">AND(Tbl_ResidentData[[#This Row],[PRN Med Started]]&lt;&gt;"",Tbl_ResidentData[[#This Row],[PRN Med Started]]&lt;=NOW(),Tbl_ResidentData[[#This Row],[PRN Med Started]]&lt;=BO$4,OR(Tbl_ResidentData[[#This Row],[PRN Med Discontinued]]&gt;BO$4,ISBLANK(Tbl_ResidentData[[#This Row],[PRN Med Discontinued]])))</f>
        <v>0</v>
      </c>
      <c r="CN182" s="122" t="b">
        <f ca="1">AND(Tbl_ResidentData[[#This Row],[PRN Med Started]]&lt;&gt;"",Tbl_ResidentData[[#This Row],[PRN Med Started]]&lt;=NOW(),Tbl_ResidentData[[#This Row],[PRN Med Started]]&lt;=BP$4,OR(Tbl_ResidentData[[#This Row],[PRN Med Discontinued]]&gt;BP$4,ISBLANK(Tbl_ResidentData[[#This Row],[PRN Med Discontinued]])))</f>
        <v>0</v>
      </c>
      <c r="CO182" s="120">
        <f ca="1">IF(OR(Tbl_ResidentData[[#This Row],[S1]]=TRUE,Tbl_ResidentData[[#This Row],[P1]]=TRUE),1,0)</f>
        <v>0</v>
      </c>
      <c r="CP182" s="121">
        <f ca="1">IF(OR(Tbl_ResidentData[[#This Row],[S2]]=TRUE,Tbl_ResidentData[[#This Row],[P2]]=TRUE),1,0)</f>
        <v>0</v>
      </c>
      <c r="CQ182" s="121">
        <f ca="1">IF(OR(Tbl_ResidentData[[#This Row],[S3]]=TRUE,Tbl_ResidentData[[#This Row],[P3]]=TRUE),1,0)</f>
        <v>0</v>
      </c>
      <c r="CR182" s="120">
        <f ca="1">IF(OR(Tbl_ResidentData[[#This Row],[S4]]=TRUE,Tbl_ResidentData[[#This Row],[P4]]=TRUE),1,0)</f>
        <v>0</v>
      </c>
      <c r="CS182" s="120">
        <f ca="1">IF(OR(Tbl_ResidentData[[#This Row],[S5]]=TRUE,Tbl_ResidentData[[#This Row],[P5]]=TRUE),1,0)</f>
        <v>0</v>
      </c>
      <c r="CT182" s="120">
        <f ca="1">IF(OR(Tbl_ResidentData[[#This Row],[S6]]=TRUE,Tbl_ResidentData[[#This Row],[P6]]=TRUE),1,0)</f>
        <v>0</v>
      </c>
      <c r="CU182" s="120">
        <f ca="1">IF(OR(Tbl_ResidentData[[#This Row],[S7]]=TRUE,Tbl_ResidentData[[#This Row],[P7]]=TRUE),1,0)</f>
        <v>0</v>
      </c>
      <c r="CV182" s="120">
        <f ca="1">IF(OR(Tbl_ResidentData[[#This Row],[S8]]=TRUE,Tbl_ResidentData[[#This Row],[P8]]=TRUE),1,0)</f>
        <v>0</v>
      </c>
      <c r="CW182" s="120">
        <f ca="1">IF(OR(Tbl_ResidentData[[#This Row],[S9]]=TRUE,Tbl_ResidentData[[#This Row],[P9]]=TRUE),1,0)</f>
        <v>0</v>
      </c>
      <c r="CX182" s="120">
        <f ca="1">IF(OR(Tbl_ResidentData[[#This Row],[S10]]=TRUE,Tbl_ResidentData[[#This Row],[P10]]=TRUE),1,0)</f>
        <v>0</v>
      </c>
      <c r="CY182" s="120">
        <f ca="1">IF(OR(Tbl_ResidentData[[#This Row],[S11]]=TRUE,Tbl_ResidentData[[#This Row],[P11]]=TRUE),1,0)</f>
        <v>0</v>
      </c>
      <c r="CZ182" s="120">
        <f ca="1">IF(OR(Tbl_ResidentData[[#This Row],[S12]]=TRUE,Tbl_ResidentData[[#This Row],[P12]]=TRUE),1,0)</f>
        <v>0</v>
      </c>
      <c r="DA182" s="120">
        <f ca="1">IF(OR(Tbl_ResidentData[[#This Row],[S13]]=TRUE,Tbl_ResidentData[[#This Row],[P13]]=TRUE),1,0)</f>
        <v>0</v>
      </c>
      <c r="DB182" s="120">
        <f ca="1">IF(OR(Tbl_ResidentData[[#This Row],[S14]]=TRUE,Tbl_ResidentData[[#This Row],[P14]]=TRUE),1,0)</f>
        <v>0</v>
      </c>
      <c r="DC182" s="120">
        <f ca="1">IF(OR(Tbl_ResidentData[[#This Row],[S15]]=TRUE,Tbl_ResidentData[[#This Row],[P15]]=TRUE),1,0)</f>
        <v>0</v>
      </c>
      <c r="DD182" s="120">
        <f ca="1">IF(OR(Tbl_ResidentData[[#This Row],[S16]]=TRUE,Tbl_ResidentData[[#This Row],[P16]]=TRUE),1,0)</f>
        <v>0</v>
      </c>
      <c r="DE182" s="120">
        <f ca="1">IF(OR(Tbl_ResidentData[[#This Row],[S17]]=TRUE,Tbl_ResidentData[[#This Row],[P17]]=TRUE),1,0)</f>
        <v>0</v>
      </c>
      <c r="DF182" s="120">
        <f ca="1">IF(OR(Tbl_ResidentData[[#This Row],[S18]]=TRUE,Tbl_ResidentData[[#This Row],[P18]]=TRUE),1,0)</f>
        <v>0</v>
      </c>
      <c r="DG182" s="120">
        <f ca="1">IF(OR(Tbl_ResidentData[[#This Row],[S19]]=TRUE,Tbl_ResidentData[[#This Row],[P19]]=TRUE),1,0)</f>
        <v>0</v>
      </c>
      <c r="DH182" s="120">
        <f ca="1">IF(OR(Tbl_ResidentData[[#This Row],[S20]]=TRUE,Tbl_ResidentData[[#This Row],[P20]]=TRUE),1,0)</f>
        <v>0</v>
      </c>
      <c r="DI182" s="120">
        <f ca="1">IF(OR(Tbl_ResidentData[[#This Row],[S21]]=TRUE,Tbl_ResidentData[[#This Row],[P21]]=TRUE),1,0)</f>
        <v>0</v>
      </c>
      <c r="DJ182" s="120">
        <f ca="1">IF(OR(Tbl_ResidentData[[#This Row],[S22]]=TRUE,Tbl_ResidentData[[#This Row],[P22]]=TRUE),1,0)</f>
        <v>0</v>
      </c>
      <c r="DK182" s="120">
        <f ca="1">IF(OR(Tbl_ResidentData[[#This Row],[S23]]=TRUE,Tbl_ResidentData[[#This Row],[P23]]=TRUE),1,0)</f>
        <v>0</v>
      </c>
      <c r="DL182" s="120">
        <f ca="1">IF(OR(Tbl_ResidentData[[#This Row],[S24]]=TRUE,Tbl_ResidentData[[#This Row],[P24]]=TRUE),1,0)</f>
        <v>0</v>
      </c>
      <c r="DM182" s="123" t="str">
        <f ca="1">IFERROR(INDEX($CO$4:$DL$4,MATCH(TRUE,INDEX((Tbl_ResidentData[[#This Row],[Over1]:[Over24]]&lt;&gt;0),0),0)),"")</f>
        <v/>
      </c>
      <c r="DN182" s="133" t="str">
        <f>IFERROR(INDEX(Tbl_PDSAData[Last DRT],MATCH(Tbl_ResidentData[Resident Name '[last, first']],Tbl_PDSAData[Resident Name (last, first)],0)),"")</f>
        <v/>
      </c>
      <c r="DO182" s="222" t="str">
        <f>IFERROR(INDEX(Tbl_PDSAData[Last MR],MATCH(Tbl_ResidentData[Resident Name '[last, first']],Tbl_PDSAData[Resident Name (last, first)],0)),"")</f>
        <v/>
      </c>
    </row>
    <row r="183" spans="1:119" x14ac:dyDescent="0.25">
      <c r="A183" s="179"/>
      <c r="B183" s="180"/>
      <c r="C183" s="180"/>
      <c r="D183" s="218"/>
      <c r="E183" s="179"/>
      <c r="F183" s="179"/>
      <c r="G183" s="181"/>
      <c r="H183" s="182"/>
      <c r="I183" s="185"/>
      <c r="J183" s="387"/>
      <c r="K183" s="178"/>
      <c r="L183" s="388"/>
      <c r="M183" s="185"/>
      <c r="N183" s="386"/>
      <c r="O183" s="178"/>
      <c r="P183" s="388"/>
      <c r="Q183" s="395"/>
      <c r="R183" s="396"/>
      <c r="S183" s="131" t="str">
        <f>IF(ISBLANK(Tbl_ResidentData[[#This Row],[Discharge '[mmm-yyyy']]]),IF(ISBLANK(Tbl_ResidentData[[#This Row],[Enrollment '[mmm-yyyy']]]),"","In Care Home"),"Discharged")</f>
        <v/>
      </c>
      <c r="T183" s="119" t="str">
        <f>IF(ISBLANK(Tbl_ResidentData[[#This Row],[Diagnosis (RAI)]]),IF(ISBLANK(Tbl_ResidentData[[#This Row],[Resident Name '[last, first']]]),"",0),IF(Tbl_ResidentData[[#This Row],[Diagnosis (RAI)]]="Other (see clinical notes)",0,1))</f>
        <v/>
      </c>
      <c r="U183" s="120" t="str">
        <f ca="1">IF(U$4&gt;NOW(),"-",IF(ISBLANK(Tbl_ResidentData[[#This Row],[Enrollment '[mmm-yyyy']]]),"-",AND((Tbl_ResidentData[[#This Row],[Enrollment '[mmm-yyyy']]]&lt;=U$4),IF(ISBLANK(Tbl_ResidentData[[#This Row],[Discharge '[mmm-yyyy']]]),TRUE,(Tbl_ResidentData[[#This Row],[Discharge '[mmm-yyyy']]]&gt;=U$4)))))</f>
        <v>-</v>
      </c>
      <c r="V183" s="121" t="str">
        <f ca="1">IF(V$4&gt;NOW(),"-",IF(ISBLANK(Tbl_ResidentData[[#This Row],[Enrollment '[mmm-yyyy']]]),"-",AND((Tbl_ResidentData[[#This Row],[Enrollment '[mmm-yyyy']]]&lt;=V$4),IF(ISBLANK(Tbl_ResidentData[[#This Row],[Discharge '[mmm-yyyy']]]),TRUE,(Tbl_ResidentData[[#This Row],[Discharge '[mmm-yyyy']]]&gt;=V$4)))))</f>
        <v>-</v>
      </c>
      <c r="W183" s="121" t="str">
        <f ca="1">IF(W$4&gt;NOW(),"-",IF(ISBLANK(Tbl_ResidentData[[#This Row],[Enrollment '[mmm-yyyy']]]),"-",AND((Tbl_ResidentData[[#This Row],[Enrollment '[mmm-yyyy']]]&lt;=W$4),IF(ISBLANK(Tbl_ResidentData[[#This Row],[Discharge '[mmm-yyyy']]]),TRUE,(Tbl_ResidentData[[#This Row],[Discharge '[mmm-yyyy']]]&gt;=W$4)))))</f>
        <v>-</v>
      </c>
      <c r="X183" s="121" t="str">
        <f ca="1">IF(X$4&gt;NOW(),"-",IF(ISBLANK(Tbl_ResidentData[[#This Row],[Enrollment '[mmm-yyyy']]]),"-",AND((Tbl_ResidentData[[#This Row],[Enrollment '[mmm-yyyy']]]&lt;=X$4),IF(ISBLANK(Tbl_ResidentData[[#This Row],[Discharge '[mmm-yyyy']]]),TRUE,(Tbl_ResidentData[[#This Row],[Discharge '[mmm-yyyy']]]&gt;=X$4)))))</f>
        <v>-</v>
      </c>
      <c r="Y183" s="121" t="str">
        <f ca="1">IF(Y$4&gt;NOW(),"-",IF(ISBLANK(Tbl_ResidentData[[#This Row],[Enrollment '[mmm-yyyy']]]),"-",AND((Tbl_ResidentData[[#This Row],[Enrollment '[mmm-yyyy']]]&lt;=Y$4),IF(ISBLANK(Tbl_ResidentData[[#This Row],[Discharge '[mmm-yyyy']]]),TRUE,(Tbl_ResidentData[[#This Row],[Discharge '[mmm-yyyy']]]&gt;=Y$4)))))</f>
        <v>-</v>
      </c>
      <c r="Z183" s="121" t="str">
        <f ca="1">IF(Z$4&gt;NOW(),"-",IF(ISBLANK(Tbl_ResidentData[[#This Row],[Enrollment '[mmm-yyyy']]]),"-",AND((Tbl_ResidentData[[#This Row],[Enrollment '[mmm-yyyy']]]&lt;=Z$4),IF(ISBLANK(Tbl_ResidentData[[#This Row],[Discharge '[mmm-yyyy']]]),TRUE,(Tbl_ResidentData[[#This Row],[Discharge '[mmm-yyyy']]]&gt;=Z$4)))))</f>
        <v>-</v>
      </c>
      <c r="AA183" s="121" t="str">
        <f ca="1">IF(AA$4&gt;NOW(),"-",IF(ISBLANK(Tbl_ResidentData[[#This Row],[Enrollment '[mmm-yyyy']]]),"-",AND((Tbl_ResidentData[[#This Row],[Enrollment '[mmm-yyyy']]]&lt;=AA$4),IF(ISBLANK(Tbl_ResidentData[[#This Row],[Discharge '[mmm-yyyy']]]),TRUE,(Tbl_ResidentData[[#This Row],[Discharge '[mmm-yyyy']]]&gt;=AA$4)))))</f>
        <v>-</v>
      </c>
      <c r="AB183" s="121" t="str">
        <f ca="1">IF(AB$4&gt;NOW(),"-",IF(ISBLANK(Tbl_ResidentData[[#This Row],[Enrollment '[mmm-yyyy']]]),"-",AND((Tbl_ResidentData[[#This Row],[Enrollment '[mmm-yyyy']]]&lt;=AB$4),IF(ISBLANK(Tbl_ResidentData[[#This Row],[Discharge '[mmm-yyyy']]]),TRUE,(Tbl_ResidentData[[#This Row],[Discharge '[mmm-yyyy']]]&gt;=AB$4)))))</f>
        <v>-</v>
      </c>
      <c r="AC183" s="121" t="str">
        <f ca="1">IF(AC$4&gt;NOW(),"-",IF(ISBLANK(Tbl_ResidentData[[#This Row],[Enrollment '[mmm-yyyy']]]),"-",AND((Tbl_ResidentData[[#This Row],[Enrollment '[mmm-yyyy']]]&lt;=AC$4),IF(ISBLANK(Tbl_ResidentData[[#This Row],[Discharge '[mmm-yyyy']]]),TRUE,(Tbl_ResidentData[[#This Row],[Discharge '[mmm-yyyy']]]&gt;=AC$4)))))</f>
        <v>-</v>
      </c>
      <c r="AD183" s="121" t="str">
        <f ca="1">IF(AD$4&gt;NOW(),"-",IF(ISBLANK(Tbl_ResidentData[[#This Row],[Enrollment '[mmm-yyyy']]]),"-",AND((Tbl_ResidentData[[#This Row],[Enrollment '[mmm-yyyy']]]&lt;=AD$4),IF(ISBLANK(Tbl_ResidentData[[#This Row],[Discharge '[mmm-yyyy']]]),TRUE,(Tbl_ResidentData[[#This Row],[Discharge '[mmm-yyyy']]]&gt;=AD$4)))))</f>
        <v>-</v>
      </c>
      <c r="AE183" s="121" t="str">
        <f ca="1">IF(AE$4&gt;NOW(),"-",IF(ISBLANK(Tbl_ResidentData[[#This Row],[Enrollment '[mmm-yyyy']]]),"-",AND((Tbl_ResidentData[[#This Row],[Enrollment '[mmm-yyyy']]]&lt;=AE$4),IF(ISBLANK(Tbl_ResidentData[[#This Row],[Discharge '[mmm-yyyy']]]),TRUE,(Tbl_ResidentData[[#This Row],[Discharge '[mmm-yyyy']]]&gt;=AE$4)))))</f>
        <v>-</v>
      </c>
      <c r="AF183" s="121" t="str">
        <f ca="1">IF(AF$4&gt;NOW(),"-",IF(ISBLANK(Tbl_ResidentData[[#This Row],[Enrollment '[mmm-yyyy']]]),"-",AND((Tbl_ResidentData[[#This Row],[Enrollment '[mmm-yyyy']]]&lt;=AF$4),IF(ISBLANK(Tbl_ResidentData[[#This Row],[Discharge '[mmm-yyyy']]]),TRUE,(Tbl_ResidentData[[#This Row],[Discharge '[mmm-yyyy']]]&gt;=AF$4)))))</f>
        <v>-</v>
      </c>
      <c r="AG183" s="121" t="str">
        <f ca="1">IF(AG$4&gt;NOW(),"-",IF(ISBLANK(Tbl_ResidentData[[#This Row],[Enrollment '[mmm-yyyy']]]),"-",AND((Tbl_ResidentData[[#This Row],[Enrollment '[mmm-yyyy']]]&lt;=AG$4),IF(ISBLANK(Tbl_ResidentData[[#This Row],[Discharge '[mmm-yyyy']]]),TRUE,(Tbl_ResidentData[[#This Row],[Discharge '[mmm-yyyy']]]&gt;=AG$4)))))</f>
        <v>-</v>
      </c>
      <c r="AH183" s="121" t="str">
        <f ca="1">IF(AH$4&gt;NOW(),"-",IF(ISBLANK(Tbl_ResidentData[[#This Row],[Enrollment '[mmm-yyyy']]]),"-",AND((Tbl_ResidentData[[#This Row],[Enrollment '[mmm-yyyy']]]&lt;=AH$4),IF(ISBLANK(Tbl_ResidentData[[#This Row],[Discharge '[mmm-yyyy']]]),TRUE,(Tbl_ResidentData[[#This Row],[Discharge '[mmm-yyyy']]]&gt;=AH$4)))))</f>
        <v>-</v>
      </c>
      <c r="AI183" s="121" t="str">
        <f ca="1">IF(AI$4&gt;NOW(),"-",IF(ISBLANK(Tbl_ResidentData[[#This Row],[Enrollment '[mmm-yyyy']]]),"-",AND((Tbl_ResidentData[[#This Row],[Enrollment '[mmm-yyyy']]]&lt;=AI$4),IF(ISBLANK(Tbl_ResidentData[[#This Row],[Discharge '[mmm-yyyy']]]),TRUE,(Tbl_ResidentData[[#This Row],[Discharge '[mmm-yyyy']]]&gt;=AI$4)))))</f>
        <v>-</v>
      </c>
      <c r="AJ183" s="121" t="str">
        <f ca="1">IF(AJ$4&gt;NOW(),"-",IF(ISBLANK(Tbl_ResidentData[[#This Row],[Enrollment '[mmm-yyyy']]]),"-",AND((Tbl_ResidentData[[#This Row],[Enrollment '[mmm-yyyy']]]&lt;=AJ$4),IF(ISBLANK(Tbl_ResidentData[[#This Row],[Discharge '[mmm-yyyy']]]),TRUE,(Tbl_ResidentData[[#This Row],[Discharge '[mmm-yyyy']]]&gt;=AJ$4)))))</f>
        <v>-</v>
      </c>
      <c r="AK183" s="121" t="str">
        <f ca="1">IF(AK$4&gt;NOW(),"-",IF(ISBLANK(Tbl_ResidentData[[#This Row],[Enrollment '[mmm-yyyy']]]),"-",AND((Tbl_ResidentData[[#This Row],[Enrollment '[mmm-yyyy']]]&lt;=AK$4),IF(ISBLANK(Tbl_ResidentData[[#This Row],[Discharge '[mmm-yyyy']]]),TRUE,(Tbl_ResidentData[[#This Row],[Discharge '[mmm-yyyy']]]&gt;=AK$4)))))</f>
        <v>-</v>
      </c>
      <c r="AL183" s="121" t="str">
        <f ca="1">IF(AL$4&gt;NOW(),"-",IF(ISBLANK(Tbl_ResidentData[[#This Row],[Enrollment '[mmm-yyyy']]]),"-",AND((Tbl_ResidentData[[#This Row],[Enrollment '[mmm-yyyy']]]&lt;=AL$4),IF(ISBLANK(Tbl_ResidentData[[#This Row],[Discharge '[mmm-yyyy']]]),TRUE,(Tbl_ResidentData[[#This Row],[Discharge '[mmm-yyyy']]]&gt;=AL$4)))))</f>
        <v>-</v>
      </c>
      <c r="AM183" s="121" t="str">
        <f ca="1">IF(AM$4&gt;NOW(),"-",IF(ISBLANK(Tbl_ResidentData[[#This Row],[Enrollment '[mmm-yyyy']]]),"-",AND((Tbl_ResidentData[[#This Row],[Enrollment '[mmm-yyyy']]]&lt;=AM$4),IF(ISBLANK(Tbl_ResidentData[[#This Row],[Discharge '[mmm-yyyy']]]),TRUE,(Tbl_ResidentData[[#This Row],[Discharge '[mmm-yyyy']]]&gt;=AM$4)))))</f>
        <v>-</v>
      </c>
      <c r="AN183" s="121" t="str">
        <f ca="1">IF(AN$4&gt;NOW(),"-",IF(ISBLANK(Tbl_ResidentData[[#This Row],[Enrollment '[mmm-yyyy']]]),"-",AND((Tbl_ResidentData[[#This Row],[Enrollment '[mmm-yyyy']]]&lt;=AN$4),IF(ISBLANK(Tbl_ResidentData[[#This Row],[Discharge '[mmm-yyyy']]]),TRUE,(Tbl_ResidentData[[#This Row],[Discharge '[mmm-yyyy']]]&gt;=AN$4)))))</f>
        <v>-</v>
      </c>
      <c r="AO183" s="121" t="str">
        <f ca="1">IF(AO$4&gt;NOW(),"-",IF(ISBLANK(Tbl_ResidentData[[#This Row],[Enrollment '[mmm-yyyy']]]),"-",AND((Tbl_ResidentData[[#This Row],[Enrollment '[mmm-yyyy']]]&lt;=AO$4),IF(ISBLANK(Tbl_ResidentData[[#This Row],[Discharge '[mmm-yyyy']]]),TRUE,(Tbl_ResidentData[[#This Row],[Discharge '[mmm-yyyy']]]&gt;=AO$4)))))</f>
        <v>-</v>
      </c>
      <c r="AP183" s="121" t="str">
        <f ca="1">IF(AP$4&gt;NOW(),"-",IF(ISBLANK(Tbl_ResidentData[[#This Row],[Enrollment '[mmm-yyyy']]]),"-",AND((Tbl_ResidentData[[#This Row],[Enrollment '[mmm-yyyy']]]&lt;=AP$4),IF(ISBLANK(Tbl_ResidentData[[#This Row],[Discharge '[mmm-yyyy']]]),TRUE,(Tbl_ResidentData[[#This Row],[Discharge '[mmm-yyyy']]]&gt;=AP$4)))))</f>
        <v>-</v>
      </c>
      <c r="AQ183" s="121" t="str">
        <f ca="1">IF(AQ$4&gt;NOW(),"-",IF(ISBLANK(Tbl_ResidentData[[#This Row],[Enrollment '[mmm-yyyy']]]),"-",AND((Tbl_ResidentData[[#This Row],[Enrollment '[mmm-yyyy']]]&lt;=AQ$4),IF(ISBLANK(Tbl_ResidentData[[#This Row],[Discharge '[mmm-yyyy']]]),TRUE,(Tbl_ResidentData[[#This Row],[Discharge '[mmm-yyyy']]]&gt;=AQ$4)))))</f>
        <v>-</v>
      </c>
      <c r="AR183" s="122" t="str">
        <f ca="1">IF(AR$4&gt;NOW(),"-",IF(ISBLANK(Tbl_ResidentData[[#This Row],[Enrollment '[mmm-yyyy']]]),"-",AND((Tbl_ResidentData[[#This Row],[Enrollment '[mmm-yyyy']]]&lt;=AR$4),IF(ISBLANK(Tbl_ResidentData[[#This Row],[Discharge '[mmm-yyyy']]]),TRUE,(Tbl_ResidentData[[#This Row],[Discharge '[mmm-yyyy']]]&gt;=AR$4)))))</f>
        <v>-</v>
      </c>
      <c r="AS18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3" s="120" t="b">
        <f ca="1">AND(Tbl_ResidentData[[#This Row],[PRN Med Started]]&lt;&gt;"",Tbl_ResidentData[[#This Row],[PRN Med Started]]&lt;=NOW(),Tbl_ResidentData[[#This Row],[PRN Med Started]]&lt;=AS$4,OR(Tbl_ResidentData[[#This Row],[PRN Med Discontinued]]&gt;AS$4,ISBLANK(Tbl_ResidentData[[#This Row],[PRN Med Discontinued]])))</f>
        <v>0</v>
      </c>
      <c r="BR183" s="121" t="b">
        <f ca="1">AND(Tbl_ResidentData[[#This Row],[PRN Med Started]]&lt;&gt;"",Tbl_ResidentData[[#This Row],[PRN Med Started]]&lt;=NOW(),Tbl_ResidentData[[#This Row],[PRN Med Started]]&lt;=AT$4,OR(Tbl_ResidentData[[#This Row],[PRN Med Discontinued]]&gt;AT$4,ISBLANK(Tbl_ResidentData[[#This Row],[PRN Med Discontinued]])))</f>
        <v>0</v>
      </c>
      <c r="BS183" s="121" t="b">
        <f ca="1">AND(Tbl_ResidentData[[#This Row],[PRN Med Started]]&lt;&gt;"",Tbl_ResidentData[[#This Row],[PRN Med Started]]&lt;=NOW(),Tbl_ResidentData[[#This Row],[PRN Med Started]]&lt;=AU$4,OR(Tbl_ResidentData[[#This Row],[PRN Med Discontinued]]&gt;AU$4,ISBLANK(Tbl_ResidentData[[#This Row],[PRN Med Discontinued]])))</f>
        <v>0</v>
      </c>
      <c r="BT183" s="121" t="b">
        <f ca="1">AND(Tbl_ResidentData[[#This Row],[PRN Med Started]]&lt;&gt;"",Tbl_ResidentData[[#This Row],[PRN Med Started]]&lt;=NOW(),Tbl_ResidentData[[#This Row],[PRN Med Started]]&lt;=AV$4,OR(Tbl_ResidentData[[#This Row],[PRN Med Discontinued]]&gt;AV$4,ISBLANK(Tbl_ResidentData[[#This Row],[PRN Med Discontinued]])))</f>
        <v>0</v>
      </c>
      <c r="BU183" s="121" t="b">
        <f ca="1">AND(Tbl_ResidentData[[#This Row],[PRN Med Started]]&lt;&gt;"",Tbl_ResidentData[[#This Row],[PRN Med Started]]&lt;=NOW(),Tbl_ResidentData[[#This Row],[PRN Med Started]]&lt;=AW$4,OR(Tbl_ResidentData[[#This Row],[PRN Med Discontinued]]&gt;AW$4,ISBLANK(Tbl_ResidentData[[#This Row],[PRN Med Discontinued]])))</f>
        <v>0</v>
      </c>
      <c r="BV183" s="121" t="b">
        <f ca="1">AND(Tbl_ResidentData[[#This Row],[PRN Med Started]]&lt;&gt;"",Tbl_ResidentData[[#This Row],[PRN Med Started]]&lt;=NOW(),Tbl_ResidentData[[#This Row],[PRN Med Started]]&lt;=AX$4,OR(Tbl_ResidentData[[#This Row],[PRN Med Discontinued]]&gt;AX$4,ISBLANK(Tbl_ResidentData[[#This Row],[PRN Med Discontinued]])))</f>
        <v>0</v>
      </c>
      <c r="BW183" s="121" t="b">
        <f ca="1">AND(Tbl_ResidentData[[#This Row],[PRN Med Started]]&lt;&gt;"",Tbl_ResidentData[[#This Row],[PRN Med Started]]&lt;=NOW(),Tbl_ResidentData[[#This Row],[PRN Med Started]]&lt;=AY$4,OR(Tbl_ResidentData[[#This Row],[PRN Med Discontinued]]&gt;AY$4,ISBLANK(Tbl_ResidentData[[#This Row],[PRN Med Discontinued]])))</f>
        <v>0</v>
      </c>
      <c r="BX183" s="121" t="b">
        <f ca="1">AND(Tbl_ResidentData[[#This Row],[PRN Med Started]]&lt;&gt;"",Tbl_ResidentData[[#This Row],[PRN Med Started]]&lt;=NOW(),Tbl_ResidentData[[#This Row],[PRN Med Started]]&lt;=AZ$4,OR(Tbl_ResidentData[[#This Row],[PRN Med Discontinued]]&gt;AZ$4,ISBLANK(Tbl_ResidentData[[#This Row],[PRN Med Discontinued]])))</f>
        <v>0</v>
      </c>
      <c r="BY183" s="121" t="b">
        <f ca="1">AND(Tbl_ResidentData[[#This Row],[PRN Med Started]]&lt;&gt;"",Tbl_ResidentData[[#This Row],[PRN Med Started]]&lt;=NOW(),Tbl_ResidentData[[#This Row],[PRN Med Started]]&lt;=BA$4,OR(Tbl_ResidentData[[#This Row],[PRN Med Discontinued]]&gt;BA$4,ISBLANK(Tbl_ResidentData[[#This Row],[PRN Med Discontinued]])))</f>
        <v>0</v>
      </c>
      <c r="BZ183" s="121" t="b">
        <f ca="1">AND(Tbl_ResidentData[[#This Row],[PRN Med Started]]&lt;&gt;"",Tbl_ResidentData[[#This Row],[PRN Med Started]]&lt;=NOW(),Tbl_ResidentData[[#This Row],[PRN Med Started]]&lt;=BB$4,OR(Tbl_ResidentData[[#This Row],[PRN Med Discontinued]]&gt;BB$4,ISBLANK(Tbl_ResidentData[[#This Row],[PRN Med Discontinued]])))</f>
        <v>0</v>
      </c>
      <c r="CA183" s="121" t="b">
        <f ca="1">AND(Tbl_ResidentData[[#This Row],[PRN Med Started]]&lt;&gt;"",Tbl_ResidentData[[#This Row],[PRN Med Started]]&lt;=NOW(),Tbl_ResidentData[[#This Row],[PRN Med Started]]&lt;=BC$4,OR(Tbl_ResidentData[[#This Row],[PRN Med Discontinued]]&gt;BC$4,ISBLANK(Tbl_ResidentData[[#This Row],[PRN Med Discontinued]])))</f>
        <v>0</v>
      </c>
      <c r="CB183" s="121" t="b">
        <f ca="1">AND(Tbl_ResidentData[[#This Row],[PRN Med Started]]&lt;&gt;"",Tbl_ResidentData[[#This Row],[PRN Med Started]]&lt;=NOW(),Tbl_ResidentData[[#This Row],[PRN Med Started]]&lt;=BD$4,OR(Tbl_ResidentData[[#This Row],[PRN Med Discontinued]]&gt;BD$4,ISBLANK(Tbl_ResidentData[[#This Row],[PRN Med Discontinued]])))</f>
        <v>0</v>
      </c>
      <c r="CC183" s="121" t="b">
        <f ca="1">AND(Tbl_ResidentData[[#This Row],[PRN Med Started]]&lt;&gt;"",Tbl_ResidentData[[#This Row],[PRN Med Started]]&lt;=NOW(),Tbl_ResidentData[[#This Row],[PRN Med Started]]&lt;=BE$4,OR(Tbl_ResidentData[[#This Row],[PRN Med Discontinued]]&gt;BE$4,ISBLANK(Tbl_ResidentData[[#This Row],[PRN Med Discontinued]])))</f>
        <v>0</v>
      </c>
      <c r="CD183" s="121" t="b">
        <f ca="1">AND(Tbl_ResidentData[[#This Row],[PRN Med Started]]&lt;&gt;"",Tbl_ResidentData[[#This Row],[PRN Med Started]]&lt;=NOW(),Tbl_ResidentData[[#This Row],[PRN Med Started]]&lt;=BF$4,OR(Tbl_ResidentData[[#This Row],[PRN Med Discontinued]]&gt;BF$4,ISBLANK(Tbl_ResidentData[[#This Row],[PRN Med Discontinued]])))</f>
        <v>0</v>
      </c>
      <c r="CE183" s="121" t="b">
        <f ca="1">AND(Tbl_ResidentData[[#This Row],[PRN Med Started]]&lt;&gt;"",Tbl_ResidentData[[#This Row],[PRN Med Started]]&lt;=NOW(),Tbl_ResidentData[[#This Row],[PRN Med Started]]&lt;=BG$4,OR(Tbl_ResidentData[[#This Row],[PRN Med Discontinued]]&gt;BG$4,ISBLANK(Tbl_ResidentData[[#This Row],[PRN Med Discontinued]])))</f>
        <v>0</v>
      </c>
      <c r="CF183" s="121" t="b">
        <f ca="1">AND(Tbl_ResidentData[[#This Row],[PRN Med Started]]&lt;&gt;"",Tbl_ResidentData[[#This Row],[PRN Med Started]]&lt;=NOW(),Tbl_ResidentData[[#This Row],[PRN Med Started]]&lt;=BH$4,OR(Tbl_ResidentData[[#This Row],[PRN Med Discontinued]]&gt;BH$4,ISBLANK(Tbl_ResidentData[[#This Row],[PRN Med Discontinued]])))</f>
        <v>0</v>
      </c>
      <c r="CG183" s="121" t="b">
        <f ca="1">AND(Tbl_ResidentData[[#This Row],[PRN Med Started]]&lt;&gt;"",Tbl_ResidentData[[#This Row],[PRN Med Started]]&lt;=NOW(),Tbl_ResidentData[[#This Row],[PRN Med Started]]&lt;=BI$4,OR(Tbl_ResidentData[[#This Row],[PRN Med Discontinued]]&gt;BI$4,ISBLANK(Tbl_ResidentData[[#This Row],[PRN Med Discontinued]])))</f>
        <v>0</v>
      </c>
      <c r="CH183" s="121" t="b">
        <f ca="1">AND(Tbl_ResidentData[[#This Row],[PRN Med Started]]&lt;&gt;"",Tbl_ResidentData[[#This Row],[PRN Med Started]]&lt;=NOW(),Tbl_ResidentData[[#This Row],[PRN Med Started]]&lt;=BJ$4,OR(Tbl_ResidentData[[#This Row],[PRN Med Discontinued]]&gt;BJ$4,ISBLANK(Tbl_ResidentData[[#This Row],[PRN Med Discontinued]])))</f>
        <v>0</v>
      </c>
      <c r="CI183" s="121" t="b">
        <f ca="1">AND(Tbl_ResidentData[[#This Row],[PRN Med Started]]&lt;&gt;"",Tbl_ResidentData[[#This Row],[PRN Med Started]]&lt;=NOW(),Tbl_ResidentData[[#This Row],[PRN Med Started]]&lt;=BK$4,OR(Tbl_ResidentData[[#This Row],[PRN Med Discontinued]]&gt;BK$4,ISBLANK(Tbl_ResidentData[[#This Row],[PRN Med Discontinued]])))</f>
        <v>0</v>
      </c>
      <c r="CJ183" s="121" t="b">
        <f ca="1">AND(Tbl_ResidentData[[#This Row],[PRN Med Started]]&lt;&gt;"",Tbl_ResidentData[[#This Row],[PRN Med Started]]&lt;=NOW(),Tbl_ResidentData[[#This Row],[PRN Med Started]]&lt;=BL$4,OR(Tbl_ResidentData[[#This Row],[PRN Med Discontinued]]&gt;BL$4,ISBLANK(Tbl_ResidentData[[#This Row],[PRN Med Discontinued]])))</f>
        <v>0</v>
      </c>
      <c r="CK183" s="121" t="b">
        <f ca="1">AND(Tbl_ResidentData[[#This Row],[PRN Med Started]]&lt;&gt;"",Tbl_ResidentData[[#This Row],[PRN Med Started]]&lt;=NOW(),Tbl_ResidentData[[#This Row],[PRN Med Started]]&lt;=BM$4,OR(Tbl_ResidentData[[#This Row],[PRN Med Discontinued]]&gt;BM$4,ISBLANK(Tbl_ResidentData[[#This Row],[PRN Med Discontinued]])))</f>
        <v>0</v>
      </c>
      <c r="CL183" s="121" t="b">
        <f ca="1">AND(Tbl_ResidentData[[#This Row],[PRN Med Started]]&lt;&gt;"",Tbl_ResidentData[[#This Row],[PRN Med Started]]&lt;=NOW(),Tbl_ResidentData[[#This Row],[PRN Med Started]]&lt;=BN$4,OR(Tbl_ResidentData[[#This Row],[PRN Med Discontinued]]&gt;BN$4,ISBLANK(Tbl_ResidentData[[#This Row],[PRN Med Discontinued]])))</f>
        <v>0</v>
      </c>
      <c r="CM183" s="121" t="b">
        <f ca="1">AND(Tbl_ResidentData[[#This Row],[PRN Med Started]]&lt;&gt;"",Tbl_ResidentData[[#This Row],[PRN Med Started]]&lt;=NOW(),Tbl_ResidentData[[#This Row],[PRN Med Started]]&lt;=BO$4,OR(Tbl_ResidentData[[#This Row],[PRN Med Discontinued]]&gt;BO$4,ISBLANK(Tbl_ResidentData[[#This Row],[PRN Med Discontinued]])))</f>
        <v>0</v>
      </c>
      <c r="CN183" s="122" t="b">
        <f ca="1">AND(Tbl_ResidentData[[#This Row],[PRN Med Started]]&lt;&gt;"",Tbl_ResidentData[[#This Row],[PRN Med Started]]&lt;=NOW(),Tbl_ResidentData[[#This Row],[PRN Med Started]]&lt;=BP$4,OR(Tbl_ResidentData[[#This Row],[PRN Med Discontinued]]&gt;BP$4,ISBLANK(Tbl_ResidentData[[#This Row],[PRN Med Discontinued]])))</f>
        <v>0</v>
      </c>
      <c r="CO183" s="120">
        <f ca="1">IF(OR(Tbl_ResidentData[[#This Row],[S1]]=TRUE,Tbl_ResidentData[[#This Row],[P1]]=TRUE),1,0)</f>
        <v>0</v>
      </c>
      <c r="CP183" s="121">
        <f ca="1">IF(OR(Tbl_ResidentData[[#This Row],[S2]]=TRUE,Tbl_ResidentData[[#This Row],[P2]]=TRUE),1,0)</f>
        <v>0</v>
      </c>
      <c r="CQ183" s="121">
        <f ca="1">IF(OR(Tbl_ResidentData[[#This Row],[S3]]=TRUE,Tbl_ResidentData[[#This Row],[P3]]=TRUE),1,0)</f>
        <v>0</v>
      </c>
      <c r="CR183" s="120">
        <f ca="1">IF(OR(Tbl_ResidentData[[#This Row],[S4]]=TRUE,Tbl_ResidentData[[#This Row],[P4]]=TRUE),1,0)</f>
        <v>0</v>
      </c>
      <c r="CS183" s="120">
        <f ca="1">IF(OR(Tbl_ResidentData[[#This Row],[S5]]=TRUE,Tbl_ResidentData[[#This Row],[P5]]=TRUE),1,0)</f>
        <v>0</v>
      </c>
      <c r="CT183" s="120">
        <f ca="1">IF(OR(Tbl_ResidentData[[#This Row],[S6]]=TRUE,Tbl_ResidentData[[#This Row],[P6]]=TRUE),1,0)</f>
        <v>0</v>
      </c>
      <c r="CU183" s="120">
        <f ca="1">IF(OR(Tbl_ResidentData[[#This Row],[S7]]=TRUE,Tbl_ResidentData[[#This Row],[P7]]=TRUE),1,0)</f>
        <v>0</v>
      </c>
      <c r="CV183" s="120">
        <f ca="1">IF(OR(Tbl_ResidentData[[#This Row],[S8]]=TRUE,Tbl_ResidentData[[#This Row],[P8]]=TRUE),1,0)</f>
        <v>0</v>
      </c>
      <c r="CW183" s="120">
        <f ca="1">IF(OR(Tbl_ResidentData[[#This Row],[S9]]=TRUE,Tbl_ResidentData[[#This Row],[P9]]=TRUE),1,0)</f>
        <v>0</v>
      </c>
      <c r="CX183" s="120">
        <f ca="1">IF(OR(Tbl_ResidentData[[#This Row],[S10]]=TRUE,Tbl_ResidentData[[#This Row],[P10]]=TRUE),1,0)</f>
        <v>0</v>
      </c>
      <c r="CY183" s="120">
        <f ca="1">IF(OR(Tbl_ResidentData[[#This Row],[S11]]=TRUE,Tbl_ResidentData[[#This Row],[P11]]=TRUE),1,0)</f>
        <v>0</v>
      </c>
      <c r="CZ183" s="120">
        <f ca="1">IF(OR(Tbl_ResidentData[[#This Row],[S12]]=TRUE,Tbl_ResidentData[[#This Row],[P12]]=TRUE),1,0)</f>
        <v>0</v>
      </c>
      <c r="DA183" s="120">
        <f ca="1">IF(OR(Tbl_ResidentData[[#This Row],[S13]]=TRUE,Tbl_ResidentData[[#This Row],[P13]]=TRUE),1,0)</f>
        <v>0</v>
      </c>
      <c r="DB183" s="120">
        <f ca="1">IF(OR(Tbl_ResidentData[[#This Row],[S14]]=TRUE,Tbl_ResidentData[[#This Row],[P14]]=TRUE),1,0)</f>
        <v>0</v>
      </c>
      <c r="DC183" s="120">
        <f ca="1">IF(OR(Tbl_ResidentData[[#This Row],[S15]]=TRUE,Tbl_ResidentData[[#This Row],[P15]]=TRUE),1,0)</f>
        <v>0</v>
      </c>
      <c r="DD183" s="120">
        <f ca="1">IF(OR(Tbl_ResidentData[[#This Row],[S16]]=TRUE,Tbl_ResidentData[[#This Row],[P16]]=TRUE),1,0)</f>
        <v>0</v>
      </c>
      <c r="DE183" s="120">
        <f ca="1">IF(OR(Tbl_ResidentData[[#This Row],[S17]]=TRUE,Tbl_ResidentData[[#This Row],[P17]]=TRUE),1,0)</f>
        <v>0</v>
      </c>
      <c r="DF183" s="120">
        <f ca="1">IF(OR(Tbl_ResidentData[[#This Row],[S18]]=TRUE,Tbl_ResidentData[[#This Row],[P18]]=TRUE),1,0)</f>
        <v>0</v>
      </c>
      <c r="DG183" s="120">
        <f ca="1">IF(OR(Tbl_ResidentData[[#This Row],[S19]]=TRUE,Tbl_ResidentData[[#This Row],[P19]]=TRUE),1,0)</f>
        <v>0</v>
      </c>
      <c r="DH183" s="120">
        <f ca="1">IF(OR(Tbl_ResidentData[[#This Row],[S20]]=TRUE,Tbl_ResidentData[[#This Row],[P20]]=TRUE),1,0)</f>
        <v>0</v>
      </c>
      <c r="DI183" s="120">
        <f ca="1">IF(OR(Tbl_ResidentData[[#This Row],[S21]]=TRUE,Tbl_ResidentData[[#This Row],[P21]]=TRUE),1,0)</f>
        <v>0</v>
      </c>
      <c r="DJ183" s="120">
        <f ca="1">IF(OR(Tbl_ResidentData[[#This Row],[S22]]=TRUE,Tbl_ResidentData[[#This Row],[P22]]=TRUE),1,0)</f>
        <v>0</v>
      </c>
      <c r="DK183" s="120">
        <f ca="1">IF(OR(Tbl_ResidentData[[#This Row],[S23]]=TRUE,Tbl_ResidentData[[#This Row],[P23]]=TRUE),1,0)</f>
        <v>0</v>
      </c>
      <c r="DL183" s="120">
        <f ca="1">IF(OR(Tbl_ResidentData[[#This Row],[S24]]=TRUE,Tbl_ResidentData[[#This Row],[P24]]=TRUE),1,0)</f>
        <v>0</v>
      </c>
      <c r="DM183" s="123" t="str">
        <f ca="1">IFERROR(INDEX($CO$4:$DL$4,MATCH(TRUE,INDEX((Tbl_ResidentData[[#This Row],[Over1]:[Over24]]&lt;&gt;0),0),0)),"")</f>
        <v/>
      </c>
      <c r="DN183" s="133" t="str">
        <f>IFERROR(INDEX(Tbl_PDSAData[Last DRT],MATCH(Tbl_ResidentData[Resident Name '[last, first']],Tbl_PDSAData[Resident Name (last, first)],0)),"")</f>
        <v/>
      </c>
      <c r="DO183" s="222" t="str">
        <f>IFERROR(INDEX(Tbl_PDSAData[Last MR],MATCH(Tbl_ResidentData[Resident Name '[last, first']],Tbl_PDSAData[Resident Name (last, first)],0)),"")</f>
        <v/>
      </c>
    </row>
    <row r="184" spans="1:119" x14ac:dyDescent="0.25">
      <c r="A184" s="179"/>
      <c r="B184" s="180"/>
      <c r="C184" s="180"/>
      <c r="D184" s="218"/>
      <c r="E184" s="179"/>
      <c r="F184" s="179"/>
      <c r="G184" s="181"/>
      <c r="H184" s="375"/>
      <c r="I184" s="185"/>
      <c r="J184" s="387"/>
      <c r="K184" s="178"/>
      <c r="L184" s="388"/>
      <c r="M184" s="185"/>
      <c r="N184" s="386"/>
      <c r="O184" s="178"/>
      <c r="P184" s="388"/>
      <c r="Q184" s="394"/>
      <c r="R184" s="388"/>
      <c r="S184" s="131" t="str">
        <f>IF(ISBLANK(Tbl_ResidentData[[#This Row],[Discharge '[mmm-yyyy']]]),IF(ISBLANK(Tbl_ResidentData[[#This Row],[Enrollment '[mmm-yyyy']]]),"","In Care Home"),"Discharged")</f>
        <v/>
      </c>
      <c r="T184" s="119" t="str">
        <f>IF(ISBLANK(Tbl_ResidentData[[#This Row],[Diagnosis (RAI)]]),IF(ISBLANK(Tbl_ResidentData[[#This Row],[Resident Name '[last, first']]]),"",0),IF(Tbl_ResidentData[[#This Row],[Diagnosis (RAI)]]="Other (see clinical notes)",0,1))</f>
        <v/>
      </c>
      <c r="U184" s="120" t="str">
        <f ca="1">IF(U$4&gt;NOW(),"-",IF(ISBLANK(Tbl_ResidentData[[#This Row],[Enrollment '[mmm-yyyy']]]),"-",AND((Tbl_ResidentData[[#This Row],[Enrollment '[mmm-yyyy']]]&lt;=U$4),IF(ISBLANK(Tbl_ResidentData[[#This Row],[Discharge '[mmm-yyyy']]]),TRUE,(Tbl_ResidentData[[#This Row],[Discharge '[mmm-yyyy']]]&gt;=U$4)))))</f>
        <v>-</v>
      </c>
      <c r="V184" s="121" t="str">
        <f ca="1">IF(V$4&gt;NOW(),"-",IF(ISBLANK(Tbl_ResidentData[[#This Row],[Enrollment '[mmm-yyyy']]]),"-",AND((Tbl_ResidentData[[#This Row],[Enrollment '[mmm-yyyy']]]&lt;=V$4),IF(ISBLANK(Tbl_ResidentData[[#This Row],[Discharge '[mmm-yyyy']]]),TRUE,(Tbl_ResidentData[[#This Row],[Discharge '[mmm-yyyy']]]&gt;=V$4)))))</f>
        <v>-</v>
      </c>
      <c r="W184" s="121" t="str">
        <f ca="1">IF(W$4&gt;NOW(),"-",IF(ISBLANK(Tbl_ResidentData[[#This Row],[Enrollment '[mmm-yyyy']]]),"-",AND((Tbl_ResidentData[[#This Row],[Enrollment '[mmm-yyyy']]]&lt;=W$4),IF(ISBLANK(Tbl_ResidentData[[#This Row],[Discharge '[mmm-yyyy']]]),TRUE,(Tbl_ResidentData[[#This Row],[Discharge '[mmm-yyyy']]]&gt;=W$4)))))</f>
        <v>-</v>
      </c>
      <c r="X184" s="121" t="str">
        <f ca="1">IF(X$4&gt;NOW(),"-",IF(ISBLANK(Tbl_ResidentData[[#This Row],[Enrollment '[mmm-yyyy']]]),"-",AND((Tbl_ResidentData[[#This Row],[Enrollment '[mmm-yyyy']]]&lt;=X$4),IF(ISBLANK(Tbl_ResidentData[[#This Row],[Discharge '[mmm-yyyy']]]),TRUE,(Tbl_ResidentData[[#This Row],[Discharge '[mmm-yyyy']]]&gt;=X$4)))))</f>
        <v>-</v>
      </c>
      <c r="Y184" s="121" t="str">
        <f ca="1">IF(Y$4&gt;NOW(),"-",IF(ISBLANK(Tbl_ResidentData[[#This Row],[Enrollment '[mmm-yyyy']]]),"-",AND((Tbl_ResidentData[[#This Row],[Enrollment '[mmm-yyyy']]]&lt;=Y$4),IF(ISBLANK(Tbl_ResidentData[[#This Row],[Discharge '[mmm-yyyy']]]),TRUE,(Tbl_ResidentData[[#This Row],[Discharge '[mmm-yyyy']]]&gt;=Y$4)))))</f>
        <v>-</v>
      </c>
      <c r="Z184" s="121" t="str">
        <f ca="1">IF(Z$4&gt;NOW(),"-",IF(ISBLANK(Tbl_ResidentData[[#This Row],[Enrollment '[mmm-yyyy']]]),"-",AND((Tbl_ResidentData[[#This Row],[Enrollment '[mmm-yyyy']]]&lt;=Z$4),IF(ISBLANK(Tbl_ResidentData[[#This Row],[Discharge '[mmm-yyyy']]]),TRUE,(Tbl_ResidentData[[#This Row],[Discharge '[mmm-yyyy']]]&gt;=Z$4)))))</f>
        <v>-</v>
      </c>
      <c r="AA184" s="121" t="str">
        <f ca="1">IF(AA$4&gt;NOW(),"-",IF(ISBLANK(Tbl_ResidentData[[#This Row],[Enrollment '[mmm-yyyy']]]),"-",AND((Tbl_ResidentData[[#This Row],[Enrollment '[mmm-yyyy']]]&lt;=AA$4),IF(ISBLANK(Tbl_ResidentData[[#This Row],[Discharge '[mmm-yyyy']]]),TRUE,(Tbl_ResidentData[[#This Row],[Discharge '[mmm-yyyy']]]&gt;=AA$4)))))</f>
        <v>-</v>
      </c>
      <c r="AB184" s="121" t="str">
        <f ca="1">IF(AB$4&gt;NOW(),"-",IF(ISBLANK(Tbl_ResidentData[[#This Row],[Enrollment '[mmm-yyyy']]]),"-",AND((Tbl_ResidentData[[#This Row],[Enrollment '[mmm-yyyy']]]&lt;=AB$4),IF(ISBLANK(Tbl_ResidentData[[#This Row],[Discharge '[mmm-yyyy']]]),TRUE,(Tbl_ResidentData[[#This Row],[Discharge '[mmm-yyyy']]]&gt;=AB$4)))))</f>
        <v>-</v>
      </c>
      <c r="AC184" s="121" t="str">
        <f ca="1">IF(AC$4&gt;NOW(),"-",IF(ISBLANK(Tbl_ResidentData[[#This Row],[Enrollment '[mmm-yyyy']]]),"-",AND((Tbl_ResidentData[[#This Row],[Enrollment '[mmm-yyyy']]]&lt;=AC$4),IF(ISBLANK(Tbl_ResidentData[[#This Row],[Discharge '[mmm-yyyy']]]),TRUE,(Tbl_ResidentData[[#This Row],[Discharge '[mmm-yyyy']]]&gt;=AC$4)))))</f>
        <v>-</v>
      </c>
      <c r="AD184" s="121" t="str">
        <f ca="1">IF(AD$4&gt;NOW(),"-",IF(ISBLANK(Tbl_ResidentData[[#This Row],[Enrollment '[mmm-yyyy']]]),"-",AND((Tbl_ResidentData[[#This Row],[Enrollment '[mmm-yyyy']]]&lt;=AD$4),IF(ISBLANK(Tbl_ResidentData[[#This Row],[Discharge '[mmm-yyyy']]]),TRUE,(Tbl_ResidentData[[#This Row],[Discharge '[mmm-yyyy']]]&gt;=AD$4)))))</f>
        <v>-</v>
      </c>
      <c r="AE184" s="121" t="str">
        <f ca="1">IF(AE$4&gt;NOW(),"-",IF(ISBLANK(Tbl_ResidentData[[#This Row],[Enrollment '[mmm-yyyy']]]),"-",AND((Tbl_ResidentData[[#This Row],[Enrollment '[mmm-yyyy']]]&lt;=AE$4),IF(ISBLANK(Tbl_ResidentData[[#This Row],[Discharge '[mmm-yyyy']]]),TRUE,(Tbl_ResidentData[[#This Row],[Discharge '[mmm-yyyy']]]&gt;=AE$4)))))</f>
        <v>-</v>
      </c>
      <c r="AF184" s="121" t="str">
        <f ca="1">IF(AF$4&gt;NOW(),"-",IF(ISBLANK(Tbl_ResidentData[[#This Row],[Enrollment '[mmm-yyyy']]]),"-",AND((Tbl_ResidentData[[#This Row],[Enrollment '[mmm-yyyy']]]&lt;=AF$4),IF(ISBLANK(Tbl_ResidentData[[#This Row],[Discharge '[mmm-yyyy']]]),TRUE,(Tbl_ResidentData[[#This Row],[Discharge '[mmm-yyyy']]]&gt;=AF$4)))))</f>
        <v>-</v>
      </c>
      <c r="AG184" s="121" t="str">
        <f ca="1">IF(AG$4&gt;NOW(),"-",IF(ISBLANK(Tbl_ResidentData[[#This Row],[Enrollment '[mmm-yyyy']]]),"-",AND((Tbl_ResidentData[[#This Row],[Enrollment '[mmm-yyyy']]]&lt;=AG$4),IF(ISBLANK(Tbl_ResidentData[[#This Row],[Discharge '[mmm-yyyy']]]),TRUE,(Tbl_ResidentData[[#This Row],[Discharge '[mmm-yyyy']]]&gt;=AG$4)))))</f>
        <v>-</v>
      </c>
      <c r="AH184" s="121" t="str">
        <f ca="1">IF(AH$4&gt;NOW(),"-",IF(ISBLANK(Tbl_ResidentData[[#This Row],[Enrollment '[mmm-yyyy']]]),"-",AND((Tbl_ResidentData[[#This Row],[Enrollment '[mmm-yyyy']]]&lt;=AH$4),IF(ISBLANK(Tbl_ResidentData[[#This Row],[Discharge '[mmm-yyyy']]]),TRUE,(Tbl_ResidentData[[#This Row],[Discharge '[mmm-yyyy']]]&gt;=AH$4)))))</f>
        <v>-</v>
      </c>
      <c r="AI184" s="121" t="str">
        <f ca="1">IF(AI$4&gt;NOW(),"-",IF(ISBLANK(Tbl_ResidentData[[#This Row],[Enrollment '[mmm-yyyy']]]),"-",AND((Tbl_ResidentData[[#This Row],[Enrollment '[mmm-yyyy']]]&lt;=AI$4),IF(ISBLANK(Tbl_ResidentData[[#This Row],[Discharge '[mmm-yyyy']]]),TRUE,(Tbl_ResidentData[[#This Row],[Discharge '[mmm-yyyy']]]&gt;=AI$4)))))</f>
        <v>-</v>
      </c>
      <c r="AJ184" s="121" t="str">
        <f ca="1">IF(AJ$4&gt;NOW(),"-",IF(ISBLANK(Tbl_ResidentData[[#This Row],[Enrollment '[mmm-yyyy']]]),"-",AND((Tbl_ResidentData[[#This Row],[Enrollment '[mmm-yyyy']]]&lt;=AJ$4),IF(ISBLANK(Tbl_ResidentData[[#This Row],[Discharge '[mmm-yyyy']]]),TRUE,(Tbl_ResidentData[[#This Row],[Discharge '[mmm-yyyy']]]&gt;=AJ$4)))))</f>
        <v>-</v>
      </c>
      <c r="AK184" s="121" t="str">
        <f ca="1">IF(AK$4&gt;NOW(),"-",IF(ISBLANK(Tbl_ResidentData[[#This Row],[Enrollment '[mmm-yyyy']]]),"-",AND((Tbl_ResidentData[[#This Row],[Enrollment '[mmm-yyyy']]]&lt;=AK$4),IF(ISBLANK(Tbl_ResidentData[[#This Row],[Discharge '[mmm-yyyy']]]),TRUE,(Tbl_ResidentData[[#This Row],[Discharge '[mmm-yyyy']]]&gt;=AK$4)))))</f>
        <v>-</v>
      </c>
      <c r="AL184" s="121" t="str">
        <f ca="1">IF(AL$4&gt;NOW(),"-",IF(ISBLANK(Tbl_ResidentData[[#This Row],[Enrollment '[mmm-yyyy']]]),"-",AND((Tbl_ResidentData[[#This Row],[Enrollment '[mmm-yyyy']]]&lt;=AL$4),IF(ISBLANK(Tbl_ResidentData[[#This Row],[Discharge '[mmm-yyyy']]]),TRUE,(Tbl_ResidentData[[#This Row],[Discharge '[mmm-yyyy']]]&gt;=AL$4)))))</f>
        <v>-</v>
      </c>
      <c r="AM184" s="121" t="str">
        <f ca="1">IF(AM$4&gt;NOW(),"-",IF(ISBLANK(Tbl_ResidentData[[#This Row],[Enrollment '[mmm-yyyy']]]),"-",AND((Tbl_ResidentData[[#This Row],[Enrollment '[mmm-yyyy']]]&lt;=AM$4),IF(ISBLANK(Tbl_ResidentData[[#This Row],[Discharge '[mmm-yyyy']]]),TRUE,(Tbl_ResidentData[[#This Row],[Discharge '[mmm-yyyy']]]&gt;=AM$4)))))</f>
        <v>-</v>
      </c>
      <c r="AN184" s="121" t="str">
        <f ca="1">IF(AN$4&gt;NOW(),"-",IF(ISBLANK(Tbl_ResidentData[[#This Row],[Enrollment '[mmm-yyyy']]]),"-",AND((Tbl_ResidentData[[#This Row],[Enrollment '[mmm-yyyy']]]&lt;=AN$4),IF(ISBLANK(Tbl_ResidentData[[#This Row],[Discharge '[mmm-yyyy']]]),TRUE,(Tbl_ResidentData[[#This Row],[Discharge '[mmm-yyyy']]]&gt;=AN$4)))))</f>
        <v>-</v>
      </c>
      <c r="AO184" s="121" t="str">
        <f ca="1">IF(AO$4&gt;NOW(),"-",IF(ISBLANK(Tbl_ResidentData[[#This Row],[Enrollment '[mmm-yyyy']]]),"-",AND((Tbl_ResidentData[[#This Row],[Enrollment '[mmm-yyyy']]]&lt;=AO$4),IF(ISBLANK(Tbl_ResidentData[[#This Row],[Discharge '[mmm-yyyy']]]),TRUE,(Tbl_ResidentData[[#This Row],[Discharge '[mmm-yyyy']]]&gt;=AO$4)))))</f>
        <v>-</v>
      </c>
      <c r="AP184" s="121" t="str">
        <f ca="1">IF(AP$4&gt;NOW(),"-",IF(ISBLANK(Tbl_ResidentData[[#This Row],[Enrollment '[mmm-yyyy']]]),"-",AND((Tbl_ResidentData[[#This Row],[Enrollment '[mmm-yyyy']]]&lt;=AP$4),IF(ISBLANK(Tbl_ResidentData[[#This Row],[Discharge '[mmm-yyyy']]]),TRUE,(Tbl_ResidentData[[#This Row],[Discharge '[mmm-yyyy']]]&gt;=AP$4)))))</f>
        <v>-</v>
      </c>
      <c r="AQ184" s="121" t="str">
        <f ca="1">IF(AQ$4&gt;NOW(),"-",IF(ISBLANK(Tbl_ResidentData[[#This Row],[Enrollment '[mmm-yyyy']]]),"-",AND((Tbl_ResidentData[[#This Row],[Enrollment '[mmm-yyyy']]]&lt;=AQ$4),IF(ISBLANK(Tbl_ResidentData[[#This Row],[Discharge '[mmm-yyyy']]]),TRUE,(Tbl_ResidentData[[#This Row],[Discharge '[mmm-yyyy']]]&gt;=AQ$4)))))</f>
        <v>-</v>
      </c>
      <c r="AR184" s="122" t="str">
        <f ca="1">IF(AR$4&gt;NOW(),"-",IF(ISBLANK(Tbl_ResidentData[[#This Row],[Enrollment '[mmm-yyyy']]]),"-",AND((Tbl_ResidentData[[#This Row],[Enrollment '[mmm-yyyy']]]&lt;=AR$4),IF(ISBLANK(Tbl_ResidentData[[#This Row],[Discharge '[mmm-yyyy']]]),TRUE,(Tbl_ResidentData[[#This Row],[Discharge '[mmm-yyyy']]]&gt;=AR$4)))))</f>
        <v>-</v>
      </c>
      <c r="AS18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4" s="120" t="b">
        <f ca="1">AND(Tbl_ResidentData[[#This Row],[PRN Med Started]]&lt;&gt;"",Tbl_ResidentData[[#This Row],[PRN Med Started]]&lt;=NOW(),Tbl_ResidentData[[#This Row],[PRN Med Started]]&lt;=AS$4,OR(Tbl_ResidentData[[#This Row],[PRN Med Discontinued]]&gt;AS$4,ISBLANK(Tbl_ResidentData[[#This Row],[PRN Med Discontinued]])))</f>
        <v>0</v>
      </c>
      <c r="BR184" s="121" t="b">
        <f ca="1">AND(Tbl_ResidentData[[#This Row],[PRN Med Started]]&lt;&gt;"",Tbl_ResidentData[[#This Row],[PRN Med Started]]&lt;=NOW(),Tbl_ResidentData[[#This Row],[PRN Med Started]]&lt;=AT$4,OR(Tbl_ResidentData[[#This Row],[PRN Med Discontinued]]&gt;AT$4,ISBLANK(Tbl_ResidentData[[#This Row],[PRN Med Discontinued]])))</f>
        <v>0</v>
      </c>
      <c r="BS184" s="121" t="b">
        <f ca="1">AND(Tbl_ResidentData[[#This Row],[PRN Med Started]]&lt;&gt;"",Tbl_ResidentData[[#This Row],[PRN Med Started]]&lt;=NOW(),Tbl_ResidentData[[#This Row],[PRN Med Started]]&lt;=AU$4,OR(Tbl_ResidentData[[#This Row],[PRN Med Discontinued]]&gt;AU$4,ISBLANK(Tbl_ResidentData[[#This Row],[PRN Med Discontinued]])))</f>
        <v>0</v>
      </c>
      <c r="BT184" s="121" t="b">
        <f ca="1">AND(Tbl_ResidentData[[#This Row],[PRN Med Started]]&lt;&gt;"",Tbl_ResidentData[[#This Row],[PRN Med Started]]&lt;=NOW(),Tbl_ResidentData[[#This Row],[PRN Med Started]]&lt;=AV$4,OR(Tbl_ResidentData[[#This Row],[PRN Med Discontinued]]&gt;AV$4,ISBLANK(Tbl_ResidentData[[#This Row],[PRN Med Discontinued]])))</f>
        <v>0</v>
      </c>
      <c r="BU184" s="121" t="b">
        <f ca="1">AND(Tbl_ResidentData[[#This Row],[PRN Med Started]]&lt;&gt;"",Tbl_ResidentData[[#This Row],[PRN Med Started]]&lt;=NOW(),Tbl_ResidentData[[#This Row],[PRN Med Started]]&lt;=AW$4,OR(Tbl_ResidentData[[#This Row],[PRN Med Discontinued]]&gt;AW$4,ISBLANK(Tbl_ResidentData[[#This Row],[PRN Med Discontinued]])))</f>
        <v>0</v>
      </c>
      <c r="BV184" s="121" t="b">
        <f ca="1">AND(Tbl_ResidentData[[#This Row],[PRN Med Started]]&lt;&gt;"",Tbl_ResidentData[[#This Row],[PRN Med Started]]&lt;=NOW(),Tbl_ResidentData[[#This Row],[PRN Med Started]]&lt;=AX$4,OR(Tbl_ResidentData[[#This Row],[PRN Med Discontinued]]&gt;AX$4,ISBLANK(Tbl_ResidentData[[#This Row],[PRN Med Discontinued]])))</f>
        <v>0</v>
      </c>
      <c r="BW184" s="121" t="b">
        <f ca="1">AND(Tbl_ResidentData[[#This Row],[PRN Med Started]]&lt;&gt;"",Tbl_ResidentData[[#This Row],[PRN Med Started]]&lt;=NOW(),Tbl_ResidentData[[#This Row],[PRN Med Started]]&lt;=AY$4,OR(Tbl_ResidentData[[#This Row],[PRN Med Discontinued]]&gt;AY$4,ISBLANK(Tbl_ResidentData[[#This Row],[PRN Med Discontinued]])))</f>
        <v>0</v>
      </c>
      <c r="BX184" s="121" t="b">
        <f ca="1">AND(Tbl_ResidentData[[#This Row],[PRN Med Started]]&lt;&gt;"",Tbl_ResidentData[[#This Row],[PRN Med Started]]&lt;=NOW(),Tbl_ResidentData[[#This Row],[PRN Med Started]]&lt;=AZ$4,OR(Tbl_ResidentData[[#This Row],[PRN Med Discontinued]]&gt;AZ$4,ISBLANK(Tbl_ResidentData[[#This Row],[PRN Med Discontinued]])))</f>
        <v>0</v>
      </c>
      <c r="BY184" s="121" t="b">
        <f ca="1">AND(Tbl_ResidentData[[#This Row],[PRN Med Started]]&lt;&gt;"",Tbl_ResidentData[[#This Row],[PRN Med Started]]&lt;=NOW(),Tbl_ResidentData[[#This Row],[PRN Med Started]]&lt;=BA$4,OR(Tbl_ResidentData[[#This Row],[PRN Med Discontinued]]&gt;BA$4,ISBLANK(Tbl_ResidentData[[#This Row],[PRN Med Discontinued]])))</f>
        <v>0</v>
      </c>
      <c r="BZ184" s="121" t="b">
        <f ca="1">AND(Tbl_ResidentData[[#This Row],[PRN Med Started]]&lt;&gt;"",Tbl_ResidentData[[#This Row],[PRN Med Started]]&lt;=NOW(),Tbl_ResidentData[[#This Row],[PRN Med Started]]&lt;=BB$4,OR(Tbl_ResidentData[[#This Row],[PRN Med Discontinued]]&gt;BB$4,ISBLANK(Tbl_ResidentData[[#This Row],[PRN Med Discontinued]])))</f>
        <v>0</v>
      </c>
      <c r="CA184" s="121" t="b">
        <f ca="1">AND(Tbl_ResidentData[[#This Row],[PRN Med Started]]&lt;&gt;"",Tbl_ResidentData[[#This Row],[PRN Med Started]]&lt;=NOW(),Tbl_ResidentData[[#This Row],[PRN Med Started]]&lt;=BC$4,OR(Tbl_ResidentData[[#This Row],[PRN Med Discontinued]]&gt;BC$4,ISBLANK(Tbl_ResidentData[[#This Row],[PRN Med Discontinued]])))</f>
        <v>0</v>
      </c>
      <c r="CB184" s="121" t="b">
        <f ca="1">AND(Tbl_ResidentData[[#This Row],[PRN Med Started]]&lt;&gt;"",Tbl_ResidentData[[#This Row],[PRN Med Started]]&lt;=NOW(),Tbl_ResidentData[[#This Row],[PRN Med Started]]&lt;=BD$4,OR(Tbl_ResidentData[[#This Row],[PRN Med Discontinued]]&gt;BD$4,ISBLANK(Tbl_ResidentData[[#This Row],[PRN Med Discontinued]])))</f>
        <v>0</v>
      </c>
      <c r="CC184" s="121" t="b">
        <f ca="1">AND(Tbl_ResidentData[[#This Row],[PRN Med Started]]&lt;&gt;"",Tbl_ResidentData[[#This Row],[PRN Med Started]]&lt;=NOW(),Tbl_ResidentData[[#This Row],[PRN Med Started]]&lt;=BE$4,OR(Tbl_ResidentData[[#This Row],[PRN Med Discontinued]]&gt;BE$4,ISBLANK(Tbl_ResidentData[[#This Row],[PRN Med Discontinued]])))</f>
        <v>0</v>
      </c>
      <c r="CD184" s="121" t="b">
        <f ca="1">AND(Tbl_ResidentData[[#This Row],[PRN Med Started]]&lt;&gt;"",Tbl_ResidentData[[#This Row],[PRN Med Started]]&lt;=NOW(),Tbl_ResidentData[[#This Row],[PRN Med Started]]&lt;=BF$4,OR(Tbl_ResidentData[[#This Row],[PRN Med Discontinued]]&gt;BF$4,ISBLANK(Tbl_ResidentData[[#This Row],[PRN Med Discontinued]])))</f>
        <v>0</v>
      </c>
      <c r="CE184" s="121" t="b">
        <f ca="1">AND(Tbl_ResidentData[[#This Row],[PRN Med Started]]&lt;&gt;"",Tbl_ResidentData[[#This Row],[PRN Med Started]]&lt;=NOW(),Tbl_ResidentData[[#This Row],[PRN Med Started]]&lt;=BG$4,OR(Tbl_ResidentData[[#This Row],[PRN Med Discontinued]]&gt;BG$4,ISBLANK(Tbl_ResidentData[[#This Row],[PRN Med Discontinued]])))</f>
        <v>0</v>
      </c>
      <c r="CF184" s="121" t="b">
        <f ca="1">AND(Tbl_ResidentData[[#This Row],[PRN Med Started]]&lt;&gt;"",Tbl_ResidentData[[#This Row],[PRN Med Started]]&lt;=NOW(),Tbl_ResidentData[[#This Row],[PRN Med Started]]&lt;=BH$4,OR(Tbl_ResidentData[[#This Row],[PRN Med Discontinued]]&gt;BH$4,ISBLANK(Tbl_ResidentData[[#This Row],[PRN Med Discontinued]])))</f>
        <v>0</v>
      </c>
      <c r="CG184" s="121" t="b">
        <f ca="1">AND(Tbl_ResidentData[[#This Row],[PRN Med Started]]&lt;&gt;"",Tbl_ResidentData[[#This Row],[PRN Med Started]]&lt;=NOW(),Tbl_ResidentData[[#This Row],[PRN Med Started]]&lt;=BI$4,OR(Tbl_ResidentData[[#This Row],[PRN Med Discontinued]]&gt;BI$4,ISBLANK(Tbl_ResidentData[[#This Row],[PRN Med Discontinued]])))</f>
        <v>0</v>
      </c>
      <c r="CH184" s="121" t="b">
        <f ca="1">AND(Tbl_ResidentData[[#This Row],[PRN Med Started]]&lt;&gt;"",Tbl_ResidentData[[#This Row],[PRN Med Started]]&lt;=NOW(),Tbl_ResidentData[[#This Row],[PRN Med Started]]&lt;=BJ$4,OR(Tbl_ResidentData[[#This Row],[PRN Med Discontinued]]&gt;BJ$4,ISBLANK(Tbl_ResidentData[[#This Row],[PRN Med Discontinued]])))</f>
        <v>0</v>
      </c>
      <c r="CI184" s="121" t="b">
        <f ca="1">AND(Tbl_ResidentData[[#This Row],[PRN Med Started]]&lt;&gt;"",Tbl_ResidentData[[#This Row],[PRN Med Started]]&lt;=NOW(),Tbl_ResidentData[[#This Row],[PRN Med Started]]&lt;=BK$4,OR(Tbl_ResidentData[[#This Row],[PRN Med Discontinued]]&gt;BK$4,ISBLANK(Tbl_ResidentData[[#This Row],[PRN Med Discontinued]])))</f>
        <v>0</v>
      </c>
      <c r="CJ184" s="121" t="b">
        <f ca="1">AND(Tbl_ResidentData[[#This Row],[PRN Med Started]]&lt;&gt;"",Tbl_ResidentData[[#This Row],[PRN Med Started]]&lt;=NOW(),Tbl_ResidentData[[#This Row],[PRN Med Started]]&lt;=BL$4,OR(Tbl_ResidentData[[#This Row],[PRN Med Discontinued]]&gt;BL$4,ISBLANK(Tbl_ResidentData[[#This Row],[PRN Med Discontinued]])))</f>
        <v>0</v>
      </c>
      <c r="CK184" s="121" t="b">
        <f ca="1">AND(Tbl_ResidentData[[#This Row],[PRN Med Started]]&lt;&gt;"",Tbl_ResidentData[[#This Row],[PRN Med Started]]&lt;=NOW(),Tbl_ResidentData[[#This Row],[PRN Med Started]]&lt;=BM$4,OR(Tbl_ResidentData[[#This Row],[PRN Med Discontinued]]&gt;BM$4,ISBLANK(Tbl_ResidentData[[#This Row],[PRN Med Discontinued]])))</f>
        <v>0</v>
      </c>
      <c r="CL184" s="121" t="b">
        <f ca="1">AND(Tbl_ResidentData[[#This Row],[PRN Med Started]]&lt;&gt;"",Tbl_ResidentData[[#This Row],[PRN Med Started]]&lt;=NOW(),Tbl_ResidentData[[#This Row],[PRN Med Started]]&lt;=BN$4,OR(Tbl_ResidentData[[#This Row],[PRN Med Discontinued]]&gt;BN$4,ISBLANK(Tbl_ResidentData[[#This Row],[PRN Med Discontinued]])))</f>
        <v>0</v>
      </c>
      <c r="CM184" s="121" t="b">
        <f ca="1">AND(Tbl_ResidentData[[#This Row],[PRN Med Started]]&lt;&gt;"",Tbl_ResidentData[[#This Row],[PRN Med Started]]&lt;=NOW(),Tbl_ResidentData[[#This Row],[PRN Med Started]]&lt;=BO$4,OR(Tbl_ResidentData[[#This Row],[PRN Med Discontinued]]&gt;BO$4,ISBLANK(Tbl_ResidentData[[#This Row],[PRN Med Discontinued]])))</f>
        <v>0</v>
      </c>
      <c r="CN184" s="122" t="b">
        <f ca="1">AND(Tbl_ResidentData[[#This Row],[PRN Med Started]]&lt;&gt;"",Tbl_ResidentData[[#This Row],[PRN Med Started]]&lt;=NOW(),Tbl_ResidentData[[#This Row],[PRN Med Started]]&lt;=BP$4,OR(Tbl_ResidentData[[#This Row],[PRN Med Discontinued]]&gt;BP$4,ISBLANK(Tbl_ResidentData[[#This Row],[PRN Med Discontinued]])))</f>
        <v>0</v>
      </c>
      <c r="CO184" s="120">
        <f ca="1">IF(OR(Tbl_ResidentData[[#This Row],[S1]]=TRUE,Tbl_ResidentData[[#This Row],[P1]]=TRUE),1,0)</f>
        <v>0</v>
      </c>
      <c r="CP184" s="121">
        <f ca="1">IF(OR(Tbl_ResidentData[[#This Row],[S2]]=TRUE,Tbl_ResidentData[[#This Row],[P2]]=TRUE),1,0)</f>
        <v>0</v>
      </c>
      <c r="CQ184" s="121">
        <f ca="1">IF(OR(Tbl_ResidentData[[#This Row],[S3]]=TRUE,Tbl_ResidentData[[#This Row],[P3]]=TRUE),1,0)</f>
        <v>0</v>
      </c>
      <c r="CR184" s="120">
        <f ca="1">IF(OR(Tbl_ResidentData[[#This Row],[S4]]=TRUE,Tbl_ResidentData[[#This Row],[P4]]=TRUE),1,0)</f>
        <v>0</v>
      </c>
      <c r="CS184" s="120">
        <f ca="1">IF(OR(Tbl_ResidentData[[#This Row],[S5]]=TRUE,Tbl_ResidentData[[#This Row],[P5]]=TRUE),1,0)</f>
        <v>0</v>
      </c>
      <c r="CT184" s="120">
        <f ca="1">IF(OR(Tbl_ResidentData[[#This Row],[S6]]=TRUE,Tbl_ResidentData[[#This Row],[P6]]=TRUE),1,0)</f>
        <v>0</v>
      </c>
      <c r="CU184" s="120">
        <f ca="1">IF(OR(Tbl_ResidentData[[#This Row],[S7]]=TRUE,Tbl_ResidentData[[#This Row],[P7]]=TRUE),1,0)</f>
        <v>0</v>
      </c>
      <c r="CV184" s="120">
        <f ca="1">IF(OR(Tbl_ResidentData[[#This Row],[S8]]=TRUE,Tbl_ResidentData[[#This Row],[P8]]=TRUE),1,0)</f>
        <v>0</v>
      </c>
      <c r="CW184" s="120">
        <f ca="1">IF(OR(Tbl_ResidentData[[#This Row],[S9]]=TRUE,Tbl_ResidentData[[#This Row],[P9]]=TRUE),1,0)</f>
        <v>0</v>
      </c>
      <c r="CX184" s="120">
        <f ca="1">IF(OR(Tbl_ResidentData[[#This Row],[S10]]=TRUE,Tbl_ResidentData[[#This Row],[P10]]=TRUE),1,0)</f>
        <v>0</v>
      </c>
      <c r="CY184" s="120">
        <f ca="1">IF(OR(Tbl_ResidentData[[#This Row],[S11]]=TRUE,Tbl_ResidentData[[#This Row],[P11]]=TRUE),1,0)</f>
        <v>0</v>
      </c>
      <c r="CZ184" s="120">
        <f ca="1">IF(OR(Tbl_ResidentData[[#This Row],[S12]]=TRUE,Tbl_ResidentData[[#This Row],[P12]]=TRUE),1,0)</f>
        <v>0</v>
      </c>
      <c r="DA184" s="120">
        <f ca="1">IF(OR(Tbl_ResidentData[[#This Row],[S13]]=TRUE,Tbl_ResidentData[[#This Row],[P13]]=TRUE),1,0)</f>
        <v>0</v>
      </c>
      <c r="DB184" s="120">
        <f ca="1">IF(OR(Tbl_ResidentData[[#This Row],[S14]]=TRUE,Tbl_ResidentData[[#This Row],[P14]]=TRUE),1,0)</f>
        <v>0</v>
      </c>
      <c r="DC184" s="120">
        <f ca="1">IF(OR(Tbl_ResidentData[[#This Row],[S15]]=TRUE,Tbl_ResidentData[[#This Row],[P15]]=TRUE),1,0)</f>
        <v>0</v>
      </c>
      <c r="DD184" s="120">
        <f ca="1">IF(OR(Tbl_ResidentData[[#This Row],[S16]]=TRUE,Tbl_ResidentData[[#This Row],[P16]]=TRUE),1,0)</f>
        <v>0</v>
      </c>
      <c r="DE184" s="120">
        <f ca="1">IF(OR(Tbl_ResidentData[[#This Row],[S17]]=TRUE,Tbl_ResidentData[[#This Row],[P17]]=TRUE),1,0)</f>
        <v>0</v>
      </c>
      <c r="DF184" s="120">
        <f ca="1">IF(OR(Tbl_ResidentData[[#This Row],[S18]]=TRUE,Tbl_ResidentData[[#This Row],[P18]]=TRUE),1,0)</f>
        <v>0</v>
      </c>
      <c r="DG184" s="120">
        <f ca="1">IF(OR(Tbl_ResidentData[[#This Row],[S19]]=TRUE,Tbl_ResidentData[[#This Row],[P19]]=TRUE),1,0)</f>
        <v>0</v>
      </c>
      <c r="DH184" s="120">
        <f ca="1">IF(OR(Tbl_ResidentData[[#This Row],[S20]]=TRUE,Tbl_ResidentData[[#This Row],[P20]]=TRUE),1,0)</f>
        <v>0</v>
      </c>
      <c r="DI184" s="120">
        <f ca="1">IF(OR(Tbl_ResidentData[[#This Row],[S21]]=TRUE,Tbl_ResidentData[[#This Row],[P21]]=TRUE),1,0)</f>
        <v>0</v>
      </c>
      <c r="DJ184" s="120">
        <f ca="1">IF(OR(Tbl_ResidentData[[#This Row],[S22]]=TRUE,Tbl_ResidentData[[#This Row],[P22]]=TRUE),1,0)</f>
        <v>0</v>
      </c>
      <c r="DK184" s="120">
        <f ca="1">IF(OR(Tbl_ResidentData[[#This Row],[S23]]=TRUE,Tbl_ResidentData[[#This Row],[P23]]=TRUE),1,0)</f>
        <v>0</v>
      </c>
      <c r="DL184" s="120">
        <f ca="1">IF(OR(Tbl_ResidentData[[#This Row],[S24]]=TRUE,Tbl_ResidentData[[#This Row],[P24]]=TRUE),1,0)</f>
        <v>0</v>
      </c>
      <c r="DM184" s="123" t="str">
        <f ca="1">IFERROR(INDEX($CO$4:$DL$4,MATCH(TRUE,INDEX((Tbl_ResidentData[[#This Row],[Over1]:[Over24]]&lt;&gt;0),0),0)),"")</f>
        <v/>
      </c>
      <c r="DN184" s="133" t="str">
        <f>IFERROR(INDEX(Tbl_PDSAData[Last DRT],MATCH(Tbl_ResidentData[Resident Name '[last, first']],Tbl_PDSAData[Resident Name (last, first)],0)),"")</f>
        <v/>
      </c>
      <c r="DO184" s="222" t="str">
        <f>IFERROR(INDEX(Tbl_PDSAData[Last MR],MATCH(Tbl_ResidentData[Resident Name '[last, first']],Tbl_PDSAData[Resident Name (last, first)],0)),"")</f>
        <v/>
      </c>
    </row>
    <row r="185" spans="1:119" x14ac:dyDescent="0.25">
      <c r="A185" s="179"/>
      <c r="B185" s="180"/>
      <c r="C185" s="180"/>
      <c r="D185" s="218"/>
      <c r="E185" s="179"/>
      <c r="F185" s="179"/>
      <c r="G185" s="181"/>
      <c r="H185" s="375"/>
      <c r="I185" s="185"/>
      <c r="J185" s="387"/>
      <c r="K185" s="178"/>
      <c r="L185" s="388"/>
      <c r="M185" s="185"/>
      <c r="N185" s="386"/>
      <c r="O185" s="178"/>
      <c r="P185" s="388"/>
      <c r="Q185" s="395"/>
      <c r="R185" s="396"/>
      <c r="S185" s="131" t="str">
        <f>IF(ISBLANK(Tbl_ResidentData[[#This Row],[Discharge '[mmm-yyyy']]]),IF(ISBLANK(Tbl_ResidentData[[#This Row],[Enrollment '[mmm-yyyy']]]),"","In Care Home"),"Discharged")</f>
        <v/>
      </c>
      <c r="T185" s="119" t="str">
        <f>IF(ISBLANK(Tbl_ResidentData[[#This Row],[Diagnosis (RAI)]]),IF(ISBLANK(Tbl_ResidentData[[#This Row],[Resident Name '[last, first']]]),"",0),IF(Tbl_ResidentData[[#This Row],[Diagnosis (RAI)]]="Other (see clinical notes)",0,1))</f>
        <v/>
      </c>
      <c r="U185" s="120" t="str">
        <f ca="1">IF(U$4&gt;NOW(),"-",IF(ISBLANK(Tbl_ResidentData[[#This Row],[Enrollment '[mmm-yyyy']]]),"-",AND((Tbl_ResidentData[[#This Row],[Enrollment '[mmm-yyyy']]]&lt;=U$4),IF(ISBLANK(Tbl_ResidentData[[#This Row],[Discharge '[mmm-yyyy']]]),TRUE,(Tbl_ResidentData[[#This Row],[Discharge '[mmm-yyyy']]]&gt;=U$4)))))</f>
        <v>-</v>
      </c>
      <c r="V185" s="121" t="str">
        <f ca="1">IF(V$4&gt;NOW(),"-",IF(ISBLANK(Tbl_ResidentData[[#This Row],[Enrollment '[mmm-yyyy']]]),"-",AND((Tbl_ResidentData[[#This Row],[Enrollment '[mmm-yyyy']]]&lt;=V$4),IF(ISBLANK(Tbl_ResidentData[[#This Row],[Discharge '[mmm-yyyy']]]),TRUE,(Tbl_ResidentData[[#This Row],[Discharge '[mmm-yyyy']]]&gt;=V$4)))))</f>
        <v>-</v>
      </c>
      <c r="W185" s="121" t="str">
        <f ca="1">IF(W$4&gt;NOW(),"-",IF(ISBLANK(Tbl_ResidentData[[#This Row],[Enrollment '[mmm-yyyy']]]),"-",AND((Tbl_ResidentData[[#This Row],[Enrollment '[mmm-yyyy']]]&lt;=W$4),IF(ISBLANK(Tbl_ResidentData[[#This Row],[Discharge '[mmm-yyyy']]]),TRUE,(Tbl_ResidentData[[#This Row],[Discharge '[mmm-yyyy']]]&gt;=W$4)))))</f>
        <v>-</v>
      </c>
      <c r="X185" s="121" t="str">
        <f ca="1">IF(X$4&gt;NOW(),"-",IF(ISBLANK(Tbl_ResidentData[[#This Row],[Enrollment '[mmm-yyyy']]]),"-",AND((Tbl_ResidentData[[#This Row],[Enrollment '[mmm-yyyy']]]&lt;=X$4),IF(ISBLANK(Tbl_ResidentData[[#This Row],[Discharge '[mmm-yyyy']]]),TRUE,(Tbl_ResidentData[[#This Row],[Discharge '[mmm-yyyy']]]&gt;=X$4)))))</f>
        <v>-</v>
      </c>
      <c r="Y185" s="121" t="str">
        <f ca="1">IF(Y$4&gt;NOW(),"-",IF(ISBLANK(Tbl_ResidentData[[#This Row],[Enrollment '[mmm-yyyy']]]),"-",AND((Tbl_ResidentData[[#This Row],[Enrollment '[mmm-yyyy']]]&lt;=Y$4),IF(ISBLANK(Tbl_ResidentData[[#This Row],[Discharge '[mmm-yyyy']]]),TRUE,(Tbl_ResidentData[[#This Row],[Discharge '[mmm-yyyy']]]&gt;=Y$4)))))</f>
        <v>-</v>
      </c>
      <c r="Z185" s="121" t="str">
        <f ca="1">IF(Z$4&gt;NOW(),"-",IF(ISBLANK(Tbl_ResidentData[[#This Row],[Enrollment '[mmm-yyyy']]]),"-",AND((Tbl_ResidentData[[#This Row],[Enrollment '[mmm-yyyy']]]&lt;=Z$4),IF(ISBLANK(Tbl_ResidentData[[#This Row],[Discharge '[mmm-yyyy']]]),TRUE,(Tbl_ResidentData[[#This Row],[Discharge '[mmm-yyyy']]]&gt;=Z$4)))))</f>
        <v>-</v>
      </c>
      <c r="AA185" s="121" t="str">
        <f ca="1">IF(AA$4&gt;NOW(),"-",IF(ISBLANK(Tbl_ResidentData[[#This Row],[Enrollment '[mmm-yyyy']]]),"-",AND((Tbl_ResidentData[[#This Row],[Enrollment '[mmm-yyyy']]]&lt;=AA$4),IF(ISBLANK(Tbl_ResidentData[[#This Row],[Discharge '[mmm-yyyy']]]),TRUE,(Tbl_ResidentData[[#This Row],[Discharge '[mmm-yyyy']]]&gt;=AA$4)))))</f>
        <v>-</v>
      </c>
      <c r="AB185" s="121" t="str">
        <f ca="1">IF(AB$4&gt;NOW(),"-",IF(ISBLANK(Tbl_ResidentData[[#This Row],[Enrollment '[mmm-yyyy']]]),"-",AND((Tbl_ResidentData[[#This Row],[Enrollment '[mmm-yyyy']]]&lt;=AB$4),IF(ISBLANK(Tbl_ResidentData[[#This Row],[Discharge '[mmm-yyyy']]]),TRUE,(Tbl_ResidentData[[#This Row],[Discharge '[mmm-yyyy']]]&gt;=AB$4)))))</f>
        <v>-</v>
      </c>
      <c r="AC185" s="121" t="str">
        <f ca="1">IF(AC$4&gt;NOW(),"-",IF(ISBLANK(Tbl_ResidentData[[#This Row],[Enrollment '[mmm-yyyy']]]),"-",AND((Tbl_ResidentData[[#This Row],[Enrollment '[mmm-yyyy']]]&lt;=AC$4),IF(ISBLANK(Tbl_ResidentData[[#This Row],[Discharge '[mmm-yyyy']]]),TRUE,(Tbl_ResidentData[[#This Row],[Discharge '[mmm-yyyy']]]&gt;=AC$4)))))</f>
        <v>-</v>
      </c>
      <c r="AD185" s="121" t="str">
        <f ca="1">IF(AD$4&gt;NOW(),"-",IF(ISBLANK(Tbl_ResidentData[[#This Row],[Enrollment '[mmm-yyyy']]]),"-",AND((Tbl_ResidentData[[#This Row],[Enrollment '[mmm-yyyy']]]&lt;=AD$4),IF(ISBLANK(Tbl_ResidentData[[#This Row],[Discharge '[mmm-yyyy']]]),TRUE,(Tbl_ResidentData[[#This Row],[Discharge '[mmm-yyyy']]]&gt;=AD$4)))))</f>
        <v>-</v>
      </c>
      <c r="AE185" s="121" t="str">
        <f ca="1">IF(AE$4&gt;NOW(),"-",IF(ISBLANK(Tbl_ResidentData[[#This Row],[Enrollment '[mmm-yyyy']]]),"-",AND((Tbl_ResidentData[[#This Row],[Enrollment '[mmm-yyyy']]]&lt;=AE$4),IF(ISBLANK(Tbl_ResidentData[[#This Row],[Discharge '[mmm-yyyy']]]),TRUE,(Tbl_ResidentData[[#This Row],[Discharge '[mmm-yyyy']]]&gt;=AE$4)))))</f>
        <v>-</v>
      </c>
      <c r="AF185" s="121" t="str">
        <f ca="1">IF(AF$4&gt;NOW(),"-",IF(ISBLANK(Tbl_ResidentData[[#This Row],[Enrollment '[mmm-yyyy']]]),"-",AND((Tbl_ResidentData[[#This Row],[Enrollment '[mmm-yyyy']]]&lt;=AF$4),IF(ISBLANK(Tbl_ResidentData[[#This Row],[Discharge '[mmm-yyyy']]]),TRUE,(Tbl_ResidentData[[#This Row],[Discharge '[mmm-yyyy']]]&gt;=AF$4)))))</f>
        <v>-</v>
      </c>
      <c r="AG185" s="121" t="str">
        <f ca="1">IF(AG$4&gt;NOW(),"-",IF(ISBLANK(Tbl_ResidentData[[#This Row],[Enrollment '[mmm-yyyy']]]),"-",AND((Tbl_ResidentData[[#This Row],[Enrollment '[mmm-yyyy']]]&lt;=AG$4),IF(ISBLANK(Tbl_ResidentData[[#This Row],[Discharge '[mmm-yyyy']]]),TRUE,(Tbl_ResidentData[[#This Row],[Discharge '[mmm-yyyy']]]&gt;=AG$4)))))</f>
        <v>-</v>
      </c>
      <c r="AH185" s="121" t="str">
        <f ca="1">IF(AH$4&gt;NOW(),"-",IF(ISBLANK(Tbl_ResidentData[[#This Row],[Enrollment '[mmm-yyyy']]]),"-",AND((Tbl_ResidentData[[#This Row],[Enrollment '[mmm-yyyy']]]&lt;=AH$4),IF(ISBLANK(Tbl_ResidentData[[#This Row],[Discharge '[mmm-yyyy']]]),TRUE,(Tbl_ResidentData[[#This Row],[Discharge '[mmm-yyyy']]]&gt;=AH$4)))))</f>
        <v>-</v>
      </c>
      <c r="AI185" s="121" t="str">
        <f ca="1">IF(AI$4&gt;NOW(),"-",IF(ISBLANK(Tbl_ResidentData[[#This Row],[Enrollment '[mmm-yyyy']]]),"-",AND((Tbl_ResidentData[[#This Row],[Enrollment '[mmm-yyyy']]]&lt;=AI$4),IF(ISBLANK(Tbl_ResidentData[[#This Row],[Discharge '[mmm-yyyy']]]),TRUE,(Tbl_ResidentData[[#This Row],[Discharge '[mmm-yyyy']]]&gt;=AI$4)))))</f>
        <v>-</v>
      </c>
      <c r="AJ185" s="121" t="str">
        <f ca="1">IF(AJ$4&gt;NOW(),"-",IF(ISBLANK(Tbl_ResidentData[[#This Row],[Enrollment '[mmm-yyyy']]]),"-",AND((Tbl_ResidentData[[#This Row],[Enrollment '[mmm-yyyy']]]&lt;=AJ$4),IF(ISBLANK(Tbl_ResidentData[[#This Row],[Discharge '[mmm-yyyy']]]),TRUE,(Tbl_ResidentData[[#This Row],[Discharge '[mmm-yyyy']]]&gt;=AJ$4)))))</f>
        <v>-</v>
      </c>
      <c r="AK185" s="121" t="str">
        <f ca="1">IF(AK$4&gt;NOW(),"-",IF(ISBLANK(Tbl_ResidentData[[#This Row],[Enrollment '[mmm-yyyy']]]),"-",AND((Tbl_ResidentData[[#This Row],[Enrollment '[mmm-yyyy']]]&lt;=AK$4),IF(ISBLANK(Tbl_ResidentData[[#This Row],[Discharge '[mmm-yyyy']]]),TRUE,(Tbl_ResidentData[[#This Row],[Discharge '[mmm-yyyy']]]&gt;=AK$4)))))</f>
        <v>-</v>
      </c>
      <c r="AL185" s="121" t="str">
        <f ca="1">IF(AL$4&gt;NOW(),"-",IF(ISBLANK(Tbl_ResidentData[[#This Row],[Enrollment '[mmm-yyyy']]]),"-",AND((Tbl_ResidentData[[#This Row],[Enrollment '[mmm-yyyy']]]&lt;=AL$4),IF(ISBLANK(Tbl_ResidentData[[#This Row],[Discharge '[mmm-yyyy']]]),TRUE,(Tbl_ResidentData[[#This Row],[Discharge '[mmm-yyyy']]]&gt;=AL$4)))))</f>
        <v>-</v>
      </c>
      <c r="AM185" s="121" t="str">
        <f ca="1">IF(AM$4&gt;NOW(),"-",IF(ISBLANK(Tbl_ResidentData[[#This Row],[Enrollment '[mmm-yyyy']]]),"-",AND((Tbl_ResidentData[[#This Row],[Enrollment '[mmm-yyyy']]]&lt;=AM$4),IF(ISBLANK(Tbl_ResidentData[[#This Row],[Discharge '[mmm-yyyy']]]),TRUE,(Tbl_ResidentData[[#This Row],[Discharge '[mmm-yyyy']]]&gt;=AM$4)))))</f>
        <v>-</v>
      </c>
      <c r="AN185" s="121" t="str">
        <f ca="1">IF(AN$4&gt;NOW(),"-",IF(ISBLANK(Tbl_ResidentData[[#This Row],[Enrollment '[mmm-yyyy']]]),"-",AND((Tbl_ResidentData[[#This Row],[Enrollment '[mmm-yyyy']]]&lt;=AN$4),IF(ISBLANK(Tbl_ResidentData[[#This Row],[Discharge '[mmm-yyyy']]]),TRUE,(Tbl_ResidentData[[#This Row],[Discharge '[mmm-yyyy']]]&gt;=AN$4)))))</f>
        <v>-</v>
      </c>
      <c r="AO185" s="121" t="str">
        <f ca="1">IF(AO$4&gt;NOW(),"-",IF(ISBLANK(Tbl_ResidentData[[#This Row],[Enrollment '[mmm-yyyy']]]),"-",AND((Tbl_ResidentData[[#This Row],[Enrollment '[mmm-yyyy']]]&lt;=AO$4),IF(ISBLANK(Tbl_ResidentData[[#This Row],[Discharge '[mmm-yyyy']]]),TRUE,(Tbl_ResidentData[[#This Row],[Discharge '[mmm-yyyy']]]&gt;=AO$4)))))</f>
        <v>-</v>
      </c>
      <c r="AP185" s="121" t="str">
        <f ca="1">IF(AP$4&gt;NOW(),"-",IF(ISBLANK(Tbl_ResidentData[[#This Row],[Enrollment '[mmm-yyyy']]]),"-",AND((Tbl_ResidentData[[#This Row],[Enrollment '[mmm-yyyy']]]&lt;=AP$4),IF(ISBLANK(Tbl_ResidentData[[#This Row],[Discharge '[mmm-yyyy']]]),TRUE,(Tbl_ResidentData[[#This Row],[Discharge '[mmm-yyyy']]]&gt;=AP$4)))))</f>
        <v>-</v>
      </c>
      <c r="AQ185" s="121" t="str">
        <f ca="1">IF(AQ$4&gt;NOW(),"-",IF(ISBLANK(Tbl_ResidentData[[#This Row],[Enrollment '[mmm-yyyy']]]),"-",AND((Tbl_ResidentData[[#This Row],[Enrollment '[mmm-yyyy']]]&lt;=AQ$4),IF(ISBLANK(Tbl_ResidentData[[#This Row],[Discharge '[mmm-yyyy']]]),TRUE,(Tbl_ResidentData[[#This Row],[Discharge '[mmm-yyyy']]]&gt;=AQ$4)))))</f>
        <v>-</v>
      </c>
      <c r="AR185" s="122" t="str">
        <f ca="1">IF(AR$4&gt;NOW(),"-",IF(ISBLANK(Tbl_ResidentData[[#This Row],[Enrollment '[mmm-yyyy']]]),"-",AND((Tbl_ResidentData[[#This Row],[Enrollment '[mmm-yyyy']]]&lt;=AR$4),IF(ISBLANK(Tbl_ResidentData[[#This Row],[Discharge '[mmm-yyyy']]]),TRUE,(Tbl_ResidentData[[#This Row],[Discharge '[mmm-yyyy']]]&gt;=AR$4)))))</f>
        <v>-</v>
      </c>
      <c r="AS18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5" s="120" t="b">
        <f ca="1">AND(Tbl_ResidentData[[#This Row],[PRN Med Started]]&lt;&gt;"",Tbl_ResidentData[[#This Row],[PRN Med Started]]&lt;=NOW(),Tbl_ResidentData[[#This Row],[PRN Med Started]]&lt;=AS$4,OR(Tbl_ResidentData[[#This Row],[PRN Med Discontinued]]&gt;AS$4,ISBLANK(Tbl_ResidentData[[#This Row],[PRN Med Discontinued]])))</f>
        <v>0</v>
      </c>
      <c r="BR185" s="121" t="b">
        <f ca="1">AND(Tbl_ResidentData[[#This Row],[PRN Med Started]]&lt;&gt;"",Tbl_ResidentData[[#This Row],[PRN Med Started]]&lt;=NOW(),Tbl_ResidentData[[#This Row],[PRN Med Started]]&lt;=AT$4,OR(Tbl_ResidentData[[#This Row],[PRN Med Discontinued]]&gt;AT$4,ISBLANK(Tbl_ResidentData[[#This Row],[PRN Med Discontinued]])))</f>
        <v>0</v>
      </c>
      <c r="BS185" s="121" t="b">
        <f ca="1">AND(Tbl_ResidentData[[#This Row],[PRN Med Started]]&lt;&gt;"",Tbl_ResidentData[[#This Row],[PRN Med Started]]&lt;=NOW(),Tbl_ResidentData[[#This Row],[PRN Med Started]]&lt;=AU$4,OR(Tbl_ResidentData[[#This Row],[PRN Med Discontinued]]&gt;AU$4,ISBLANK(Tbl_ResidentData[[#This Row],[PRN Med Discontinued]])))</f>
        <v>0</v>
      </c>
      <c r="BT185" s="121" t="b">
        <f ca="1">AND(Tbl_ResidentData[[#This Row],[PRN Med Started]]&lt;&gt;"",Tbl_ResidentData[[#This Row],[PRN Med Started]]&lt;=NOW(),Tbl_ResidentData[[#This Row],[PRN Med Started]]&lt;=AV$4,OR(Tbl_ResidentData[[#This Row],[PRN Med Discontinued]]&gt;AV$4,ISBLANK(Tbl_ResidentData[[#This Row],[PRN Med Discontinued]])))</f>
        <v>0</v>
      </c>
      <c r="BU185" s="121" t="b">
        <f ca="1">AND(Tbl_ResidentData[[#This Row],[PRN Med Started]]&lt;&gt;"",Tbl_ResidentData[[#This Row],[PRN Med Started]]&lt;=NOW(),Tbl_ResidentData[[#This Row],[PRN Med Started]]&lt;=AW$4,OR(Tbl_ResidentData[[#This Row],[PRN Med Discontinued]]&gt;AW$4,ISBLANK(Tbl_ResidentData[[#This Row],[PRN Med Discontinued]])))</f>
        <v>0</v>
      </c>
      <c r="BV185" s="121" t="b">
        <f ca="1">AND(Tbl_ResidentData[[#This Row],[PRN Med Started]]&lt;&gt;"",Tbl_ResidentData[[#This Row],[PRN Med Started]]&lt;=NOW(),Tbl_ResidentData[[#This Row],[PRN Med Started]]&lt;=AX$4,OR(Tbl_ResidentData[[#This Row],[PRN Med Discontinued]]&gt;AX$4,ISBLANK(Tbl_ResidentData[[#This Row],[PRN Med Discontinued]])))</f>
        <v>0</v>
      </c>
      <c r="BW185" s="121" t="b">
        <f ca="1">AND(Tbl_ResidentData[[#This Row],[PRN Med Started]]&lt;&gt;"",Tbl_ResidentData[[#This Row],[PRN Med Started]]&lt;=NOW(),Tbl_ResidentData[[#This Row],[PRN Med Started]]&lt;=AY$4,OR(Tbl_ResidentData[[#This Row],[PRN Med Discontinued]]&gt;AY$4,ISBLANK(Tbl_ResidentData[[#This Row],[PRN Med Discontinued]])))</f>
        <v>0</v>
      </c>
      <c r="BX185" s="121" t="b">
        <f ca="1">AND(Tbl_ResidentData[[#This Row],[PRN Med Started]]&lt;&gt;"",Tbl_ResidentData[[#This Row],[PRN Med Started]]&lt;=NOW(),Tbl_ResidentData[[#This Row],[PRN Med Started]]&lt;=AZ$4,OR(Tbl_ResidentData[[#This Row],[PRN Med Discontinued]]&gt;AZ$4,ISBLANK(Tbl_ResidentData[[#This Row],[PRN Med Discontinued]])))</f>
        <v>0</v>
      </c>
      <c r="BY185" s="121" t="b">
        <f ca="1">AND(Tbl_ResidentData[[#This Row],[PRN Med Started]]&lt;&gt;"",Tbl_ResidentData[[#This Row],[PRN Med Started]]&lt;=NOW(),Tbl_ResidentData[[#This Row],[PRN Med Started]]&lt;=BA$4,OR(Tbl_ResidentData[[#This Row],[PRN Med Discontinued]]&gt;BA$4,ISBLANK(Tbl_ResidentData[[#This Row],[PRN Med Discontinued]])))</f>
        <v>0</v>
      </c>
      <c r="BZ185" s="121" t="b">
        <f ca="1">AND(Tbl_ResidentData[[#This Row],[PRN Med Started]]&lt;&gt;"",Tbl_ResidentData[[#This Row],[PRN Med Started]]&lt;=NOW(),Tbl_ResidentData[[#This Row],[PRN Med Started]]&lt;=BB$4,OR(Tbl_ResidentData[[#This Row],[PRN Med Discontinued]]&gt;BB$4,ISBLANK(Tbl_ResidentData[[#This Row],[PRN Med Discontinued]])))</f>
        <v>0</v>
      </c>
      <c r="CA185" s="121" t="b">
        <f ca="1">AND(Tbl_ResidentData[[#This Row],[PRN Med Started]]&lt;&gt;"",Tbl_ResidentData[[#This Row],[PRN Med Started]]&lt;=NOW(),Tbl_ResidentData[[#This Row],[PRN Med Started]]&lt;=BC$4,OR(Tbl_ResidentData[[#This Row],[PRN Med Discontinued]]&gt;BC$4,ISBLANK(Tbl_ResidentData[[#This Row],[PRN Med Discontinued]])))</f>
        <v>0</v>
      </c>
      <c r="CB185" s="121" t="b">
        <f ca="1">AND(Tbl_ResidentData[[#This Row],[PRN Med Started]]&lt;&gt;"",Tbl_ResidentData[[#This Row],[PRN Med Started]]&lt;=NOW(),Tbl_ResidentData[[#This Row],[PRN Med Started]]&lt;=BD$4,OR(Tbl_ResidentData[[#This Row],[PRN Med Discontinued]]&gt;BD$4,ISBLANK(Tbl_ResidentData[[#This Row],[PRN Med Discontinued]])))</f>
        <v>0</v>
      </c>
      <c r="CC185" s="121" t="b">
        <f ca="1">AND(Tbl_ResidentData[[#This Row],[PRN Med Started]]&lt;&gt;"",Tbl_ResidentData[[#This Row],[PRN Med Started]]&lt;=NOW(),Tbl_ResidentData[[#This Row],[PRN Med Started]]&lt;=BE$4,OR(Tbl_ResidentData[[#This Row],[PRN Med Discontinued]]&gt;BE$4,ISBLANK(Tbl_ResidentData[[#This Row],[PRN Med Discontinued]])))</f>
        <v>0</v>
      </c>
      <c r="CD185" s="121" t="b">
        <f ca="1">AND(Tbl_ResidentData[[#This Row],[PRN Med Started]]&lt;&gt;"",Tbl_ResidentData[[#This Row],[PRN Med Started]]&lt;=NOW(),Tbl_ResidentData[[#This Row],[PRN Med Started]]&lt;=BF$4,OR(Tbl_ResidentData[[#This Row],[PRN Med Discontinued]]&gt;BF$4,ISBLANK(Tbl_ResidentData[[#This Row],[PRN Med Discontinued]])))</f>
        <v>0</v>
      </c>
      <c r="CE185" s="121" t="b">
        <f ca="1">AND(Tbl_ResidentData[[#This Row],[PRN Med Started]]&lt;&gt;"",Tbl_ResidentData[[#This Row],[PRN Med Started]]&lt;=NOW(),Tbl_ResidentData[[#This Row],[PRN Med Started]]&lt;=BG$4,OR(Tbl_ResidentData[[#This Row],[PRN Med Discontinued]]&gt;BG$4,ISBLANK(Tbl_ResidentData[[#This Row],[PRN Med Discontinued]])))</f>
        <v>0</v>
      </c>
      <c r="CF185" s="121" t="b">
        <f ca="1">AND(Tbl_ResidentData[[#This Row],[PRN Med Started]]&lt;&gt;"",Tbl_ResidentData[[#This Row],[PRN Med Started]]&lt;=NOW(),Tbl_ResidentData[[#This Row],[PRN Med Started]]&lt;=BH$4,OR(Tbl_ResidentData[[#This Row],[PRN Med Discontinued]]&gt;BH$4,ISBLANK(Tbl_ResidentData[[#This Row],[PRN Med Discontinued]])))</f>
        <v>0</v>
      </c>
      <c r="CG185" s="121" t="b">
        <f ca="1">AND(Tbl_ResidentData[[#This Row],[PRN Med Started]]&lt;&gt;"",Tbl_ResidentData[[#This Row],[PRN Med Started]]&lt;=NOW(),Tbl_ResidentData[[#This Row],[PRN Med Started]]&lt;=BI$4,OR(Tbl_ResidentData[[#This Row],[PRN Med Discontinued]]&gt;BI$4,ISBLANK(Tbl_ResidentData[[#This Row],[PRN Med Discontinued]])))</f>
        <v>0</v>
      </c>
      <c r="CH185" s="121" t="b">
        <f ca="1">AND(Tbl_ResidentData[[#This Row],[PRN Med Started]]&lt;&gt;"",Tbl_ResidentData[[#This Row],[PRN Med Started]]&lt;=NOW(),Tbl_ResidentData[[#This Row],[PRN Med Started]]&lt;=BJ$4,OR(Tbl_ResidentData[[#This Row],[PRN Med Discontinued]]&gt;BJ$4,ISBLANK(Tbl_ResidentData[[#This Row],[PRN Med Discontinued]])))</f>
        <v>0</v>
      </c>
      <c r="CI185" s="121" t="b">
        <f ca="1">AND(Tbl_ResidentData[[#This Row],[PRN Med Started]]&lt;&gt;"",Tbl_ResidentData[[#This Row],[PRN Med Started]]&lt;=NOW(),Tbl_ResidentData[[#This Row],[PRN Med Started]]&lt;=BK$4,OR(Tbl_ResidentData[[#This Row],[PRN Med Discontinued]]&gt;BK$4,ISBLANK(Tbl_ResidentData[[#This Row],[PRN Med Discontinued]])))</f>
        <v>0</v>
      </c>
      <c r="CJ185" s="121" t="b">
        <f ca="1">AND(Tbl_ResidentData[[#This Row],[PRN Med Started]]&lt;&gt;"",Tbl_ResidentData[[#This Row],[PRN Med Started]]&lt;=NOW(),Tbl_ResidentData[[#This Row],[PRN Med Started]]&lt;=BL$4,OR(Tbl_ResidentData[[#This Row],[PRN Med Discontinued]]&gt;BL$4,ISBLANK(Tbl_ResidentData[[#This Row],[PRN Med Discontinued]])))</f>
        <v>0</v>
      </c>
      <c r="CK185" s="121" t="b">
        <f ca="1">AND(Tbl_ResidentData[[#This Row],[PRN Med Started]]&lt;&gt;"",Tbl_ResidentData[[#This Row],[PRN Med Started]]&lt;=NOW(),Tbl_ResidentData[[#This Row],[PRN Med Started]]&lt;=BM$4,OR(Tbl_ResidentData[[#This Row],[PRN Med Discontinued]]&gt;BM$4,ISBLANK(Tbl_ResidentData[[#This Row],[PRN Med Discontinued]])))</f>
        <v>0</v>
      </c>
      <c r="CL185" s="121" t="b">
        <f ca="1">AND(Tbl_ResidentData[[#This Row],[PRN Med Started]]&lt;&gt;"",Tbl_ResidentData[[#This Row],[PRN Med Started]]&lt;=NOW(),Tbl_ResidentData[[#This Row],[PRN Med Started]]&lt;=BN$4,OR(Tbl_ResidentData[[#This Row],[PRN Med Discontinued]]&gt;BN$4,ISBLANK(Tbl_ResidentData[[#This Row],[PRN Med Discontinued]])))</f>
        <v>0</v>
      </c>
      <c r="CM185" s="121" t="b">
        <f ca="1">AND(Tbl_ResidentData[[#This Row],[PRN Med Started]]&lt;&gt;"",Tbl_ResidentData[[#This Row],[PRN Med Started]]&lt;=NOW(),Tbl_ResidentData[[#This Row],[PRN Med Started]]&lt;=BO$4,OR(Tbl_ResidentData[[#This Row],[PRN Med Discontinued]]&gt;BO$4,ISBLANK(Tbl_ResidentData[[#This Row],[PRN Med Discontinued]])))</f>
        <v>0</v>
      </c>
      <c r="CN185" s="122" t="b">
        <f ca="1">AND(Tbl_ResidentData[[#This Row],[PRN Med Started]]&lt;&gt;"",Tbl_ResidentData[[#This Row],[PRN Med Started]]&lt;=NOW(),Tbl_ResidentData[[#This Row],[PRN Med Started]]&lt;=BP$4,OR(Tbl_ResidentData[[#This Row],[PRN Med Discontinued]]&gt;BP$4,ISBLANK(Tbl_ResidentData[[#This Row],[PRN Med Discontinued]])))</f>
        <v>0</v>
      </c>
      <c r="CO185" s="120">
        <f ca="1">IF(OR(Tbl_ResidentData[[#This Row],[S1]]=TRUE,Tbl_ResidentData[[#This Row],[P1]]=TRUE),1,0)</f>
        <v>0</v>
      </c>
      <c r="CP185" s="121">
        <f ca="1">IF(OR(Tbl_ResidentData[[#This Row],[S2]]=TRUE,Tbl_ResidentData[[#This Row],[P2]]=TRUE),1,0)</f>
        <v>0</v>
      </c>
      <c r="CQ185" s="121">
        <f ca="1">IF(OR(Tbl_ResidentData[[#This Row],[S3]]=TRUE,Tbl_ResidentData[[#This Row],[P3]]=TRUE),1,0)</f>
        <v>0</v>
      </c>
      <c r="CR185" s="120">
        <f ca="1">IF(OR(Tbl_ResidentData[[#This Row],[S4]]=TRUE,Tbl_ResidentData[[#This Row],[P4]]=TRUE),1,0)</f>
        <v>0</v>
      </c>
      <c r="CS185" s="120">
        <f ca="1">IF(OR(Tbl_ResidentData[[#This Row],[S5]]=TRUE,Tbl_ResidentData[[#This Row],[P5]]=TRUE),1,0)</f>
        <v>0</v>
      </c>
      <c r="CT185" s="120">
        <f ca="1">IF(OR(Tbl_ResidentData[[#This Row],[S6]]=TRUE,Tbl_ResidentData[[#This Row],[P6]]=TRUE),1,0)</f>
        <v>0</v>
      </c>
      <c r="CU185" s="120">
        <f ca="1">IF(OR(Tbl_ResidentData[[#This Row],[S7]]=TRUE,Tbl_ResidentData[[#This Row],[P7]]=TRUE),1,0)</f>
        <v>0</v>
      </c>
      <c r="CV185" s="120">
        <f ca="1">IF(OR(Tbl_ResidentData[[#This Row],[S8]]=TRUE,Tbl_ResidentData[[#This Row],[P8]]=TRUE),1,0)</f>
        <v>0</v>
      </c>
      <c r="CW185" s="120">
        <f ca="1">IF(OR(Tbl_ResidentData[[#This Row],[S9]]=TRUE,Tbl_ResidentData[[#This Row],[P9]]=TRUE),1,0)</f>
        <v>0</v>
      </c>
      <c r="CX185" s="120">
        <f ca="1">IF(OR(Tbl_ResidentData[[#This Row],[S10]]=TRUE,Tbl_ResidentData[[#This Row],[P10]]=TRUE),1,0)</f>
        <v>0</v>
      </c>
      <c r="CY185" s="120">
        <f ca="1">IF(OR(Tbl_ResidentData[[#This Row],[S11]]=TRUE,Tbl_ResidentData[[#This Row],[P11]]=TRUE),1,0)</f>
        <v>0</v>
      </c>
      <c r="CZ185" s="120">
        <f ca="1">IF(OR(Tbl_ResidentData[[#This Row],[S12]]=TRUE,Tbl_ResidentData[[#This Row],[P12]]=TRUE),1,0)</f>
        <v>0</v>
      </c>
      <c r="DA185" s="120">
        <f ca="1">IF(OR(Tbl_ResidentData[[#This Row],[S13]]=TRUE,Tbl_ResidentData[[#This Row],[P13]]=TRUE),1,0)</f>
        <v>0</v>
      </c>
      <c r="DB185" s="120">
        <f ca="1">IF(OR(Tbl_ResidentData[[#This Row],[S14]]=TRUE,Tbl_ResidentData[[#This Row],[P14]]=TRUE),1,0)</f>
        <v>0</v>
      </c>
      <c r="DC185" s="120">
        <f ca="1">IF(OR(Tbl_ResidentData[[#This Row],[S15]]=TRUE,Tbl_ResidentData[[#This Row],[P15]]=TRUE),1,0)</f>
        <v>0</v>
      </c>
      <c r="DD185" s="120">
        <f ca="1">IF(OR(Tbl_ResidentData[[#This Row],[S16]]=TRUE,Tbl_ResidentData[[#This Row],[P16]]=TRUE),1,0)</f>
        <v>0</v>
      </c>
      <c r="DE185" s="120">
        <f ca="1">IF(OR(Tbl_ResidentData[[#This Row],[S17]]=TRUE,Tbl_ResidentData[[#This Row],[P17]]=TRUE),1,0)</f>
        <v>0</v>
      </c>
      <c r="DF185" s="120">
        <f ca="1">IF(OR(Tbl_ResidentData[[#This Row],[S18]]=TRUE,Tbl_ResidentData[[#This Row],[P18]]=TRUE),1,0)</f>
        <v>0</v>
      </c>
      <c r="DG185" s="120">
        <f ca="1">IF(OR(Tbl_ResidentData[[#This Row],[S19]]=TRUE,Tbl_ResidentData[[#This Row],[P19]]=TRUE),1,0)</f>
        <v>0</v>
      </c>
      <c r="DH185" s="120">
        <f ca="1">IF(OR(Tbl_ResidentData[[#This Row],[S20]]=TRUE,Tbl_ResidentData[[#This Row],[P20]]=TRUE),1,0)</f>
        <v>0</v>
      </c>
      <c r="DI185" s="120">
        <f ca="1">IF(OR(Tbl_ResidentData[[#This Row],[S21]]=TRUE,Tbl_ResidentData[[#This Row],[P21]]=TRUE),1,0)</f>
        <v>0</v>
      </c>
      <c r="DJ185" s="120">
        <f ca="1">IF(OR(Tbl_ResidentData[[#This Row],[S22]]=TRUE,Tbl_ResidentData[[#This Row],[P22]]=TRUE),1,0)</f>
        <v>0</v>
      </c>
      <c r="DK185" s="120">
        <f ca="1">IF(OR(Tbl_ResidentData[[#This Row],[S23]]=TRUE,Tbl_ResidentData[[#This Row],[P23]]=TRUE),1,0)</f>
        <v>0</v>
      </c>
      <c r="DL185" s="120">
        <f ca="1">IF(OR(Tbl_ResidentData[[#This Row],[S24]]=TRUE,Tbl_ResidentData[[#This Row],[P24]]=TRUE),1,0)</f>
        <v>0</v>
      </c>
      <c r="DM185" s="123" t="str">
        <f ca="1">IFERROR(INDEX($CO$4:$DL$4,MATCH(TRUE,INDEX((Tbl_ResidentData[[#This Row],[Over1]:[Over24]]&lt;&gt;0),0),0)),"")</f>
        <v/>
      </c>
      <c r="DN185" s="133" t="str">
        <f>IFERROR(INDEX(Tbl_PDSAData[Last DRT],MATCH(Tbl_ResidentData[Resident Name '[last, first']],Tbl_PDSAData[Resident Name (last, first)],0)),"")</f>
        <v/>
      </c>
      <c r="DO185" s="222" t="str">
        <f>IFERROR(INDEX(Tbl_PDSAData[Last MR],MATCH(Tbl_ResidentData[Resident Name '[last, first']],Tbl_PDSAData[Resident Name (last, first)],0)),"")</f>
        <v/>
      </c>
    </row>
    <row r="186" spans="1:119" x14ac:dyDescent="0.25">
      <c r="A186" s="179"/>
      <c r="B186" s="180"/>
      <c r="C186" s="180"/>
      <c r="D186" s="218"/>
      <c r="E186" s="179"/>
      <c r="F186" s="179"/>
      <c r="G186" s="181"/>
      <c r="H186" s="182"/>
      <c r="I186" s="185"/>
      <c r="J186" s="387"/>
      <c r="K186" s="178"/>
      <c r="L186" s="388"/>
      <c r="M186" s="185"/>
      <c r="N186" s="386"/>
      <c r="O186" s="178"/>
      <c r="P186" s="388"/>
      <c r="Q186" s="394"/>
      <c r="R186" s="388"/>
      <c r="S186" s="131" t="str">
        <f>IF(ISBLANK(Tbl_ResidentData[[#This Row],[Discharge '[mmm-yyyy']]]),IF(ISBLANK(Tbl_ResidentData[[#This Row],[Enrollment '[mmm-yyyy']]]),"","In Care Home"),"Discharged")</f>
        <v/>
      </c>
      <c r="T186" s="119" t="str">
        <f>IF(ISBLANK(Tbl_ResidentData[[#This Row],[Diagnosis (RAI)]]),IF(ISBLANK(Tbl_ResidentData[[#This Row],[Resident Name '[last, first']]]),"",0),IF(Tbl_ResidentData[[#This Row],[Diagnosis (RAI)]]="Other (see clinical notes)",0,1))</f>
        <v/>
      </c>
      <c r="U186" s="120" t="str">
        <f ca="1">IF(U$4&gt;NOW(),"-",IF(ISBLANK(Tbl_ResidentData[[#This Row],[Enrollment '[mmm-yyyy']]]),"-",AND((Tbl_ResidentData[[#This Row],[Enrollment '[mmm-yyyy']]]&lt;=U$4),IF(ISBLANK(Tbl_ResidentData[[#This Row],[Discharge '[mmm-yyyy']]]),TRUE,(Tbl_ResidentData[[#This Row],[Discharge '[mmm-yyyy']]]&gt;=U$4)))))</f>
        <v>-</v>
      </c>
      <c r="V186" s="121" t="str">
        <f ca="1">IF(V$4&gt;NOW(),"-",IF(ISBLANK(Tbl_ResidentData[[#This Row],[Enrollment '[mmm-yyyy']]]),"-",AND((Tbl_ResidentData[[#This Row],[Enrollment '[mmm-yyyy']]]&lt;=V$4),IF(ISBLANK(Tbl_ResidentData[[#This Row],[Discharge '[mmm-yyyy']]]),TRUE,(Tbl_ResidentData[[#This Row],[Discharge '[mmm-yyyy']]]&gt;=V$4)))))</f>
        <v>-</v>
      </c>
      <c r="W186" s="121" t="str">
        <f ca="1">IF(W$4&gt;NOW(),"-",IF(ISBLANK(Tbl_ResidentData[[#This Row],[Enrollment '[mmm-yyyy']]]),"-",AND((Tbl_ResidentData[[#This Row],[Enrollment '[mmm-yyyy']]]&lt;=W$4),IF(ISBLANK(Tbl_ResidentData[[#This Row],[Discharge '[mmm-yyyy']]]),TRUE,(Tbl_ResidentData[[#This Row],[Discharge '[mmm-yyyy']]]&gt;=W$4)))))</f>
        <v>-</v>
      </c>
      <c r="X186" s="121" t="str">
        <f ca="1">IF(X$4&gt;NOW(),"-",IF(ISBLANK(Tbl_ResidentData[[#This Row],[Enrollment '[mmm-yyyy']]]),"-",AND((Tbl_ResidentData[[#This Row],[Enrollment '[mmm-yyyy']]]&lt;=X$4),IF(ISBLANK(Tbl_ResidentData[[#This Row],[Discharge '[mmm-yyyy']]]),TRUE,(Tbl_ResidentData[[#This Row],[Discharge '[mmm-yyyy']]]&gt;=X$4)))))</f>
        <v>-</v>
      </c>
      <c r="Y186" s="121" t="str">
        <f ca="1">IF(Y$4&gt;NOW(),"-",IF(ISBLANK(Tbl_ResidentData[[#This Row],[Enrollment '[mmm-yyyy']]]),"-",AND((Tbl_ResidentData[[#This Row],[Enrollment '[mmm-yyyy']]]&lt;=Y$4),IF(ISBLANK(Tbl_ResidentData[[#This Row],[Discharge '[mmm-yyyy']]]),TRUE,(Tbl_ResidentData[[#This Row],[Discharge '[mmm-yyyy']]]&gt;=Y$4)))))</f>
        <v>-</v>
      </c>
      <c r="Z186" s="121" t="str">
        <f ca="1">IF(Z$4&gt;NOW(),"-",IF(ISBLANK(Tbl_ResidentData[[#This Row],[Enrollment '[mmm-yyyy']]]),"-",AND((Tbl_ResidentData[[#This Row],[Enrollment '[mmm-yyyy']]]&lt;=Z$4),IF(ISBLANK(Tbl_ResidentData[[#This Row],[Discharge '[mmm-yyyy']]]),TRUE,(Tbl_ResidentData[[#This Row],[Discharge '[mmm-yyyy']]]&gt;=Z$4)))))</f>
        <v>-</v>
      </c>
      <c r="AA186" s="121" t="str">
        <f ca="1">IF(AA$4&gt;NOW(),"-",IF(ISBLANK(Tbl_ResidentData[[#This Row],[Enrollment '[mmm-yyyy']]]),"-",AND((Tbl_ResidentData[[#This Row],[Enrollment '[mmm-yyyy']]]&lt;=AA$4),IF(ISBLANK(Tbl_ResidentData[[#This Row],[Discharge '[mmm-yyyy']]]),TRUE,(Tbl_ResidentData[[#This Row],[Discharge '[mmm-yyyy']]]&gt;=AA$4)))))</f>
        <v>-</v>
      </c>
      <c r="AB186" s="121" t="str">
        <f ca="1">IF(AB$4&gt;NOW(),"-",IF(ISBLANK(Tbl_ResidentData[[#This Row],[Enrollment '[mmm-yyyy']]]),"-",AND((Tbl_ResidentData[[#This Row],[Enrollment '[mmm-yyyy']]]&lt;=AB$4),IF(ISBLANK(Tbl_ResidentData[[#This Row],[Discharge '[mmm-yyyy']]]),TRUE,(Tbl_ResidentData[[#This Row],[Discharge '[mmm-yyyy']]]&gt;=AB$4)))))</f>
        <v>-</v>
      </c>
      <c r="AC186" s="121" t="str">
        <f ca="1">IF(AC$4&gt;NOW(),"-",IF(ISBLANK(Tbl_ResidentData[[#This Row],[Enrollment '[mmm-yyyy']]]),"-",AND((Tbl_ResidentData[[#This Row],[Enrollment '[mmm-yyyy']]]&lt;=AC$4),IF(ISBLANK(Tbl_ResidentData[[#This Row],[Discharge '[mmm-yyyy']]]),TRUE,(Tbl_ResidentData[[#This Row],[Discharge '[mmm-yyyy']]]&gt;=AC$4)))))</f>
        <v>-</v>
      </c>
      <c r="AD186" s="121" t="str">
        <f ca="1">IF(AD$4&gt;NOW(),"-",IF(ISBLANK(Tbl_ResidentData[[#This Row],[Enrollment '[mmm-yyyy']]]),"-",AND((Tbl_ResidentData[[#This Row],[Enrollment '[mmm-yyyy']]]&lt;=AD$4),IF(ISBLANK(Tbl_ResidentData[[#This Row],[Discharge '[mmm-yyyy']]]),TRUE,(Tbl_ResidentData[[#This Row],[Discharge '[mmm-yyyy']]]&gt;=AD$4)))))</f>
        <v>-</v>
      </c>
      <c r="AE186" s="121" t="str">
        <f ca="1">IF(AE$4&gt;NOW(),"-",IF(ISBLANK(Tbl_ResidentData[[#This Row],[Enrollment '[mmm-yyyy']]]),"-",AND((Tbl_ResidentData[[#This Row],[Enrollment '[mmm-yyyy']]]&lt;=AE$4),IF(ISBLANK(Tbl_ResidentData[[#This Row],[Discharge '[mmm-yyyy']]]),TRUE,(Tbl_ResidentData[[#This Row],[Discharge '[mmm-yyyy']]]&gt;=AE$4)))))</f>
        <v>-</v>
      </c>
      <c r="AF186" s="121" t="str">
        <f ca="1">IF(AF$4&gt;NOW(),"-",IF(ISBLANK(Tbl_ResidentData[[#This Row],[Enrollment '[mmm-yyyy']]]),"-",AND((Tbl_ResidentData[[#This Row],[Enrollment '[mmm-yyyy']]]&lt;=AF$4),IF(ISBLANK(Tbl_ResidentData[[#This Row],[Discharge '[mmm-yyyy']]]),TRUE,(Tbl_ResidentData[[#This Row],[Discharge '[mmm-yyyy']]]&gt;=AF$4)))))</f>
        <v>-</v>
      </c>
      <c r="AG186" s="121" t="str">
        <f ca="1">IF(AG$4&gt;NOW(),"-",IF(ISBLANK(Tbl_ResidentData[[#This Row],[Enrollment '[mmm-yyyy']]]),"-",AND((Tbl_ResidentData[[#This Row],[Enrollment '[mmm-yyyy']]]&lt;=AG$4),IF(ISBLANK(Tbl_ResidentData[[#This Row],[Discharge '[mmm-yyyy']]]),TRUE,(Tbl_ResidentData[[#This Row],[Discharge '[mmm-yyyy']]]&gt;=AG$4)))))</f>
        <v>-</v>
      </c>
      <c r="AH186" s="121" t="str">
        <f ca="1">IF(AH$4&gt;NOW(),"-",IF(ISBLANK(Tbl_ResidentData[[#This Row],[Enrollment '[mmm-yyyy']]]),"-",AND((Tbl_ResidentData[[#This Row],[Enrollment '[mmm-yyyy']]]&lt;=AH$4),IF(ISBLANK(Tbl_ResidentData[[#This Row],[Discharge '[mmm-yyyy']]]),TRUE,(Tbl_ResidentData[[#This Row],[Discharge '[mmm-yyyy']]]&gt;=AH$4)))))</f>
        <v>-</v>
      </c>
      <c r="AI186" s="121" t="str">
        <f ca="1">IF(AI$4&gt;NOW(),"-",IF(ISBLANK(Tbl_ResidentData[[#This Row],[Enrollment '[mmm-yyyy']]]),"-",AND((Tbl_ResidentData[[#This Row],[Enrollment '[mmm-yyyy']]]&lt;=AI$4),IF(ISBLANK(Tbl_ResidentData[[#This Row],[Discharge '[mmm-yyyy']]]),TRUE,(Tbl_ResidentData[[#This Row],[Discharge '[mmm-yyyy']]]&gt;=AI$4)))))</f>
        <v>-</v>
      </c>
      <c r="AJ186" s="121" t="str">
        <f ca="1">IF(AJ$4&gt;NOW(),"-",IF(ISBLANK(Tbl_ResidentData[[#This Row],[Enrollment '[mmm-yyyy']]]),"-",AND((Tbl_ResidentData[[#This Row],[Enrollment '[mmm-yyyy']]]&lt;=AJ$4),IF(ISBLANK(Tbl_ResidentData[[#This Row],[Discharge '[mmm-yyyy']]]),TRUE,(Tbl_ResidentData[[#This Row],[Discharge '[mmm-yyyy']]]&gt;=AJ$4)))))</f>
        <v>-</v>
      </c>
      <c r="AK186" s="121" t="str">
        <f ca="1">IF(AK$4&gt;NOW(),"-",IF(ISBLANK(Tbl_ResidentData[[#This Row],[Enrollment '[mmm-yyyy']]]),"-",AND((Tbl_ResidentData[[#This Row],[Enrollment '[mmm-yyyy']]]&lt;=AK$4),IF(ISBLANK(Tbl_ResidentData[[#This Row],[Discharge '[mmm-yyyy']]]),TRUE,(Tbl_ResidentData[[#This Row],[Discharge '[mmm-yyyy']]]&gt;=AK$4)))))</f>
        <v>-</v>
      </c>
      <c r="AL186" s="121" t="str">
        <f ca="1">IF(AL$4&gt;NOW(),"-",IF(ISBLANK(Tbl_ResidentData[[#This Row],[Enrollment '[mmm-yyyy']]]),"-",AND((Tbl_ResidentData[[#This Row],[Enrollment '[mmm-yyyy']]]&lt;=AL$4),IF(ISBLANK(Tbl_ResidentData[[#This Row],[Discharge '[mmm-yyyy']]]),TRUE,(Tbl_ResidentData[[#This Row],[Discharge '[mmm-yyyy']]]&gt;=AL$4)))))</f>
        <v>-</v>
      </c>
      <c r="AM186" s="121" t="str">
        <f ca="1">IF(AM$4&gt;NOW(),"-",IF(ISBLANK(Tbl_ResidentData[[#This Row],[Enrollment '[mmm-yyyy']]]),"-",AND((Tbl_ResidentData[[#This Row],[Enrollment '[mmm-yyyy']]]&lt;=AM$4),IF(ISBLANK(Tbl_ResidentData[[#This Row],[Discharge '[mmm-yyyy']]]),TRUE,(Tbl_ResidentData[[#This Row],[Discharge '[mmm-yyyy']]]&gt;=AM$4)))))</f>
        <v>-</v>
      </c>
      <c r="AN186" s="121" t="str">
        <f ca="1">IF(AN$4&gt;NOW(),"-",IF(ISBLANK(Tbl_ResidentData[[#This Row],[Enrollment '[mmm-yyyy']]]),"-",AND((Tbl_ResidentData[[#This Row],[Enrollment '[mmm-yyyy']]]&lt;=AN$4),IF(ISBLANK(Tbl_ResidentData[[#This Row],[Discharge '[mmm-yyyy']]]),TRUE,(Tbl_ResidentData[[#This Row],[Discharge '[mmm-yyyy']]]&gt;=AN$4)))))</f>
        <v>-</v>
      </c>
      <c r="AO186" s="121" t="str">
        <f ca="1">IF(AO$4&gt;NOW(),"-",IF(ISBLANK(Tbl_ResidentData[[#This Row],[Enrollment '[mmm-yyyy']]]),"-",AND((Tbl_ResidentData[[#This Row],[Enrollment '[mmm-yyyy']]]&lt;=AO$4),IF(ISBLANK(Tbl_ResidentData[[#This Row],[Discharge '[mmm-yyyy']]]),TRUE,(Tbl_ResidentData[[#This Row],[Discharge '[mmm-yyyy']]]&gt;=AO$4)))))</f>
        <v>-</v>
      </c>
      <c r="AP186" s="121" t="str">
        <f ca="1">IF(AP$4&gt;NOW(),"-",IF(ISBLANK(Tbl_ResidentData[[#This Row],[Enrollment '[mmm-yyyy']]]),"-",AND((Tbl_ResidentData[[#This Row],[Enrollment '[mmm-yyyy']]]&lt;=AP$4),IF(ISBLANK(Tbl_ResidentData[[#This Row],[Discharge '[mmm-yyyy']]]),TRUE,(Tbl_ResidentData[[#This Row],[Discharge '[mmm-yyyy']]]&gt;=AP$4)))))</f>
        <v>-</v>
      </c>
      <c r="AQ186" s="121" t="str">
        <f ca="1">IF(AQ$4&gt;NOW(),"-",IF(ISBLANK(Tbl_ResidentData[[#This Row],[Enrollment '[mmm-yyyy']]]),"-",AND((Tbl_ResidentData[[#This Row],[Enrollment '[mmm-yyyy']]]&lt;=AQ$4),IF(ISBLANK(Tbl_ResidentData[[#This Row],[Discharge '[mmm-yyyy']]]),TRUE,(Tbl_ResidentData[[#This Row],[Discharge '[mmm-yyyy']]]&gt;=AQ$4)))))</f>
        <v>-</v>
      </c>
      <c r="AR186" s="122" t="str">
        <f ca="1">IF(AR$4&gt;NOW(),"-",IF(ISBLANK(Tbl_ResidentData[[#This Row],[Enrollment '[mmm-yyyy']]]),"-",AND((Tbl_ResidentData[[#This Row],[Enrollment '[mmm-yyyy']]]&lt;=AR$4),IF(ISBLANK(Tbl_ResidentData[[#This Row],[Discharge '[mmm-yyyy']]]),TRUE,(Tbl_ResidentData[[#This Row],[Discharge '[mmm-yyyy']]]&gt;=AR$4)))))</f>
        <v>-</v>
      </c>
      <c r="AS18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6" s="120" t="b">
        <f ca="1">AND(Tbl_ResidentData[[#This Row],[PRN Med Started]]&lt;&gt;"",Tbl_ResidentData[[#This Row],[PRN Med Started]]&lt;=NOW(),Tbl_ResidentData[[#This Row],[PRN Med Started]]&lt;=AS$4,OR(Tbl_ResidentData[[#This Row],[PRN Med Discontinued]]&gt;AS$4,ISBLANK(Tbl_ResidentData[[#This Row],[PRN Med Discontinued]])))</f>
        <v>0</v>
      </c>
      <c r="BR186" s="121" t="b">
        <f ca="1">AND(Tbl_ResidentData[[#This Row],[PRN Med Started]]&lt;&gt;"",Tbl_ResidentData[[#This Row],[PRN Med Started]]&lt;=NOW(),Tbl_ResidentData[[#This Row],[PRN Med Started]]&lt;=AT$4,OR(Tbl_ResidentData[[#This Row],[PRN Med Discontinued]]&gt;AT$4,ISBLANK(Tbl_ResidentData[[#This Row],[PRN Med Discontinued]])))</f>
        <v>0</v>
      </c>
      <c r="BS186" s="121" t="b">
        <f ca="1">AND(Tbl_ResidentData[[#This Row],[PRN Med Started]]&lt;&gt;"",Tbl_ResidentData[[#This Row],[PRN Med Started]]&lt;=NOW(),Tbl_ResidentData[[#This Row],[PRN Med Started]]&lt;=AU$4,OR(Tbl_ResidentData[[#This Row],[PRN Med Discontinued]]&gt;AU$4,ISBLANK(Tbl_ResidentData[[#This Row],[PRN Med Discontinued]])))</f>
        <v>0</v>
      </c>
      <c r="BT186" s="121" t="b">
        <f ca="1">AND(Tbl_ResidentData[[#This Row],[PRN Med Started]]&lt;&gt;"",Tbl_ResidentData[[#This Row],[PRN Med Started]]&lt;=NOW(),Tbl_ResidentData[[#This Row],[PRN Med Started]]&lt;=AV$4,OR(Tbl_ResidentData[[#This Row],[PRN Med Discontinued]]&gt;AV$4,ISBLANK(Tbl_ResidentData[[#This Row],[PRN Med Discontinued]])))</f>
        <v>0</v>
      </c>
      <c r="BU186" s="121" t="b">
        <f ca="1">AND(Tbl_ResidentData[[#This Row],[PRN Med Started]]&lt;&gt;"",Tbl_ResidentData[[#This Row],[PRN Med Started]]&lt;=NOW(),Tbl_ResidentData[[#This Row],[PRN Med Started]]&lt;=AW$4,OR(Tbl_ResidentData[[#This Row],[PRN Med Discontinued]]&gt;AW$4,ISBLANK(Tbl_ResidentData[[#This Row],[PRN Med Discontinued]])))</f>
        <v>0</v>
      </c>
      <c r="BV186" s="121" t="b">
        <f ca="1">AND(Tbl_ResidentData[[#This Row],[PRN Med Started]]&lt;&gt;"",Tbl_ResidentData[[#This Row],[PRN Med Started]]&lt;=NOW(),Tbl_ResidentData[[#This Row],[PRN Med Started]]&lt;=AX$4,OR(Tbl_ResidentData[[#This Row],[PRN Med Discontinued]]&gt;AX$4,ISBLANK(Tbl_ResidentData[[#This Row],[PRN Med Discontinued]])))</f>
        <v>0</v>
      </c>
      <c r="BW186" s="121" t="b">
        <f ca="1">AND(Tbl_ResidentData[[#This Row],[PRN Med Started]]&lt;&gt;"",Tbl_ResidentData[[#This Row],[PRN Med Started]]&lt;=NOW(),Tbl_ResidentData[[#This Row],[PRN Med Started]]&lt;=AY$4,OR(Tbl_ResidentData[[#This Row],[PRN Med Discontinued]]&gt;AY$4,ISBLANK(Tbl_ResidentData[[#This Row],[PRN Med Discontinued]])))</f>
        <v>0</v>
      </c>
      <c r="BX186" s="121" t="b">
        <f ca="1">AND(Tbl_ResidentData[[#This Row],[PRN Med Started]]&lt;&gt;"",Tbl_ResidentData[[#This Row],[PRN Med Started]]&lt;=NOW(),Tbl_ResidentData[[#This Row],[PRN Med Started]]&lt;=AZ$4,OR(Tbl_ResidentData[[#This Row],[PRN Med Discontinued]]&gt;AZ$4,ISBLANK(Tbl_ResidentData[[#This Row],[PRN Med Discontinued]])))</f>
        <v>0</v>
      </c>
      <c r="BY186" s="121" t="b">
        <f ca="1">AND(Tbl_ResidentData[[#This Row],[PRN Med Started]]&lt;&gt;"",Tbl_ResidentData[[#This Row],[PRN Med Started]]&lt;=NOW(),Tbl_ResidentData[[#This Row],[PRN Med Started]]&lt;=BA$4,OR(Tbl_ResidentData[[#This Row],[PRN Med Discontinued]]&gt;BA$4,ISBLANK(Tbl_ResidentData[[#This Row],[PRN Med Discontinued]])))</f>
        <v>0</v>
      </c>
      <c r="BZ186" s="121" t="b">
        <f ca="1">AND(Tbl_ResidentData[[#This Row],[PRN Med Started]]&lt;&gt;"",Tbl_ResidentData[[#This Row],[PRN Med Started]]&lt;=NOW(),Tbl_ResidentData[[#This Row],[PRN Med Started]]&lt;=BB$4,OR(Tbl_ResidentData[[#This Row],[PRN Med Discontinued]]&gt;BB$4,ISBLANK(Tbl_ResidentData[[#This Row],[PRN Med Discontinued]])))</f>
        <v>0</v>
      </c>
      <c r="CA186" s="121" t="b">
        <f ca="1">AND(Tbl_ResidentData[[#This Row],[PRN Med Started]]&lt;&gt;"",Tbl_ResidentData[[#This Row],[PRN Med Started]]&lt;=NOW(),Tbl_ResidentData[[#This Row],[PRN Med Started]]&lt;=BC$4,OR(Tbl_ResidentData[[#This Row],[PRN Med Discontinued]]&gt;BC$4,ISBLANK(Tbl_ResidentData[[#This Row],[PRN Med Discontinued]])))</f>
        <v>0</v>
      </c>
      <c r="CB186" s="121" t="b">
        <f ca="1">AND(Tbl_ResidentData[[#This Row],[PRN Med Started]]&lt;&gt;"",Tbl_ResidentData[[#This Row],[PRN Med Started]]&lt;=NOW(),Tbl_ResidentData[[#This Row],[PRN Med Started]]&lt;=BD$4,OR(Tbl_ResidentData[[#This Row],[PRN Med Discontinued]]&gt;BD$4,ISBLANK(Tbl_ResidentData[[#This Row],[PRN Med Discontinued]])))</f>
        <v>0</v>
      </c>
      <c r="CC186" s="121" t="b">
        <f ca="1">AND(Tbl_ResidentData[[#This Row],[PRN Med Started]]&lt;&gt;"",Tbl_ResidentData[[#This Row],[PRN Med Started]]&lt;=NOW(),Tbl_ResidentData[[#This Row],[PRN Med Started]]&lt;=BE$4,OR(Tbl_ResidentData[[#This Row],[PRN Med Discontinued]]&gt;BE$4,ISBLANK(Tbl_ResidentData[[#This Row],[PRN Med Discontinued]])))</f>
        <v>0</v>
      </c>
      <c r="CD186" s="121" t="b">
        <f ca="1">AND(Tbl_ResidentData[[#This Row],[PRN Med Started]]&lt;&gt;"",Tbl_ResidentData[[#This Row],[PRN Med Started]]&lt;=NOW(),Tbl_ResidentData[[#This Row],[PRN Med Started]]&lt;=BF$4,OR(Tbl_ResidentData[[#This Row],[PRN Med Discontinued]]&gt;BF$4,ISBLANK(Tbl_ResidentData[[#This Row],[PRN Med Discontinued]])))</f>
        <v>0</v>
      </c>
      <c r="CE186" s="121" t="b">
        <f ca="1">AND(Tbl_ResidentData[[#This Row],[PRN Med Started]]&lt;&gt;"",Tbl_ResidentData[[#This Row],[PRN Med Started]]&lt;=NOW(),Tbl_ResidentData[[#This Row],[PRN Med Started]]&lt;=BG$4,OR(Tbl_ResidentData[[#This Row],[PRN Med Discontinued]]&gt;BG$4,ISBLANK(Tbl_ResidentData[[#This Row],[PRN Med Discontinued]])))</f>
        <v>0</v>
      </c>
      <c r="CF186" s="121" t="b">
        <f ca="1">AND(Tbl_ResidentData[[#This Row],[PRN Med Started]]&lt;&gt;"",Tbl_ResidentData[[#This Row],[PRN Med Started]]&lt;=NOW(),Tbl_ResidentData[[#This Row],[PRN Med Started]]&lt;=BH$4,OR(Tbl_ResidentData[[#This Row],[PRN Med Discontinued]]&gt;BH$4,ISBLANK(Tbl_ResidentData[[#This Row],[PRN Med Discontinued]])))</f>
        <v>0</v>
      </c>
      <c r="CG186" s="121" t="b">
        <f ca="1">AND(Tbl_ResidentData[[#This Row],[PRN Med Started]]&lt;&gt;"",Tbl_ResidentData[[#This Row],[PRN Med Started]]&lt;=NOW(),Tbl_ResidentData[[#This Row],[PRN Med Started]]&lt;=BI$4,OR(Tbl_ResidentData[[#This Row],[PRN Med Discontinued]]&gt;BI$4,ISBLANK(Tbl_ResidentData[[#This Row],[PRN Med Discontinued]])))</f>
        <v>0</v>
      </c>
      <c r="CH186" s="121" t="b">
        <f ca="1">AND(Tbl_ResidentData[[#This Row],[PRN Med Started]]&lt;&gt;"",Tbl_ResidentData[[#This Row],[PRN Med Started]]&lt;=NOW(),Tbl_ResidentData[[#This Row],[PRN Med Started]]&lt;=BJ$4,OR(Tbl_ResidentData[[#This Row],[PRN Med Discontinued]]&gt;BJ$4,ISBLANK(Tbl_ResidentData[[#This Row],[PRN Med Discontinued]])))</f>
        <v>0</v>
      </c>
      <c r="CI186" s="121" t="b">
        <f ca="1">AND(Tbl_ResidentData[[#This Row],[PRN Med Started]]&lt;&gt;"",Tbl_ResidentData[[#This Row],[PRN Med Started]]&lt;=NOW(),Tbl_ResidentData[[#This Row],[PRN Med Started]]&lt;=BK$4,OR(Tbl_ResidentData[[#This Row],[PRN Med Discontinued]]&gt;BK$4,ISBLANK(Tbl_ResidentData[[#This Row],[PRN Med Discontinued]])))</f>
        <v>0</v>
      </c>
      <c r="CJ186" s="121" t="b">
        <f ca="1">AND(Tbl_ResidentData[[#This Row],[PRN Med Started]]&lt;&gt;"",Tbl_ResidentData[[#This Row],[PRN Med Started]]&lt;=NOW(),Tbl_ResidentData[[#This Row],[PRN Med Started]]&lt;=BL$4,OR(Tbl_ResidentData[[#This Row],[PRN Med Discontinued]]&gt;BL$4,ISBLANK(Tbl_ResidentData[[#This Row],[PRN Med Discontinued]])))</f>
        <v>0</v>
      </c>
      <c r="CK186" s="121" t="b">
        <f ca="1">AND(Tbl_ResidentData[[#This Row],[PRN Med Started]]&lt;&gt;"",Tbl_ResidentData[[#This Row],[PRN Med Started]]&lt;=NOW(),Tbl_ResidentData[[#This Row],[PRN Med Started]]&lt;=BM$4,OR(Tbl_ResidentData[[#This Row],[PRN Med Discontinued]]&gt;BM$4,ISBLANK(Tbl_ResidentData[[#This Row],[PRN Med Discontinued]])))</f>
        <v>0</v>
      </c>
      <c r="CL186" s="121" t="b">
        <f ca="1">AND(Tbl_ResidentData[[#This Row],[PRN Med Started]]&lt;&gt;"",Tbl_ResidentData[[#This Row],[PRN Med Started]]&lt;=NOW(),Tbl_ResidentData[[#This Row],[PRN Med Started]]&lt;=BN$4,OR(Tbl_ResidentData[[#This Row],[PRN Med Discontinued]]&gt;BN$4,ISBLANK(Tbl_ResidentData[[#This Row],[PRN Med Discontinued]])))</f>
        <v>0</v>
      </c>
      <c r="CM186" s="121" t="b">
        <f ca="1">AND(Tbl_ResidentData[[#This Row],[PRN Med Started]]&lt;&gt;"",Tbl_ResidentData[[#This Row],[PRN Med Started]]&lt;=NOW(),Tbl_ResidentData[[#This Row],[PRN Med Started]]&lt;=BO$4,OR(Tbl_ResidentData[[#This Row],[PRN Med Discontinued]]&gt;BO$4,ISBLANK(Tbl_ResidentData[[#This Row],[PRN Med Discontinued]])))</f>
        <v>0</v>
      </c>
      <c r="CN186" s="122" t="b">
        <f ca="1">AND(Tbl_ResidentData[[#This Row],[PRN Med Started]]&lt;&gt;"",Tbl_ResidentData[[#This Row],[PRN Med Started]]&lt;=NOW(),Tbl_ResidentData[[#This Row],[PRN Med Started]]&lt;=BP$4,OR(Tbl_ResidentData[[#This Row],[PRN Med Discontinued]]&gt;BP$4,ISBLANK(Tbl_ResidentData[[#This Row],[PRN Med Discontinued]])))</f>
        <v>0</v>
      </c>
      <c r="CO186" s="120">
        <f ca="1">IF(OR(Tbl_ResidentData[[#This Row],[S1]]=TRUE,Tbl_ResidentData[[#This Row],[P1]]=TRUE),1,0)</f>
        <v>0</v>
      </c>
      <c r="CP186" s="121">
        <f ca="1">IF(OR(Tbl_ResidentData[[#This Row],[S2]]=TRUE,Tbl_ResidentData[[#This Row],[P2]]=TRUE),1,0)</f>
        <v>0</v>
      </c>
      <c r="CQ186" s="121">
        <f ca="1">IF(OR(Tbl_ResidentData[[#This Row],[S3]]=TRUE,Tbl_ResidentData[[#This Row],[P3]]=TRUE),1,0)</f>
        <v>0</v>
      </c>
      <c r="CR186" s="120">
        <f ca="1">IF(OR(Tbl_ResidentData[[#This Row],[S4]]=TRUE,Tbl_ResidentData[[#This Row],[P4]]=TRUE),1,0)</f>
        <v>0</v>
      </c>
      <c r="CS186" s="120">
        <f ca="1">IF(OR(Tbl_ResidentData[[#This Row],[S5]]=TRUE,Tbl_ResidentData[[#This Row],[P5]]=TRUE),1,0)</f>
        <v>0</v>
      </c>
      <c r="CT186" s="120">
        <f ca="1">IF(OR(Tbl_ResidentData[[#This Row],[S6]]=TRUE,Tbl_ResidentData[[#This Row],[P6]]=TRUE),1,0)</f>
        <v>0</v>
      </c>
      <c r="CU186" s="120">
        <f ca="1">IF(OR(Tbl_ResidentData[[#This Row],[S7]]=TRUE,Tbl_ResidentData[[#This Row],[P7]]=TRUE),1,0)</f>
        <v>0</v>
      </c>
      <c r="CV186" s="120">
        <f ca="1">IF(OR(Tbl_ResidentData[[#This Row],[S8]]=TRUE,Tbl_ResidentData[[#This Row],[P8]]=TRUE),1,0)</f>
        <v>0</v>
      </c>
      <c r="CW186" s="120">
        <f ca="1">IF(OR(Tbl_ResidentData[[#This Row],[S9]]=TRUE,Tbl_ResidentData[[#This Row],[P9]]=TRUE),1,0)</f>
        <v>0</v>
      </c>
      <c r="CX186" s="120">
        <f ca="1">IF(OR(Tbl_ResidentData[[#This Row],[S10]]=TRUE,Tbl_ResidentData[[#This Row],[P10]]=TRUE),1,0)</f>
        <v>0</v>
      </c>
      <c r="CY186" s="120">
        <f ca="1">IF(OR(Tbl_ResidentData[[#This Row],[S11]]=TRUE,Tbl_ResidentData[[#This Row],[P11]]=TRUE),1,0)</f>
        <v>0</v>
      </c>
      <c r="CZ186" s="120">
        <f ca="1">IF(OR(Tbl_ResidentData[[#This Row],[S12]]=TRUE,Tbl_ResidentData[[#This Row],[P12]]=TRUE),1,0)</f>
        <v>0</v>
      </c>
      <c r="DA186" s="120">
        <f ca="1">IF(OR(Tbl_ResidentData[[#This Row],[S13]]=TRUE,Tbl_ResidentData[[#This Row],[P13]]=TRUE),1,0)</f>
        <v>0</v>
      </c>
      <c r="DB186" s="120">
        <f ca="1">IF(OR(Tbl_ResidentData[[#This Row],[S14]]=TRUE,Tbl_ResidentData[[#This Row],[P14]]=TRUE),1,0)</f>
        <v>0</v>
      </c>
      <c r="DC186" s="120">
        <f ca="1">IF(OR(Tbl_ResidentData[[#This Row],[S15]]=TRUE,Tbl_ResidentData[[#This Row],[P15]]=TRUE),1,0)</f>
        <v>0</v>
      </c>
      <c r="DD186" s="120">
        <f ca="1">IF(OR(Tbl_ResidentData[[#This Row],[S16]]=TRUE,Tbl_ResidentData[[#This Row],[P16]]=TRUE),1,0)</f>
        <v>0</v>
      </c>
      <c r="DE186" s="120">
        <f ca="1">IF(OR(Tbl_ResidentData[[#This Row],[S17]]=TRUE,Tbl_ResidentData[[#This Row],[P17]]=TRUE),1,0)</f>
        <v>0</v>
      </c>
      <c r="DF186" s="120">
        <f ca="1">IF(OR(Tbl_ResidentData[[#This Row],[S18]]=TRUE,Tbl_ResidentData[[#This Row],[P18]]=TRUE),1,0)</f>
        <v>0</v>
      </c>
      <c r="DG186" s="120">
        <f ca="1">IF(OR(Tbl_ResidentData[[#This Row],[S19]]=TRUE,Tbl_ResidentData[[#This Row],[P19]]=TRUE),1,0)</f>
        <v>0</v>
      </c>
      <c r="DH186" s="120">
        <f ca="1">IF(OR(Tbl_ResidentData[[#This Row],[S20]]=TRUE,Tbl_ResidentData[[#This Row],[P20]]=TRUE),1,0)</f>
        <v>0</v>
      </c>
      <c r="DI186" s="120">
        <f ca="1">IF(OR(Tbl_ResidentData[[#This Row],[S21]]=TRUE,Tbl_ResidentData[[#This Row],[P21]]=TRUE),1,0)</f>
        <v>0</v>
      </c>
      <c r="DJ186" s="120">
        <f ca="1">IF(OR(Tbl_ResidentData[[#This Row],[S22]]=TRUE,Tbl_ResidentData[[#This Row],[P22]]=TRUE),1,0)</f>
        <v>0</v>
      </c>
      <c r="DK186" s="120">
        <f ca="1">IF(OR(Tbl_ResidentData[[#This Row],[S23]]=TRUE,Tbl_ResidentData[[#This Row],[P23]]=TRUE),1,0)</f>
        <v>0</v>
      </c>
      <c r="DL186" s="120">
        <f ca="1">IF(OR(Tbl_ResidentData[[#This Row],[S24]]=TRUE,Tbl_ResidentData[[#This Row],[P24]]=TRUE),1,0)</f>
        <v>0</v>
      </c>
      <c r="DM186" s="123" t="str">
        <f ca="1">IFERROR(INDEX($CO$4:$DL$4,MATCH(TRUE,INDEX((Tbl_ResidentData[[#This Row],[Over1]:[Over24]]&lt;&gt;0),0),0)),"")</f>
        <v/>
      </c>
      <c r="DN186" s="133" t="str">
        <f>IFERROR(INDEX(Tbl_PDSAData[Last DRT],MATCH(Tbl_ResidentData[Resident Name '[last, first']],Tbl_PDSAData[Resident Name (last, first)],0)),"")</f>
        <v/>
      </c>
      <c r="DO186" s="222" t="str">
        <f>IFERROR(INDEX(Tbl_PDSAData[Last MR],MATCH(Tbl_ResidentData[Resident Name '[last, first']],Tbl_PDSAData[Resident Name (last, first)],0)),"")</f>
        <v/>
      </c>
    </row>
    <row r="187" spans="1:119" x14ac:dyDescent="0.25">
      <c r="A187" s="179"/>
      <c r="B187" s="180"/>
      <c r="C187" s="180"/>
      <c r="D187" s="218"/>
      <c r="E187" s="179"/>
      <c r="F187" s="179"/>
      <c r="G187" s="181"/>
      <c r="H187" s="375"/>
      <c r="I187" s="185"/>
      <c r="J187" s="387"/>
      <c r="K187" s="178"/>
      <c r="L187" s="388"/>
      <c r="M187" s="185"/>
      <c r="N187" s="386"/>
      <c r="O187" s="178"/>
      <c r="P187" s="388"/>
      <c r="Q187" s="395"/>
      <c r="R187" s="396"/>
      <c r="S187" s="131" t="str">
        <f>IF(ISBLANK(Tbl_ResidentData[[#This Row],[Discharge '[mmm-yyyy']]]),IF(ISBLANK(Tbl_ResidentData[[#This Row],[Enrollment '[mmm-yyyy']]]),"","In Care Home"),"Discharged")</f>
        <v/>
      </c>
      <c r="T187" s="119" t="str">
        <f>IF(ISBLANK(Tbl_ResidentData[[#This Row],[Diagnosis (RAI)]]),IF(ISBLANK(Tbl_ResidentData[[#This Row],[Resident Name '[last, first']]]),"",0),IF(Tbl_ResidentData[[#This Row],[Diagnosis (RAI)]]="Other (see clinical notes)",0,1))</f>
        <v/>
      </c>
      <c r="U187" s="120" t="str">
        <f ca="1">IF(U$4&gt;NOW(),"-",IF(ISBLANK(Tbl_ResidentData[[#This Row],[Enrollment '[mmm-yyyy']]]),"-",AND((Tbl_ResidentData[[#This Row],[Enrollment '[mmm-yyyy']]]&lt;=U$4),IF(ISBLANK(Tbl_ResidentData[[#This Row],[Discharge '[mmm-yyyy']]]),TRUE,(Tbl_ResidentData[[#This Row],[Discharge '[mmm-yyyy']]]&gt;=U$4)))))</f>
        <v>-</v>
      </c>
      <c r="V187" s="121" t="str">
        <f ca="1">IF(V$4&gt;NOW(),"-",IF(ISBLANK(Tbl_ResidentData[[#This Row],[Enrollment '[mmm-yyyy']]]),"-",AND((Tbl_ResidentData[[#This Row],[Enrollment '[mmm-yyyy']]]&lt;=V$4),IF(ISBLANK(Tbl_ResidentData[[#This Row],[Discharge '[mmm-yyyy']]]),TRUE,(Tbl_ResidentData[[#This Row],[Discharge '[mmm-yyyy']]]&gt;=V$4)))))</f>
        <v>-</v>
      </c>
      <c r="W187" s="121" t="str">
        <f ca="1">IF(W$4&gt;NOW(),"-",IF(ISBLANK(Tbl_ResidentData[[#This Row],[Enrollment '[mmm-yyyy']]]),"-",AND((Tbl_ResidentData[[#This Row],[Enrollment '[mmm-yyyy']]]&lt;=W$4),IF(ISBLANK(Tbl_ResidentData[[#This Row],[Discharge '[mmm-yyyy']]]),TRUE,(Tbl_ResidentData[[#This Row],[Discharge '[mmm-yyyy']]]&gt;=W$4)))))</f>
        <v>-</v>
      </c>
      <c r="X187" s="121" t="str">
        <f ca="1">IF(X$4&gt;NOW(),"-",IF(ISBLANK(Tbl_ResidentData[[#This Row],[Enrollment '[mmm-yyyy']]]),"-",AND((Tbl_ResidentData[[#This Row],[Enrollment '[mmm-yyyy']]]&lt;=X$4),IF(ISBLANK(Tbl_ResidentData[[#This Row],[Discharge '[mmm-yyyy']]]),TRUE,(Tbl_ResidentData[[#This Row],[Discharge '[mmm-yyyy']]]&gt;=X$4)))))</f>
        <v>-</v>
      </c>
      <c r="Y187" s="121" t="str">
        <f ca="1">IF(Y$4&gt;NOW(),"-",IF(ISBLANK(Tbl_ResidentData[[#This Row],[Enrollment '[mmm-yyyy']]]),"-",AND((Tbl_ResidentData[[#This Row],[Enrollment '[mmm-yyyy']]]&lt;=Y$4),IF(ISBLANK(Tbl_ResidentData[[#This Row],[Discharge '[mmm-yyyy']]]),TRUE,(Tbl_ResidentData[[#This Row],[Discharge '[mmm-yyyy']]]&gt;=Y$4)))))</f>
        <v>-</v>
      </c>
      <c r="Z187" s="121" t="str">
        <f ca="1">IF(Z$4&gt;NOW(),"-",IF(ISBLANK(Tbl_ResidentData[[#This Row],[Enrollment '[mmm-yyyy']]]),"-",AND((Tbl_ResidentData[[#This Row],[Enrollment '[mmm-yyyy']]]&lt;=Z$4),IF(ISBLANK(Tbl_ResidentData[[#This Row],[Discharge '[mmm-yyyy']]]),TRUE,(Tbl_ResidentData[[#This Row],[Discharge '[mmm-yyyy']]]&gt;=Z$4)))))</f>
        <v>-</v>
      </c>
      <c r="AA187" s="121" t="str">
        <f ca="1">IF(AA$4&gt;NOW(),"-",IF(ISBLANK(Tbl_ResidentData[[#This Row],[Enrollment '[mmm-yyyy']]]),"-",AND((Tbl_ResidentData[[#This Row],[Enrollment '[mmm-yyyy']]]&lt;=AA$4),IF(ISBLANK(Tbl_ResidentData[[#This Row],[Discharge '[mmm-yyyy']]]),TRUE,(Tbl_ResidentData[[#This Row],[Discharge '[mmm-yyyy']]]&gt;=AA$4)))))</f>
        <v>-</v>
      </c>
      <c r="AB187" s="121" t="str">
        <f ca="1">IF(AB$4&gt;NOW(),"-",IF(ISBLANK(Tbl_ResidentData[[#This Row],[Enrollment '[mmm-yyyy']]]),"-",AND((Tbl_ResidentData[[#This Row],[Enrollment '[mmm-yyyy']]]&lt;=AB$4),IF(ISBLANK(Tbl_ResidentData[[#This Row],[Discharge '[mmm-yyyy']]]),TRUE,(Tbl_ResidentData[[#This Row],[Discharge '[mmm-yyyy']]]&gt;=AB$4)))))</f>
        <v>-</v>
      </c>
      <c r="AC187" s="121" t="str">
        <f ca="1">IF(AC$4&gt;NOW(),"-",IF(ISBLANK(Tbl_ResidentData[[#This Row],[Enrollment '[mmm-yyyy']]]),"-",AND((Tbl_ResidentData[[#This Row],[Enrollment '[mmm-yyyy']]]&lt;=AC$4),IF(ISBLANK(Tbl_ResidentData[[#This Row],[Discharge '[mmm-yyyy']]]),TRUE,(Tbl_ResidentData[[#This Row],[Discharge '[mmm-yyyy']]]&gt;=AC$4)))))</f>
        <v>-</v>
      </c>
      <c r="AD187" s="121" t="str">
        <f ca="1">IF(AD$4&gt;NOW(),"-",IF(ISBLANK(Tbl_ResidentData[[#This Row],[Enrollment '[mmm-yyyy']]]),"-",AND((Tbl_ResidentData[[#This Row],[Enrollment '[mmm-yyyy']]]&lt;=AD$4),IF(ISBLANK(Tbl_ResidentData[[#This Row],[Discharge '[mmm-yyyy']]]),TRUE,(Tbl_ResidentData[[#This Row],[Discharge '[mmm-yyyy']]]&gt;=AD$4)))))</f>
        <v>-</v>
      </c>
      <c r="AE187" s="121" t="str">
        <f ca="1">IF(AE$4&gt;NOW(),"-",IF(ISBLANK(Tbl_ResidentData[[#This Row],[Enrollment '[mmm-yyyy']]]),"-",AND((Tbl_ResidentData[[#This Row],[Enrollment '[mmm-yyyy']]]&lt;=AE$4),IF(ISBLANK(Tbl_ResidentData[[#This Row],[Discharge '[mmm-yyyy']]]),TRUE,(Tbl_ResidentData[[#This Row],[Discharge '[mmm-yyyy']]]&gt;=AE$4)))))</f>
        <v>-</v>
      </c>
      <c r="AF187" s="121" t="str">
        <f ca="1">IF(AF$4&gt;NOW(),"-",IF(ISBLANK(Tbl_ResidentData[[#This Row],[Enrollment '[mmm-yyyy']]]),"-",AND((Tbl_ResidentData[[#This Row],[Enrollment '[mmm-yyyy']]]&lt;=AF$4),IF(ISBLANK(Tbl_ResidentData[[#This Row],[Discharge '[mmm-yyyy']]]),TRUE,(Tbl_ResidentData[[#This Row],[Discharge '[mmm-yyyy']]]&gt;=AF$4)))))</f>
        <v>-</v>
      </c>
      <c r="AG187" s="121" t="str">
        <f ca="1">IF(AG$4&gt;NOW(),"-",IF(ISBLANK(Tbl_ResidentData[[#This Row],[Enrollment '[mmm-yyyy']]]),"-",AND((Tbl_ResidentData[[#This Row],[Enrollment '[mmm-yyyy']]]&lt;=AG$4),IF(ISBLANK(Tbl_ResidentData[[#This Row],[Discharge '[mmm-yyyy']]]),TRUE,(Tbl_ResidentData[[#This Row],[Discharge '[mmm-yyyy']]]&gt;=AG$4)))))</f>
        <v>-</v>
      </c>
      <c r="AH187" s="121" t="str">
        <f ca="1">IF(AH$4&gt;NOW(),"-",IF(ISBLANK(Tbl_ResidentData[[#This Row],[Enrollment '[mmm-yyyy']]]),"-",AND((Tbl_ResidentData[[#This Row],[Enrollment '[mmm-yyyy']]]&lt;=AH$4),IF(ISBLANK(Tbl_ResidentData[[#This Row],[Discharge '[mmm-yyyy']]]),TRUE,(Tbl_ResidentData[[#This Row],[Discharge '[mmm-yyyy']]]&gt;=AH$4)))))</f>
        <v>-</v>
      </c>
      <c r="AI187" s="121" t="str">
        <f ca="1">IF(AI$4&gt;NOW(),"-",IF(ISBLANK(Tbl_ResidentData[[#This Row],[Enrollment '[mmm-yyyy']]]),"-",AND((Tbl_ResidentData[[#This Row],[Enrollment '[mmm-yyyy']]]&lt;=AI$4),IF(ISBLANK(Tbl_ResidentData[[#This Row],[Discharge '[mmm-yyyy']]]),TRUE,(Tbl_ResidentData[[#This Row],[Discharge '[mmm-yyyy']]]&gt;=AI$4)))))</f>
        <v>-</v>
      </c>
      <c r="AJ187" s="121" t="str">
        <f ca="1">IF(AJ$4&gt;NOW(),"-",IF(ISBLANK(Tbl_ResidentData[[#This Row],[Enrollment '[mmm-yyyy']]]),"-",AND((Tbl_ResidentData[[#This Row],[Enrollment '[mmm-yyyy']]]&lt;=AJ$4),IF(ISBLANK(Tbl_ResidentData[[#This Row],[Discharge '[mmm-yyyy']]]),TRUE,(Tbl_ResidentData[[#This Row],[Discharge '[mmm-yyyy']]]&gt;=AJ$4)))))</f>
        <v>-</v>
      </c>
      <c r="AK187" s="121" t="str">
        <f ca="1">IF(AK$4&gt;NOW(),"-",IF(ISBLANK(Tbl_ResidentData[[#This Row],[Enrollment '[mmm-yyyy']]]),"-",AND((Tbl_ResidentData[[#This Row],[Enrollment '[mmm-yyyy']]]&lt;=AK$4),IF(ISBLANK(Tbl_ResidentData[[#This Row],[Discharge '[mmm-yyyy']]]),TRUE,(Tbl_ResidentData[[#This Row],[Discharge '[mmm-yyyy']]]&gt;=AK$4)))))</f>
        <v>-</v>
      </c>
      <c r="AL187" s="121" t="str">
        <f ca="1">IF(AL$4&gt;NOW(),"-",IF(ISBLANK(Tbl_ResidentData[[#This Row],[Enrollment '[mmm-yyyy']]]),"-",AND((Tbl_ResidentData[[#This Row],[Enrollment '[mmm-yyyy']]]&lt;=AL$4),IF(ISBLANK(Tbl_ResidentData[[#This Row],[Discharge '[mmm-yyyy']]]),TRUE,(Tbl_ResidentData[[#This Row],[Discharge '[mmm-yyyy']]]&gt;=AL$4)))))</f>
        <v>-</v>
      </c>
      <c r="AM187" s="121" t="str">
        <f ca="1">IF(AM$4&gt;NOW(),"-",IF(ISBLANK(Tbl_ResidentData[[#This Row],[Enrollment '[mmm-yyyy']]]),"-",AND((Tbl_ResidentData[[#This Row],[Enrollment '[mmm-yyyy']]]&lt;=AM$4),IF(ISBLANK(Tbl_ResidentData[[#This Row],[Discharge '[mmm-yyyy']]]),TRUE,(Tbl_ResidentData[[#This Row],[Discharge '[mmm-yyyy']]]&gt;=AM$4)))))</f>
        <v>-</v>
      </c>
      <c r="AN187" s="121" t="str">
        <f ca="1">IF(AN$4&gt;NOW(),"-",IF(ISBLANK(Tbl_ResidentData[[#This Row],[Enrollment '[mmm-yyyy']]]),"-",AND((Tbl_ResidentData[[#This Row],[Enrollment '[mmm-yyyy']]]&lt;=AN$4),IF(ISBLANK(Tbl_ResidentData[[#This Row],[Discharge '[mmm-yyyy']]]),TRUE,(Tbl_ResidentData[[#This Row],[Discharge '[mmm-yyyy']]]&gt;=AN$4)))))</f>
        <v>-</v>
      </c>
      <c r="AO187" s="121" t="str">
        <f ca="1">IF(AO$4&gt;NOW(),"-",IF(ISBLANK(Tbl_ResidentData[[#This Row],[Enrollment '[mmm-yyyy']]]),"-",AND((Tbl_ResidentData[[#This Row],[Enrollment '[mmm-yyyy']]]&lt;=AO$4),IF(ISBLANK(Tbl_ResidentData[[#This Row],[Discharge '[mmm-yyyy']]]),TRUE,(Tbl_ResidentData[[#This Row],[Discharge '[mmm-yyyy']]]&gt;=AO$4)))))</f>
        <v>-</v>
      </c>
      <c r="AP187" s="121" t="str">
        <f ca="1">IF(AP$4&gt;NOW(),"-",IF(ISBLANK(Tbl_ResidentData[[#This Row],[Enrollment '[mmm-yyyy']]]),"-",AND((Tbl_ResidentData[[#This Row],[Enrollment '[mmm-yyyy']]]&lt;=AP$4),IF(ISBLANK(Tbl_ResidentData[[#This Row],[Discharge '[mmm-yyyy']]]),TRUE,(Tbl_ResidentData[[#This Row],[Discharge '[mmm-yyyy']]]&gt;=AP$4)))))</f>
        <v>-</v>
      </c>
      <c r="AQ187" s="121" t="str">
        <f ca="1">IF(AQ$4&gt;NOW(),"-",IF(ISBLANK(Tbl_ResidentData[[#This Row],[Enrollment '[mmm-yyyy']]]),"-",AND((Tbl_ResidentData[[#This Row],[Enrollment '[mmm-yyyy']]]&lt;=AQ$4),IF(ISBLANK(Tbl_ResidentData[[#This Row],[Discharge '[mmm-yyyy']]]),TRUE,(Tbl_ResidentData[[#This Row],[Discharge '[mmm-yyyy']]]&gt;=AQ$4)))))</f>
        <v>-</v>
      </c>
      <c r="AR187" s="122" t="str">
        <f ca="1">IF(AR$4&gt;NOW(),"-",IF(ISBLANK(Tbl_ResidentData[[#This Row],[Enrollment '[mmm-yyyy']]]),"-",AND((Tbl_ResidentData[[#This Row],[Enrollment '[mmm-yyyy']]]&lt;=AR$4),IF(ISBLANK(Tbl_ResidentData[[#This Row],[Discharge '[mmm-yyyy']]]),TRUE,(Tbl_ResidentData[[#This Row],[Discharge '[mmm-yyyy']]]&gt;=AR$4)))))</f>
        <v>-</v>
      </c>
      <c r="AS18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7" s="120" t="b">
        <f ca="1">AND(Tbl_ResidentData[[#This Row],[PRN Med Started]]&lt;&gt;"",Tbl_ResidentData[[#This Row],[PRN Med Started]]&lt;=NOW(),Tbl_ResidentData[[#This Row],[PRN Med Started]]&lt;=AS$4,OR(Tbl_ResidentData[[#This Row],[PRN Med Discontinued]]&gt;AS$4,ISBLANK(Tbl_ResidentData[[#This Row],[PRN Med Discontinued]])))</f>
        <v>0</v>
      </c>
      <c r="BR187" s="121" t="b">
        <f ca="1">AND(Tbl_ResidentData[[#This Row],[PRN Med Started]]&lt;&gt;"",Tbl_ResidentData[[#This Row],[PRN Med Started]]&lt;=NOW(),Tbl_ResidentData[[#This Row],[PRN Med Started]]&lt;=AT$4,OR(Tbl_ResidentData[[#This Row],[PRN Med Discontinued]]&gt;AT$4,ISBLANK(Tbl_ResidentData[[#This Row],[PRN Med Discontinued]])))</f>
        <v>0</v>
      </c>
      <c r="BS187" s="121" t="b">
        <f ca="1">AND(Tbl_ResidentData[[#This Row],[PRN Med Started]]&lt;&gt;"",Tbl_ResidentData[[#This Row],[PRN Med Started]]&lt;=NOW(),Tbl_ResidentData[[#This Row],[PRN Med Started]]&lt;=AU$4,OR(Tbl_ResidentData[[#This Row],[PRN Med Discontinued]]&gt;AU$4,ISBLANK(Tbl_ResidentData[[#This Row],[PRN Med Discontinued]])))</f>
        <v>0</v>
      </c>
      <c r="BT187" s="121" t="b">
        <f ca="1">AND(Tbl_ResidentData[[#This Row],[PRN Med Started]]&lt;&gt;"",Tbl_ResidentData[[#This Row],[PRN Med Started]]&lt;=NOW(),Tbl_ResidentData[[#This Row],[PRN Med Started]]&lt;=AV$4,OR(Tbl_ResidentData[[#This Row],[PRN Med Discontinued]]&gt;AV$4,ISBLANK(Tbl_ResidentData[[#This Row],[PRN Med Discontinued]])))</f>
        <v>0</v>
      </c>
      <c r="BU187" s="121" t="b">
        <f ca="1">AND(Tbl_ResidentData[[#This Row],[PRN Med Started]]&lt;&gt;"",Tbl_ResidentData[[#This Row],[PRN Med Started]]&lt;=NOW(),Tbl_ResidentData[[#This Row],[PRN Med Started]]&lt;=AW$4,OR(Tbl_ResidentData[[#This Row],[PRN Med Discontinued]]&gt;AW$4,ISBLANK(Tbl_ResidentData[[#This Row],[PRN Med Discontinued]])))</f>
        <v>0</v>
      </c>
      <c r="BV187" s="121" t="b">
        <f ca="1">AND(Tbl_ResidentData[[#This Row],[PRN Med Started]]&lt;&gt;"",Tbl_ResidentData[[#This Row],[PRN Med Started]]&lt;=NOW(),Tbl_ResidentData[[#This Row],[PRN Med Started]]&lt;=AX$4,OR(Tbl_ResidentData[[#This Row],[PRN Med Discontinued]]&gt;AX$4,ISBLANK(Tbl_ResidentData[[#This Row],[PRN Med Discontinued]])))</f>
        <v>0</v>
      </c>
      <c r="BW187" s="121" t="b">
        <f ca="1">AND(Tbl_ResidentData[[#This Row],[PRN Med Started]]&lt;&gt;"",Tbl_ResidentData[[#This Row],[PRN Med Started]]&lt;=NOW(),Tbl_ResidentData[[#This Row],[PRN Med Started]]&lt;=AY$4,OR(Tbl_ResidentData[[#This Row],[PRN Med Discontinued]]&gt;AY$4,ISBLANK(Tbl_ResidentData[[#This Row],[PRN Med Discontinued]])))</f>
        <v>0</v>
      </c>
      <c r="BX187" s="121" t="b">
        <f ca="1">AND(Tbl_ResidentData[[#This Row],[PRN Med Started]]&lt;&gt;"",Tbl_ResidentData[[#This Row],[PRN Med Started]]&lt;=NOW(),Tbl_ResidentData[[#This Row],[PRN Med Started]]&lt;=AZ$4,OR(Tbl_ResidentData[[#This Row],[PRN Med Discontinued]]&gt;AZ$4,ISBLANK(Tbl_ResidentData[[#This Row],[PRN Med Discontinued]])))</f>
        <v>0</v>
      </c>
      <c r="BY187" s="121" t="b">
        <f ca="1">AND(Tbl_ResidentData[[#This Row],[PRN Med Started]]&lt;&gt;"",Tbl_ResidentData[[#This Row],[PRN Med Started]]&lt;=NOW(),Tbl_ResidentData[[#This Row],[PRN Med Started]]&lt;=BA$4,OR(Tbl_ResidentData[[#This Row],[PRN Med Discontinued]]&gt;BA$4,ISBLANK(Tbl_ResidentData[[#This Row],[PRN Med Discontinued]])))</f>
        <v>0</v>
      </c>
      <c r="BZ187" s="121" t="b">
        <f ca="1">AND(Tbl_ResidentData[[#This Row],[PRN Med Started]]&lt;&gt;"",Tbl_ResidentData[[#This Row],[PRN Med Started]]&lt;=NOW(),Tbl_ResidentData[[#This Row],[PRN Med Started]]&lt;=BB$4,OR(Tbl_ResidentData[[#This Row],[PRN Med Discontinued]]&gt;BB$4,ISBLANK(Tbl_ResidentData[[#This Row],[PRN Med Discontinued]])))</f>
        <v>0</v>
      </c>
      <c r="CA187" s="121" t="b">
        <f ca="1">AND(Tbl_ResidentData[[#This Row],[PRN Med Started]]&lt;&gt;"",Tbl_ResidentData[[#This Row],[PRN Med Started]]&lt;=NOW(),Tbl_ResidentData[[#This Row],[PRN Med Started]]&lt;=BC$4,OR(Tbl_ResidentData[[#This Row],[PRN Med Discontinued]]&gt;BC$4,ISBLANK(Tbl_ResidentData[[#This Row],[PRN Med Discontinued]])))</f>
        <v>0</v>
      </c>
      <c r="CB187" s="121" t="b">
        <f ca="1">AND(Tbl_ResidentData[[#This Row],[PRN Med Started]]&lt;&gt;"",Tbl_ResidentData[[#This Row],[PRN Med Started]]&lt;=NOW(),Tbl_ResidentData[[#This Row],[PRN Med Started]]&lt;=BD$4,OR(Tbl_ResidentData[[#This Row],[PRN Med Discontinued]]&gt;BD$4,ISBLANK(Tbl_ResidentData[[#This Row],[PRN Med Discontinued]])))</f>
        <v>0</v>
      </c>
      <c r="CC187" s="121" t="b">
        <f ca="1">AND(Tbl_ResidentData[[#This Row],[PRN Med Started]]&lt;&gt;"",Tbl_ResidentData[[#This Row],[PRN Med Started]]&lt;=NOW(),Tbl_ResidentData[[#This Row],[PRN Med Started]]&lt;=BE$4,OR(Tbl_ResidentData[[#This Row],[PRN Med Discontinued]]&gt;BE$4,ISBLANK(Tbl_ResidentData[[#This Row],[PRN Med Discontinued]])))</f>
        <v>0</v>
      </c>
      <c r="CD187" s="121" t="b">
        <f ca="1">AND(Tbl_ResidentData[[#This Row],[PRN Med Started]]&lt;&gt;"",Tbl_ResidentData[[#This Row],[PRN Med Started]]&lt;=NOW(),Tbl_ResidentData[[#This Row],[PRN Med Started]]&lt;=BF$4,OR(Tbl_ResidentData[[#This Row],[PRN Med Discontinued]]&gt;BF$4,ISBLANK(Tbl_ResidentData[[#This Row],[PRN Med Discontinued]])))</f>
        <v>0</v>
      </c>
      <c r="CE187" s="121" t="b">
        <f ca="1">AND(Tbl_ResidentData[[#This Row],[PRN Med Started]]&lt;&gt;"",Tbl_ResidentData[[#This Row],[PRN Med Started]]&lt;=NOW(),Tbl_ResidentData[[#This Row],[PRN Med Started]]&lt;=BG$4,OR(Tbl_ResidentData[[#This Row],[PRN Med Discontinued]]&gt;BG$4,ISBLANK(Tbl_ResidentData[[#This Row],[PRN Med Discontinued]])))</f>
        <v>0</v>
      </c>
      <c r="CF187" s="121" t="b">
        <f ca="1">AND(Tbl_ResidentData[[#This Row],[PRN Med Started]]&lt;&gt;"",Tbl_ResidentData[[#This Row],[PRN Med Started]]&lt;=NOW(),Tbl_ResidentData[[#This Row],[PRN Med Started]]&lt;=BH$4,OR(Tbl_ResidentData[[#This Row],[PRN Med Discontinued]]&gt;BH$4,ISBLANK(Tbl_ResidentData[[#This Row],[PRN Med Discontinued]])))</f>
        <v>0</v>
      </c>
      <c r="CG187" s="121" t="b">
        <f ca="1">AND(Tbl_ResidentData[[#This Row],[PRN Med Started]]&lt;&gt;"",Tbl_ResidentData[[#This Row],[PRN Med Started]]&lt;=NOW(),Tbl_ResidentData[[#This Row],[PRN Med Started]]&lt;=BI$4,OR(Tbl_ResidentData[[#This Row],[PRN Med Discontinued]]&gt;BI$4,ISBLANK(Tbl_ResidentData[[#This Row],[PRN Med Discontinued]])))</f>
        <v>0</v>
      </c>
      <c r="CH187" s="121" t="b">
        <f ca="1">AND(Tbl_ResidentData[[#This Row],[PRN Med Started]]&lt;&gt;"",Tbl_ResidentData[[#This Row],[PRN Med Started]]&lt;=NOW(),Tbl_ResidentData[[#This Row],[PRN Med Started]]&lt;=BJ$4,OR(Tbl_ResidentData[[#This Row],[PRN Med Discontinued]]&gt;BJ$4,ISBLANK(Tbl_ResidentData[[#This Row],[PRN Med Discontinued]])))</f>
        <v>0</v>
      </c>
      <c r="CI187" s="121" t="b">
        <f ca="1">AND(Tbl_ResidentData[[#This Row],[PRN Med Started]]&lt;&gt;"",Tbl_ResidentData[[#This Row],[PRN Med Started]]&lt;=NOW(),Tbl_ResidentData[[#This Row],[PRN Med Started]]&lt;=BK$4,OR(Tbl_ResidentData[[#This Row],[PRN Med Discontinued]]&gt;BK$4,ISBLANK(Tbl_ResidentData[[#This Row],[PRN Med Discontinued]])))</f>
        <v>0</v>
      </c>
      <c r="CJ187" s="121" t="b">
        <f ca="1">AND(Tbl_ResidentData[[#This Row],[PRN Med Started]]&lt;&gt;"",Tbl_ResidentData[[#This Row],[PRN Med Started]]&lt;=NOW(),Tbl_ResidentData[[#This Row],[PRN Med Started]]&lt;=BL$4,OR(Tbl_ResidentData[[#This Row],[PRN Med Discontinued]]&gt;BL$4,ISBLANK(Tbl_ResidentData[[#This Row],[PRN Med Discontinued]])))</f>
        <v>0</v>
      </c>
      <c r="CK187" s="121" t="b">
        <f ca="1">AND(Tbl_ResidentData[[#This Row],[PRN Med Started]]&lt;&gt;"",Tbl_ResidentData[[#This Row],[PRN Med Started]]&lt;=NOW(),Tbl_ResidentData[[#This Row],[PRN Med Started]]&lt;=BM$4,OR(Tbl_ResidentData[[#This Row],[PRN Med Discontinued]]&gt;BM$4,ISBLANK(Tbl_ResidentData[[#This Row],[PRN Med Discontinued]])))</f>
        <v>0</v>
      </c>
      <c r="CL187" s="121" t="b">
        <f ca="1">AND(Tbl_ResidentData[[#This Row],[PRN Med Started]]&lt;&gt;"",Tbl_ResidentData[[#This Row],[PRN Med Started]]&lt;=NOW(),Tbl_ResidentData[[#This Row],[PRN Med Started]]&lt;=BN$4,OR(Tbl_ResidentData[[#This Row],[PRN Med Discontinued]]&gt;BN$4,ISBLANK(Tbl_ResidentData[[#This Row],[PRN Med Discontinued]])))</f>
        <v>0</v>
      </c>
      <c r="CM187" s="121" t="b">
        <f ca="1">AND(Tbl_ResidentData[[#This Row],[PRN Med Started]]&lt;&gt;"",Tbl_ResidentData[[#This Row],[PRN Med Started]]&lt;=NOW(),Tbl_ResidentData[[#This Row],[PRN Med Started]]&lt;=BO$4,OR(Tbl_ResidentData[[#This Row],[PRN Med Discontinued]]&gt;BO$4,ISBLANK(Tbl_ResidentData[[#This Row],[PRN Med Discontinued]])))</f>
        <v>0</v>
      </c>
      <c r="CN187" s="122" t="b">
        <f ca="1">AND(Tbl_ResidentData[[#This Row],[PRN Med Started]]&lt;&gt;"",Tbl_ResidentData[[#This Row],[PRN Med Started]]&lt;=NOW(),Tbl_ResidentData[[#This Row],[PRN Med Started]]&lt;=BP$4,OR(Tbl_ResidentData[[#This Row],[PRN Med Discontinued]]&gt;BP$4,ISBLANK(Tbl_ResidentData[[#This Row],[PRN Med Discontinued]])))</f>
        <v>0</v>
      </c>
      <c r="CO187" s="120">
        <f ca="1">IF(OR(Tbl_ResidentData[[#This Row],[S1]]=TRUE,Tbl_ResidentData[[#This Row],[P1]]=TRUE),1,0)</f>
        <v>0</v>
      </c>
      <c r="CP187" s="121">
        <f ca="1">IF(OR(Tbl_ResidentData[[#This Row],[S2]]=TRUE,Tbl_ResidentData[[#This Row],[P2]]=TRUE),1,0)</f>
        <v>0</v>
      </c>
      <c r="CQ187" s="121">
        <f ca="1">IF(OR(Tbl_ResidentData[[#This Row],[S3]]=TRUE,Tbl_ResidentData[[#This Row],[P3]]=TRUE),1,0)</f>
        <v>0</v>
      </c>
      <c r="CR187" s="120">
        <f ca="1">IF(OR(Tbl_ResidentData[[#This Row],[S4]]=TRUE,Tbl_ResidentData[[#This Row],[P4]]=TRUE),1,0)</f>
        <v>0</v>
      </c>
      <c r="CS187" s="120">
        <f ca="1">IF(OR(Tbl_ResidentData[[#This Row],[S5]]=TRUE,Tbl_ResidentData[[#This Row],[P5]]=TRUE),1,0)</f>
        <v>0</v>
      </c>
      <c r="CT187" s="120">
        <f ca="1">IF(OR(Tbl_ResidentData[[#This Row],[S6]]=TRUE,Tbl_ResidentData[[#This Row],[P6]]=TRUE),1,0)</f>
        <v>0</v>
      </c>
      <c r="CU187" s="120">
        <f ca="1">IF(OR(Tbl_ResidentData[[#This Row],[S7]]=TRUE,Tbl_ResidentData[[#This Row],[P7]]=TRUE),1,0)</f>
        <v>0</v>
      </c>
      <c r="CV187" s="120">
        <f ca="1">IF(OR(Tbl_ResidentData[[#This Row],[S8]]=TRUE,Tbl_ResidentData[[#This Row],[P8]]=TRUE),1,0)</f>
        <v>0</v>
      </c>
      <c r="CW187" s="120">
        <f ca="1">IF(OR(Tbl_ResidentData[[#This Row],[S9]]=TRUE,Tbl_ResidentData[[#This Row],[P9]]=TRUE),1,0)</f>
        <v>0</v>
      </c>
      <c r="CX187" s="120">
        <f ca="1">IF(OR(Tbl_ResidentData[[#This Row],[S10]]=TRUE,Tbl_ResidentData[[#This Row],[P10]]=TRUE),1,0)</f>
        <v>0</v>
      </c>
      <c r="CY187" s="120">
        <f ca="1">IF(OR(Tbl_ResidentData[[#This Row],[S11]]=TRUE,Tbl_ResidentData[[#This Row],[P11]]=TRUE),1,0)</f>
        <v>0</v>
      </c>
      <c r="CZ187" s="120">
        <f ca="1">IF(OR(Tbl_ResidentData[[#This Row],[S12]]=TRUE,Tbl_ResidentData[[#This Row],[P12]]=TRUE),1,0)</f>
        <v>0</v>
      </c>
      <c r="DA187" s="120">
        <f ca="1">IF(OR(Tbl_ResidentData[[#This Row],[S13]]=TRUE,Tbl_ResidentData[[#This Row],[P13]]=TRUE),1,0)</f>
        <v>0</v>
      </c>
      <c r="DB187" s="120">
        <f ca="1">IF(OR(Tbl_ResidentData[[#This Row],[S14]]=TRUE,Tbl_ResidentData[[#This Row],[P14]]=TRUE),1,0)</f>
        <v>0</v>
      </c>
      <c r="DC187" s="120">
        <f ca="1">IF(OR(Tbl_ResidentData[[#This Row],[S15]]=TRUE,Tbl_ResidentData[[#This Row],[P15]]=TRUE),1,0)</f>
        <v>0</v>
      </c>
      <c r="DD187" s="120">
        <f ca="1">IF(OR(Tbl_ResidentData[[#This Row],[S16]]=TRUE,Tbl_ResidentData[[#This Row],[P16]]=TRUE),1,0)</f>
        <v>0</v>
      </c>
      <c r="DE187" s="120">
        <f ca="1">IF(OR(Tbl_ResidentData[[#This Row],[S17]]=TRUE,Tbl_ResidentData[[#This Row],[P17]]=TRUE),1,0)</f>
        <v>0</v>
      </c>
      <c r="DF187" s="120">
        <f ca="1">IF(OR(Tbl_ResidentData[[#This Row],[S18]]=TRUE,Tbl_ResidentData[[#This Row],[P18]]=TRUE),1,0)</f>
        <v>0</v>
      </c>
      <c r="DG187" s="120">
        <f ca="1">IF(OR(Tbl_ResidentData[[#This Row],[S19]]=TRUE,Tbl_ResidentData[[#This Row],[P19]]=TRUE),1,0)</f>
        <v>0</v>
      </c>
      <c r="DH187" s="120">
        <f ca="1">IF(OR(Tbl_ResidentData[[#This Row],[S20]]=TRUE,Tbl_ResidentData[[#This Row],[P20]]=TRUE),1,0)</f>
        <v>0</v>
      </c>
      <c r="DI187" s="120">
        <f ca="1">IF(OR(Tbl_ResidentData[[#This Row],[S21]]=TRUE,Tbl_ResidentData[[#This Row],[P21]]=TRUE),1,0)</f>
        <v>0</v>
      </c>
      <c r="DJ187" s="120">
        <f ca="1">IF(OR(Tbl_ResidentData[[#This Row],[S22]]=TRUE,Tbl_ResidentData[[#This Row],[P22]]=TRUE),1,0)</f>
        <v>0</v>
      </c>
      <c r="DK187" s="120">
        <f ca="1">IF(OR(Tbl_ResidentData[[#This Row],[S23]]=TRUE,Tbl_ResidentData[[#This Row],[P23]]=TRUE),1,0)</f>
        <v>0</v>
      </c>
      <c r="DL187" s="120">
        <f ca="1">IF(OR(Tbl_ResidentData[[#This Row],[S24]]=TRUE,Tbl_ResidentData[[#This Row],[P24]]=TRUE),1,0)</f>
        <v>0</v>
      </c>
      <c r="DM187" s="123" t="str">
        <f ca="1">IFERROR(INDEX($CO$4:$DL$4,MATCH(TRUE,INDEX((Tbl_ResidentData[[#This Row],[Over1]:[Over24]]&lt;&gt;0),0),0)),"")</f>
        <v/>
      </c>
      <c r="DN187" s="133" t="str">
        <f>IFERROR(INDEX(Tbl_PDSAData[Last DRT],MATCH(Tbl_ResidentData[Resident Name '[last, first']],Tbl_PDSAData[Resident Name (last, first)],0)),"")</f>
        <v/>
      </c>
      <c r="DO187" s="222" t="str">
        <f>IFERROR(INDEX(Tbl_PDSAData[Last MR],MATCH(Tbl_ResidentData[Resident Name '[last, first']],Tbl_PDSAData[Resident Name (last, first)],0)),"")</f>
        <v/>
      </c>
    </row>
    <row r="188" spans="1:119" x14ac:dyDescent="0.25">
      <c r="A188" s="179"/>
      <c r="B188" s="180"/>
      <c r="C188" s="180"/>
      <c r="D188" s="218"/>
      <c r="E188" s="179"/>
      <c r="F188" s="179"/>
      <c r="G188" s="181"/>
      <c r="H188" s="375"/>
      <c r="I188" s="185"/>
      <c r="J188" s="387"/>
      <c r="K188" s="178"/>
      <c r="L188" s="388"/>
      <c r="M188" s="185"/>
      <c r="N188" s="386"/>
      <c r="O188" s="178"/>
      <c r="P188" s="388"/>
      <c r="Q188" s="394"/>
      <c r="R188" s="388"/>
      <c r="S188" s="131" t="str">
        <f>IF(ISBLANK(Tbl_ResidentData[[#This Row],[Discharge '[mmm-yyyy']]]),IF(ISBLANK(Tbl_ResidentData[[#This Row],[Enrollment '[mmm-yyyy']]]),"","In Care Home"),"Discharged")</f>
        <v/>
      </c>
      <c r="T188" s="119" t="str">
        <f>IF(ISBLANK(Tbl_ResidentData[[#This Row],[Diagnosis (RAI)]]),IF(ISBLANK(Tbl_ResidentData[[#This Row],[Resident Name '[last, first']]]),"",0),IF(Tbl_ResidentData[[#This Row],[Diagnosis (RAI)]]="Other (see clinical notes)",0,1))</f>
        <v/>
      </c>
      <c r="U188" s="120" t="str">
        <f ca="1">IF(U$4&gt;NOW(),"-",IF(ISBLANK(Tbl_ResidentData[[#This Row],[Enrollment '[mmm-yyyy']]]),"-",AND((Tbl_ResidentData[[#This Row],[Enrollment '[mmm-yyyy']]]&lt;=U$4),IF(ISBLANK(Tbl_ResidentData[[#This Row],[Discharge '[mmm-yyyy']]]),TRUE,(Tbl_ResidentData[[#This Row],[Discharge '[mmm-yyyy']]]&gt;=U$4)))))</f>
        <v>-</v>
      </c>
      <c r="V188" s="121" t="str">
        <f ca="1">IF(V$4&gt;NOW(),"-",IF(ISBLANK(Tbl_ResidentData[[#This Row],[Enrollment '[mmm-yyyy']]]),"-",AND((Tbl_ResidentData[[#This Row],[Enrollment '[mmm-yyyy']]]&lt;=V$4),IF(ISBLANK(Tbl_ResidentData[[#This Row],[Discharge '[mmm-yyyy']]]),TRUE,(Tbl_ResidentData[[#This Row],[Discharge '[mmm-yyyy']]]&gt;=V$4)))))</f>
        <v>-</v>
      </c>
      <c r="W188" s="121" t="str">
        <f ca="1">IF(W$4&gt;NOW(),"-",IF(ISBLANK(Tbl_ResidentData[[#This Row],[Enrollment '[mmm-yyyy']]]),"-",AND((Tbl_ResidentData[[#This Row],[Enrollment '[mmm-yyyy']]]&lt;=W$4),IF(ISBLANK(Tbl_ResidentData[[#This Row],[Discharge '[mmm-yyyy']]]),TRUE,(Tbl_ResidentData[[#This Row],[Discharge '[mmm-yyyy']]]&gt;=W$4)))))</f>
        <v>-</v>
      </c>
      <c r="X188" s="121" t="str">
        <f ca="1">IF(X$4&gt;NOW(),"-",IF(ISBLANK(Tbl_ResidentData[[#This Row],[Enrollment '[mmm-yyyy']]]),"-",AND((Tbl_ResidentData[[#This Row],[Enrollment '[mmm-yyyy']]]&lt;=X$4),IF(ISBLANK(Tbl_ResidentData[[#This Row],[Discharge '[mmm-yyyy']]]),TRUE,(Tbl_ResidentData[[#This Row],[Discharge '[mmm-yyyy']]]&gt;=X$4)))))</f>
        <v>-</v>
      </c>
      <c r="Y188" s="121" t="str">
        <f ca="1">IF(Y$4&gt;NOW(),"-",IF(ISBLANK(Tbl_ResidentData[[#This Row],[Enrollment '[mmm-yyyy']]]),"-",AND((Tbl_ResidentData[[#This Row],[Enrollment '[mmm-yyyy']]]&lt;=Y$4),IF(ISBLANK(Tbl_ResidentData[[#This Row],[Discharge '[mmm-yyyy']]]),TRUE,(Tbl_ResidentData[[#This Row],[Discharge '[mmm-yyyy']]]&gt;=Y$4)))))</f>
        <v>-</v>
      </c>
      <c r="Z188" s="121" t="str">
        <f ca="1">IF(Z$4&gt;NOW(),"-",IF(ISBLANK(Tbl_ResidentData[[#This Row],[Enrollment '[mmm-yyyy']]]),"-",AND((Tbl_ResidentData[[#This Row],[Enrollment '[mmm-yyyy']]]&lt;=Z$4),IF(ISBLANK(Tbl_ResidentData[[#This Row],[Discharge '[mmm-yyyy']]]),TRUE,(Tbl_ResidentData[[#This Row],[Discharge '[mmm-yyyy']]]&gt;=Z$4)))))</f>
        <v>-</v>
      </c>
      <c r="AA188" s="121" t="str">
        <f ca="1">IF(AA$4&gt;NOW(),"-",IF(ISBLANK(Tbl_ResidentData[[#This Row],[Enrollment '[mmm-yyyy']]]),"-",AND((Tbl_ResidentData[[#This Row],[Enrollment '[mmm-yyyy']]]&lt;=AA$4),IF(ISBLANK(Tbl_ResidentData[[#This Row],[Discharge '[mmm-yyyy']]]),TRUE,(Tbl_ResidentData[[#This Row],[Discharge '[mmm-yyyy']]]&gt;=AA$4)))))</f>
        <v>-</v>
      </c>
      <c r="AB188" s="121" t="str">
        <f ca="1">IF(AB$4&gt;NOW(),"-",IF(ISBLANK(Tbl_ResidentData[[#This Row],[Enrollment '[mmm-yyyy']]]),"-",AND((Tbl_ResidentData[[#This Row],[Enrollment '[mmm-yyyy']]]&lt;=AB$4),IF(ISBLANK(Tbl_ResidentData[[#This Row],[Discharge '[mmm-yyyy']]]),TRUE,(Tbl_ResidentData[[#This Row],[Discharge '[mmm-yyyy']]]&gt;=AB$4)))))</f>
        <v>-</v>
      </c>
      <c r="AC188" s="121" t="str">
        <f ca="1">IF(AC$4&gt;NOW(),"-",IF(ISBLANK(Tbl_ResidentData[[#This Row],[Enrollment '[mmm-yyyy']]]),"-",AND((Tbl_ResidentData[[#This Row],[Enrollment '[mmm-yyyy']]]&lt;=AC$4),IF(ISBLANK(Tbl_ResidentData[[#This Row],[Discharge '[mmm-yyyy']]]),TRUE,(Tbl_ResidentData[[#This Row],[Discharge '[mmm-yyyy']]]&gt;=AC$4)))))</f>
        <v>-</v>
      </c>
      <c r="AD188" s="121" t="str">
        <f ca="1">IF(AD$4&gt;NOW(),"-",IF(ISBLANK(Tbl_ResidentData[[#This Row],[Enrollment '[mmm-yyyy']]]),"-",AND((Tbl_ResidentData[[#This Row],[Enrollment '[mmm-yyyy']]]&lt;=AD$4),IF(ISBLANK(Tbl_ResidentData[[#This Row],[Discharge '[mmm-yyyy']]]),TRUE,(Tbl_ResidentData[[#This Row],[Discharge '[mmm-yyyy']]]&gt;=AD$4)))))</f>
        <v>-</v>
      </c>
      <c r="AE188" s="121" t="str">
        <f ca="1">IF(AE$4&gt;NOW(),"-",IF(ISBLANK(Tbl_ResidentData[[#This Row],[Enrollment '[mmm-yyyy']]]),"-",AND((Tbl_ResidentData[[#This Row],[Enrollment '[mmm-yyyy']]]&lt;=AE$4),IF(ISBLANK(Tbl_ResidentData[[#This Row],[Discharge '[mmm-yyyy']]]),TRUE,(Tbl_ResidentData[[#This Row],[Discharge '[mmm-yyyy']]]&gt;=AE$4)))))</f>
        <v>-</v>
      </c>
      <c r="AF188" s="121" t="str">
        <f ca="1">IF(AF$4&gt;NOW(),"-",IF(ISBLANK(Tbl_ResidentData[[#This Row],[Enrollment '[mmm-yyyy']]]),"-",AND((Tbl_ResidentData[[#This Row],[Enrollment '[mmm-yyyy']]]&lt;=AF$4),IF(ISBLANK(Tbl_ResidentData[[#This Row],[Discharge '[mmm-yyyy']]]),TRUE,(Tbl_ResidentData[[#This Row],[Discharge '[mmm-yyyy']]]&gt;=AF$4)))))</f>
        <v>-</v>
      </c>
      <c r="AG188" s="121" t="str">
        <f ca="1">IF(AG$4&gt;NOW(),"-",IF(ISBLANK(Tbl_ResidentData[[#This Row],[Enrollment '[mmm-yyyy']]]),"-",AND((Tbl_ResidentData[[#This Row],[Enrollment '[mmm-yyyy']]]&lt;=AG$4),IF(ISBLANK(Tbl_ResidentData[[#This Row],[Discharge '[mmm-yyyy']]]),TRUE,(Tbl_ResidentData[[#This Row],[Discharge '[mmm-yyyy']]]&gt;=AG$4)))))</f>
        <v>-</v>
      </c>
      <c r="AH188" s="121" t="str">
        <f ca="1">IF(AH$4&gt;NOW(),"-",IF(ISBLANK(Tbl_ResidentData[[#This Row],[Enrollment '[mmm-yyyy']]]),"-",AND((Tbl_ResidentData[[#This Row],[Enrollment '[mmm-yyyy']]]&lt;=AH$4),IF(ISBLANK(Tbl_ResidentData[[#This Row],[Discharge '[mmm-yyyy']]]),TRUE,(Tbl_ResidentData[[#This Row],[Discharge '[mmm-yyyy']]]&gt;=AH$4)))))</f>
        <v>-</v>
      </c>
      <c r="AI188" s="121" t="str">
        <f ca="1">IF(AI$4&gt;NOW(),"-",IF(ISBLANK(Tbl_ResidentData[[#This Row],[Enrollment '[mmm-yyyy']]]),"-",AND((Tbl_ResidentData[[#This Row],[Enrollment '[mmm-yyyy']]]&lt;=AI$4),IF(ISBLANK(Tbl_ResidentData[[#This Row],[Discharge '[mmm-yyyy']]]),TRUE,(Tbl_ResidentData[[#This Row],[Discharge '[mmm-yyyy']]]&gt;=AI$4)))))</f>
        <v>-</v>
      </c>
      <c r="AJ188" s="121" t="str">
        <f ca="1">IF(AJ$4&gt;NOW(),"-",IF(ISBLANK(Tbl_ResidentData[[#This Row],[Enrollment '[mmm-yyyy']]]),"-",AND((Tbl_ResidentData[[#This Row],[Enrollment '[mmm-yyyy']]]&lt;=AJ$4),IF(ISBLANK(Tbl_ResidentData[[#This Row],[Discharge '[mmm-yyyy']]]),TRUE,(Tbl_ResidentData[[#This Row],[Discharge '[mmm-yyyy']]]&gt;=AJ$4)))))</f>
        <v>-</v>
      </c>
      <c r="AK188" s="121" t="str">
        <f ca="1">IF(AK$4&gt;NOW(),"-",IF(ISBLANK(Tbl_ResidentData[[#This Row],[Enrollment '[mmm-yyyy']]]),"-",AND((Tbl_ResidentData[[#This Row],[Enrollment '[mmm-yyyy']]]&lt;=AK$4),IF(ISBLANK(Tbl_ResidentData[[#This Row],[Discharge '[mmm-yyyy']]]),TRUE,(Tbl_ResidentData[[#This Row],[Discharge '[mmm-yyyy']]]&gt;=AK$4)))))</f>
        <v>-</v>
      </c>
      <c r="AL188" s="121" t="str">
        <f ca="1">IF(AL$4&gt;NOW(),"-",IF(ISBLANK(Tbl_ResidentData[[#This Row],[Enrollment '[mmm-yyyy']]]),"-",AND((Tbl_ResidentData[[#This Row],[Enrollment '[mmm-yyyy']]]&lt;=AL$4),IF(ISBLANK(Tbl_ResidentData[[#This Row],[Discharge '[mmm-yyyy']]]),TRUE,(Tbl_ResidentData[[#This Row],[Discharge '[mmm-yyyy']]]&gt;=AL$4)))))</f>
        <v>-</v>
      </c>
      <c r="AM188" s="121" t="str">
        <f ca="1">IF(AM$4&gt;NOW(),"-",IF(ISBLANK(Tbl_ResidentData[[#This Row],[Enrollment '[mmm-yyyy']]]),"-",AND((Tbl_ResidentData[[#This Row],[Enrollment '[mmm-yyyy']]]&lt;=AM$4),IF(ISBLANK(Tbl_ResidentData[[#This Row],[Discharge '[mmm-yyyy']]]),TRUE,(Tbl_ResidentData[[#This Row],[Discharge '[mmm-yyyy']]]&gt;=AM$4)))))</f>
        <v>-</v>
      </c>
      <c r="AN188" s="121" t="str">
        <f ca="1">IF(AN$4&gt;NOW(),"-",IF(ISBLANK(Tbl_ResidentData[[#This Row],[Enrollment '[mmm-yyyy']]]),"-",AND((Tbl_ResidentData[[#This Row],[Enrollment '[mmm-yyyy']]]&lt;=AN$4),IF(ISBLANK(Tbl_ResidentData[[#This Row],[Discharge '[mmm-yyyy']]]),TRUE,(Tbl_ResidentData[[#This Row],[Discharge '[mmm-yyyy']]]&gt;=AN$4)))))</f>
        <v>-</v>
      </c>
      <c r="AO188" s="121" t="str">
        <f ca="1">IF(AO$4&gt;NOW(),"-",IF(ISBLANK(Tbl_ResidentData[[#This Row],[Enrollment '[mmm-yyyy']]]),"-",AND((Tbl_ResidentData[[#This Row],[Enrollment '[mmm-yyyy']]]&lt;=AO$4),IF(ISBLANK(Tbl_ResidentData[[#This Row],[Discharge '[mmm-yyyy']]]),TRUE,(Tbl_ResidentData[[#This Row],[Discharge '[mmm-yyyy']]]&gt;=AO$4)))))</f>
        <v>-</v>
      </c>
      <c r="AP188" s="121" t="str">
        <f ca="1">IF(AP$4&gt;NOW(),"-",IF(ISBLANK(Tbl_ResidentData[[#This Row],[Enrollment '[mmm-yyyy']]]),"-",AND((Tbl_ResidentData[[#This Row],[Enrollment '[mmm-yyyy']]]&lt;=AP$4),IF(ISBLANK(Tbl_ResidentData[[#This Row],[Discharge '[mmm-yyyy']]]),TRUE,(Tbl_ResidentData[[#This Row],[Discharge '[mmm-yyyy']]]&gt;=AP$4)))))</f>
        <v>-</v>
      </c>
      <c r="AQ188" s="121" t="str">
        <f ca="1">IF(AQ$4&gt;NOW(),"-",IF(ISBLANK(Tbl_ResidentData[[#This Row],[Enrollment '[mmm-yyyy']]]),"-",AND((Tbl_ResidentData[[#This Row],[Enrollment '[mmm-yyyy']]]&lt;=AQ$4),IF(ISBLANK(Tbl_ResidentData[[#This Row],[Discharge '[mmm-yyyy']]]),TRUE,(Tbl_ResidentData[[#This Row],[Discharge '[mmm-yyyy']]]&gt;=AQ$4)))))</f>
        <v>-</v>
      </c>
      <c r="AR188" s="122" t="str">
        <f ca="1">IF(AR$4&gt;NOW(),"-",IF(ISBLANK(Tbl_ResidentData[[#This Row],[Enrollment '[mmm-yyyy']]]),"-",AND((Tbl_ResidentData[[#This Row],[Enrollment '[mmm-yyyy']]]&lt;=AR$4),IF(ISBLANK(Tbl_ResidentData[[#This Row],[Discharge '[mmm-yyyy']]]),TRUE,(Tbl_ResidentData[[#This Row],[Discharge '[mmm-yyyy']]]&gt;=AR$4)))))</f>
        <v>-</v>
      </c>
      <c r="AS18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8" s="120" t="b">
        <f ca="1">AND(Tbl_ResidentData[[#This Row],[PRN Med Started]]&lt;&gt;"",Tbl_ResidentData[[#This Row],[PRN Med Started]]&lt;=NOW(),Tbl_ResidentData[[#This Row],[PRN Med Started]]&lt;=AS$4,OR(Tbl_ResidentData[[#This Row],[PRN Med Discontinued]]&gt;AS$4,ISBLANK(Tbl_ResidentData[[#This Row],[PRN Med Discontinued]])))</f>
        <v>0</v>
      </c>
      <c r="BR188" s="121" t="b">
        <f ca="1">AND(Tbl_ResidentData[[#This Row],[PRN Med Started]]&lt;&gt;"",Tbl_ResidentData[[#This Row],[PRN Med Started]]&lt;=NOW(),Tbl_ResidentData[[#This Row],[PRN Med Started]]&lt;=AT$4,OR(Tbl_ResidentData[[#This Row],[PRN Med Discontinued]]&gt;AT$4,ISBLANK(Tbl_ResidentData[[#This Row],[PRN Med Discontinued]])))</f>
        <v>0</v>
      </c>
      <c r="BS188" s="121" t="b">
        <f ca="1">AND(Tbl_ResidentData[[#This Row],[PRN Med Started]]&lt;&gt;"",Tbl_ResidentData[[#This Row],[PRN Med Started]]&lt;=NOW(),Tbl_ResidentData[[#This Row],[PRN Med Started]]&lt;=AU$4,OR(Tbl_ResidentData[[#This Row],[PRN Med Discontinued]]&gt;AU$4,ISBLANK(Tbl_ResidentData[[#This Row],[PRN Med Discontinued]])))</f>
        <v>0</v>
      </c>
      <c r="BT188" s="121" t="b">
        <f ca="1">AND(Tbl_ResidentData[[#This Row],[PRN Med Started]]&lt;&gt;"",Tbl_ResidentData[[#This Row],[PRN Med Started]]&lt;=NOW(),Tbl_ResidentData[[#This Row],[PRN Med Started]]&lt;=AV$4,OR(Tbl_ResidentData[[#This Row],[PRN Med Discontinued]]&gt;AV$4,ISBLANK(Tbl_ResidentData[[#This Row],[PRN Med Discontinued]])))</f>
        <v>0</v>
      </c>
      <c r="BU188" s="121" t="b">
        <f ca="1">AND(Tbl_ResidentData[[#This Row],[PRN Med Started]]&lt;&gt;"",Tbl_ResidentData[[#This Row],[PRN Med Started]]&lt;=NOW(),Tbl_ResidentData[[#This Row],[PRN Med Started]]&lt;=AW$4,OR(Tbl_ResidentData[[#This Row],[PRN Med Discontinued]]&gt;AW$4,ISBLANK(Tbl_ResidentData[[#This Row],[PRN Med Discontinued]])))</f>
        <v>0</v>
      </c>
      <c r="BV188" s="121" t="b">
        <f ca="1">AND(Tbl_ResidentData[[#This Row],[PRN Med Started]]&lt;&gt;"",Tbl_ResidentData[[#This Row],[PRN Med Started]]&lt;=NOW(),Tbl_ResidentData[[#This Row],[PRN Med Started]]&lt;=AX$4,OR(Tbl_ResidentData[[#This Row],[PRN Med Discontinued]]&gt;AX$4,ISBLANK(Tbl_ResidentData[[#This Row],[PRN Med Discontinued]])))</f>
        <v>0</v>
      </c>
      <c r="BW188" s="121" t="b">
        <f ca="1">AND(Tbl_ResidentData[[#This Row],[PRN Med Started]]&lt;&gt;"",Tbl_ResidentData[[#This Row],[PRN Med Started]]&lt;=NOW(),Tbl_ResidentData[[#This Row],[PRN Med Started]]&lt;=AY$4,OR(Tbl_ResidentData[[#This Row],[PRN Med Discontinued]]&gt;AY$4,ISBLANK(Tbl_ResidentData[[#This Row],[PRN Med Discontinued]])))</f>
        <v>0</v>
      </c>
      <c r="BX188" s="121" t="b">
        <f ca="1">AND(Tbl_ResidentData[[#This Row],[PRN Med Started]]&lt;&gt;"",Tbl_ResidentData[[#This Row],[PRN Med Started]]&lt;=NOW(),Tbl_ResidentData[[#This Row],[PRN Med Started]]&lt;=AZ$4,OR(Tbl_ResidentData[[#This Row],[PRN Med Discontinued]]&gt;AZ$4,ISBLANK(Tbl_ResidentData[[#This Row],[PRN Med Discontinued]])))</f>
        <v>0</v>
      </c>
      <c r="BY188" s="121" t="b">
        <f ca="1">AND(Tbl_ResidentData[[#This Row],[PRN Med Started]]&lt;&gt;"",Tbl_ResidentData[[#This Row],[PRN Med Started]]&lt;=NOW(),Tbl_ResidentData[[#This Row],[PRN Med Started]]&lt;=BA$4,OR(Tbl_ResidentData[[#This Row],[PRN Med Discontinued]]&gt;BA$4,ISBLANK(Tbl_ResidentData[[#This Row],[PRN Med Discontinued]])))</f>
        <v>0</v>
      </c>
      <c r="BZ188" s="121" t="b">
        <f ca="1">AND(Tbl_ResidentData[[#This Row],[PRN Med Started]]&lt;&gt;"",Tbl_ResidentData[[#This Row],[PRN Med Started]]&lt;=NOW(),Tbl_ResidentData[[#This Row],[PRN Med Started]]&lt;=BB$4,OR(Tbl_ResidentData[[#This Row],[PRN Med Discontinued]]&gt;BB$4,ISBLANK(Tbl_ResidentData[[#This Row],[PRN Med Discontinued]])))</f>
        <v>0</v>
      </c>
      <c r="CA188" s="121" t="b">
        <f ca="1">AND(Tbl_ResidentData[[#This Row],[PRN Med Started]]&lt;&gt;"",Tbl_ResidentData[[#This Row],[PRN Med Started]]&lt;=NOW(),Tbl_ResidentData[[#This Row],[PRN Med Started]]&lt;=BC$4,OR(Tbl_ResidentData[[#This Row],[PRN Med Discontinued]]&gt;BC$4,ISBLANK(Tbl_ResidentData[[#This Row],[PRN Med Discontinued]])))</f>
        <v>0</v>
      </c>
      <c r="CB188" s="121" t="b">
        <f ca="1">AND(Tbl_ResidentData[[#This Row],[PRN Med Started]]&lt;&gt;"",Tbl_ResidentData[[#This Row],[PRN Med Started]]&lt;=NOW(),Tbl_ResidentData[[#This Row],[PRN Med Started]]&lt;=BD$4,OR(Tbl_ResidentData[[#This Row],[PRN Med Discontinued]]&gt;BD$4,ISBLANK(Tbl_ResidentData[[#This Row],[PRN Med Discontinued]])))</f>
        <v>0</v>
      </c>
      <c r="CC188" s="121" t="b">
        <f ca="1">AND(Tbl_ResidentData[[#This Row],[PRN Med Started]]&lt;&gt;"",Tbl_ResidentData[[#This Row],[PRN Med Started]]&lt;=NOW(),Tbl_ResidentData[[#This Row],[PRN Med Started]]&lt;=BE$4,OR(Tbl_ResidentData[[#This Row],[PRN Med Discontinued]]&gt;BE$4,ISBLANK(Tbl_ResidentData[[#This Row],[PRN Med Discontinued]])))</f>
        <v>0</v>
      </c>
      <c r="CD188" s="121" t="b">
        <f ca="1">AND(Tbl_ResidentData[[#This Row],[PRN Med Started]]&lt;&gt;"",Tbl_ResidentData[[#This Row],[PRN Med Started]]&lt;=NOW(),Tbl_ResidentData[[#This Row],[PRN Med Started]]&lt;=BF$4,OR(Tbl_ResidentData[[#This Row],[PRN Med Discontinued]]&gt;BF$4,ISBLANK(Tbl_ResidentData[[#This Row],[PRN Med Discontinued]])))</f>
        <v>0</v>
      </c>
      <c r="CE188" s="121" t="b">
        <f ca="1">AND(Tbl_ResidentData[[#This Row],[PRN Med Started]]&lt;&gt;"",Tbl_ResidentData[[#This Row],[PRN Med Started]]&lt;=NOW(),Tbl_ResidentData[[#This Row],[PRN Med Started]]&lt;=BG$4,OR(Tbl_ResidentData[[#This Row],[PRN Med Discontinued]]&gt;BG$4,ISBLANK(Tbl_ResidentData[[#This Row],[PRN Med Discontinued]])))</f>
        <v>0</v>
      </c>
      <c r="CF188" s="121" t="b">
        <f ca="1">AND(Tbl_ResidentData[[#This Row],[PRN Med Started]]&lt;&gt;"",Tbl_ResidentData[[#This Row],[PRN Med Started]]&lt;=NOW(),Tbl_ResidentData[[#This Row],[PRN Med Started]]&lt;=BH$4,OR(Tbl_ResidentData[[#This Row],[PRN Med Discontinued]]&gt;BH$4,ISBLANK(Tbl_ResidentData[[#This Row],[PRN Med Discontinued]])))</f>
        <v>0</v>
      </c>
      <c r="CG188" s="121" t="b">
        <f ca="1">AND(Tbl_ResidentData[[#This Row],[PRN Med Started]]&lt;&gt;"",Tbl_ResidentData[[#This Row],[PRN Med Started]]&lt;=NOW(),Tbl_ResidentData[[#This Row],[PRN Med Started]]&lt;=BI$4,OR(Tbl_ResidentData[[#This Row],[PRN Med Discontinued]]&gt;BI$4,ISBLANK(Tbl_ResidentData[[#This Row],[PRN Med Discontinued]])))</f>
        <v>0</v>
      </c>
      <c r="CH188" s="121" t="b">
        <f ca="1">AND(Tbl_ResidentData[[#This Row],[PRN Med Started]]&lt;&gt;"",Tbl_ResidentData[[#This Row],[PRN Med Started]]&lt;=NOW(),Tbl_ResidentData[[#This Row],[PRN Med Started]]&lt;=BJ$4,OR(Tbl_ResidentData[[#This Row],[PRN Med Discontinued]]&gt;BJ$4,ISBLANK(Tbl_ResidentData[[#This Row],[PRN Med Discontinued]])))</f>
        <v>0</v>
      </c>
      <c r="CI188" s="121" t="b">
        <f ca="1">AND(Tbl_ResidentData[[#This Row],[PRN Med Started]]&lt;&gt;"",Tbl_ResidentData[[#This Row],[PRN Med Started]]&lt;=NOW(),Tbl_ResidentData[[#This Row],[PRN Med Started]]&lt;=BK$4,OR(Tbl_ResidentData[[#This Row],[PRN Med Discontinued]]&gt;BK$4,ISBLANK(Tbl_ResidentData[[#This Row],[PRN Med Discontinued]])))</f>
        <v>0</v>
      </c>
      <c r="CJ188" s="121" t="b">
        <f ca="1">AND(Tbl_ResidentData[[#This Row],[PRN Med Started]]&lt;&gt;"",Tbl_ResidentData[[#This Row],[PRN Med Started]]&lt;=NOW(),Tbl_ResidentData[[#This Row],[PRN Med Started]]&lt;=BL$4,OR(Tbl_ResidentData[[#This Row],[PRN Med Discontinued]]&gt;BL$4,ISBLANK(Tbl_ResidentData[[#This Row],[PRN Med Discontinued]])))</f>
        <v>0</v>
      </c>
      <c r="CK188" s="121" t="b">
        <f ca="1">AND(Tbl_ResidentData[[#This Row],[PRN Med Started]]&lt;&gt;"",Tbl_ResidentData[[#This Row],[PRN Med Started]]&lt;=NOW(),Tbl_ResidentData[[#This Row],[PRN Med Started]]&lt;=BM$4,OR(Tbl_ResidentData[[#This Row],[PRN Med Discontinued]]&gt;BM$4,ISBLANK(Tbl_ResidentData[[#This Row],[PRN Med Discontinued]])))</f>
        <v>0</v>
      </c>
      <c r="CL188" s="121" t="b">
        <f ca="1">AND(Tbl_ResidentData[[#This Row],[PRN Med Started]]&lt;&gt;"",Tbl_ResidentData[[#This Row],[PRN Med Started]]&lt;=NOW(),Tbl_ResidentData[[#This Row],[PRN Med Started]]&lt;=BN$4,OR(Tbl_ResidentData[[#This Row],[PRN Med Discontinued]]&gt;BN$4,ISBLANK(Tbl_ResidentData[[#This Row],[PRN Med Discontinued]])))</f>
        <v>0</v>
      </c>
      <c r="CM188" s="121" t="b">
        <f ca="1">AND(Tbl_ResidentData[[#This Row],[PRN Med Started]]&lt;&gt;"",Tbl_ResidentData[[#This Row],[PRN Med Started]]&lt;=NOW(),Tbl_ResidentData[[#This Row],[PRN Med Started]]&lt;=BO$4,OR(Tbl_ResidentData[[#This Row],[PRN Med Discontinued]]&gt;BO$4,ISBLANK(Tbl_ResidentData[[#This Row],[PRN Med Discontinued]])))</f>
        <v>0</v>
      </c>
      <c r="CN188" s="122" t="b">
        <f ca="1">AND(Tbl_ResidentData[[#This Row],[PRN Med Started]]&lt;&gt;"",Tbl_ResidentData[[#This Row],[PRN Med Started]]&lt;=NOW(),Tbl_ResidentData[[#This Row],[PRN Med Started]]&lt;=BP$4,OR(Tbl_ResidentData[[#This Row],[PRN Med Discontinued]]&gt;BP$4,ISBLANK(Tbl_ResidentData[[#This Row],[PRN Med Discontinued]])))</f>
        <v>0</v>
      </c>
      <c r="CO188" s="120">
        <f ca="1">IF(OR(Tbl_ResidentData[[#This Row],[S1]]=TRUE,Tbl_ResidentData[[#This Row],[P1]]=TRUE),1,0)</f>
        <v>0</v>
      </c>
      <c r="CP188" s="121">
        <f ca="1">IF(OR(Tbl_ResidentData[[#This Row],[S2]]=TRUE,Tbl_ResidentData[[#This Row],[P2]]=TRUE),1,0)</f>
        <v>0</v>
      </c>
      <c r="CQ188" s="121">
        <f ca="1">IF(OR(Tbl_ResidentData[[#This Row],[S3]]=TRUE,Tbl_ResidentData[[#This Row],[P3]]=TRUE),1,0)</f>
        <v>0</v>
      </c>
      <c r="CR188" s="120">
        <f ca="1">IF(OR(Tbl_ResidentData[[#This Row],[S4]]=TRUE,Tbl_ResidentData[[#This Row],[P4]]=TRUE),1,0)</f>
        <v>0</v>
      </c>
      <c r="CS188" s="120">
        <f ca="1">IF(OR(Tbl_ResidentData[[#This Row],[S5]]=TRUE,Tbl_ResidentData[[#This Row],[P5]]=TRUE),1,0)</f>
        <v>0</v>
      </c>
      <c r="CT188" s="120">
        <f ca="1">IF(OR(Tbl_ResidentData[[#This Row],[S6]]=TRUE,Tbl_ResidentData[[#This Row],[P6]]=TRUE),1,0)</f>
        <v>0</v>
      </c>
      <c r="CU188" s="120">
        <f ca="1">IF(OR(Tbl_ResidentData[[#This Row],[S7]]=TRUE,Tbl_ResidentData[[#This Row],[P7]]=TRUE),1,0)</f>
        <v>0</v>
      </c>
      <c r="CV188" s="120">
        <f ca="1">IF(OR(Tbl_ResidentData[[#This Row],[S8]]=TRUE,Tbl_ResidentData[[#This Row],[P8]]=TRUE),1,0)</f>
        <v>0</v>
      </c>
      <c r="CW188" s="120">
        <f ca="1">IF(OR(Tbl_ResidentData[[#This Row],[S9]]=TRUE,Tbl_ResidentData[[#This Row],[P9]]=TRUE),1,0)</f>
        <v>0</v>
      </c>
      <c r="CX188" s="120">
        <f ca="1">IF(OR(Tbl_ResidentData[[#This Row],[S10]]=TRUE,Tbl_ResidentData[[#This Row],[P10]]=TRUE),1,0)</f>
        <v>0</v>
      </c>
      <c r="CY188" s="120">
        <f ca="1">IF(OR(Tbl_ResidentData[[#This Row],[S11]]=TRUE,Tbl_ResidentData[[#This Row],[P11]]=TRUE),1,0)</f>
        <v>0</v>
      </c>
      <c r="CZ188" s="120">
        <f ca="1">IF(OR(Tbl_ResidentData[[#This Row],[S12]]=TRUE,Tbl_ResidentData[[#This Row],[P12]]=TRUE),1,0)</f>
        <v>0</v>
      </c>
      <c r="DA188" s="120">
        <f ca="1">IF(OR(Tbl_ResidentData[[#This Row],[S13]]=TRUE,Tbl_ResidentData[[#This Row],[P13]]=TRUE),1,0)</f>
        <v>0</v>
      </c>
      <c r="DB188" s="120">
        <f ca="1">IF(OR(Tbl_ResidentData[[#This Row],[S14]]=TRUE,Tbl_ResidentData[[#This Row],[P14]]=TRUE),1,0)</f>
        <v>0</v>
      </c>
      <c r="DC188" s="120">
        <f ca="1">IF(OR(Tbl_ResidentData[[#This Row],[S15]]=TRUE,Tbl_ResidentData[[#This Row],[P15]]=TRUE),1,0)</f>
        <v>0</v>
      </c>
      <c r="DD188" s="120">
        <f ca="1">IF(OR(Tbl_ResidentData[[#This Row],[S16]]=TRUE,Tbl_ResidentData[[#This Row],[P16]]=TRUE),1,0)</f>
        <v>0</v>
      </c>
      <c r="DE188" s="120">
        <f ca="1">IF(OR(Tbl_ResidentData[[#This Row],[S17]]=TRUE,Tbl_ResidentData[[#This Row],[P17]]=TRUE),1,0)</f>
        <v>0</v>
      </c>
      <c r="DF188" s="120">
        <f ca="1">IF(OR(Tbl_ResidentData[[#This Row],[S18]]=TRUE,Tbl_ResidentData[[#This Row],[P18]]=TRUE),1,0)</f>
        <v>0</v>
      </c>
      <c r="DG188" s="120">
        <f ca="1">IF(OR(Tbl_ResidentData[[#This Row],[S19]]=TRUE,Tbl_ResidentData[[#This Row],[P19]]=TRUE),1,0)</f>
        <v>0</v>
      </c>
      <c r="DH188" s="120">
        <f ca="1">IF(OR(Tbl_ResidentData[[#This Row],[S20]]=TRUE,Tbl_ResidentData[[#This Row],[P20]]=TRUE),1,0)</f>
        <v>0</v>
      </c>
      <c r="DI188" s="120">
        <f ca="1">IF(OR(Tbl_ResidentData[[#This Row],[S21]]=TRUE,Tbl_ResidentData[[#This Row],[P21]]=TRUE),1,0)</f>
        <v>0</v>
      </c>
      <c r="DJ188" s="120">
        <f ca="1">IF(OR(Tbl_ResidentData[[#This Row],[S22]]=TRUE,Tbl_ResidentData[[#This Row],[P22]]=TRUE),1,0)</f>
        <v>0</v>
      </c>
      <c r="DK188" s="120">
        <f ca="1">IF(OR(Tbl_ResidentData[[#This Row],[S23]]=TRUE,Tbl_ResidentData[[#This Row],[P23]]=TRUE),1,0)</f>
        <v>0</v>
      </c>
      <c r="DL188" s="120">
        <f ca="1">IF(OR(Tbl_ResidentData[[#This Row],[S24]]=TRUE,Tbl_ResidentData[[#This Row],[P24]]=TRUE),1,0)</f>
        <v>0</v>
      </c>
      <c r="DM188" s="123" t="str">
        <f ca="1">IFERROR(INDEX($CO$4:$DL$4,MATCH(TRUE,INDEX((Tbl_ResidentData[[#This Row],[Over1]:[Over24]]&lt;&gt;0),0),0)),"")</f>
        <v/>
      </c>
      <c r="DN188" s="133" t="str">
        <f>IFERROR(INDEX(Tbl_PDSAData[Last DRT],MATCH(Tbl_ResidentData[Resident Name '[last, first']],Tbl_PDSAData[Resident Name (last, first)],0)),"")</f>
        <v/>
      </c>
      <c r="DO188" s="222" t="str">
        <f>IFERROR(INDEX(Tbl_PDSAData[Last MR],MATCH(Tbl_ResidentData[Resident Name '[last, first']],Tbl_PDSAData[Resident Name (last, first)],0)),"")</f>
        <v/>
      </c>
    </row>
    <row r="189" spans="1:119" x14ac:dyDescent="0.25">
      <c r="A189" s="179"/>
      <c r="B189" s="180"/>
      <c r="C189" s="180"/>
      <c r="D189" s="218"/>
      <c r="E189" s="179"/>
      <c r="F189" s="179"/>
      <c r="G189" s="181"/>
      <c r="H189" s="182"/>
      <c r="I189" s="185"/>
      <c r="J189" s="387"/>
      <c r="K189" s="178"/>
      <c r="L189" s="388"/>
      <c r="M189" s="185"/>
      <c r="N189" s="386"/>
      <c r="O189" s="178"/>
      <c r="P189" s="388"/>
      <c r="Q189" s="395"/>
      <c r="R189" s="396"/>
      <c r="S189" s="131" t="str">
        <f>IF(ISBLANK(Tbl_ResidentData[[#This Row],[Discharge '[mmm-yyyy']]]),IF(ISBLANK(Tbl_ResidentData[[#This Row],[Enrollment '[mmm-yyyy']]]),"","In Care Home"),"Discharged")</f>
        <v/>
      </c>
      <c r="T189" s="119" t="str">
        <f>IF(ISBLANK(Tbl_ResidentData[[#This Row],[Diagnosis (RAI)]]),IF(ISBLANK(Tbl_ResidentData[[#This Row],[Resident Name '[last, first']]]),"",0),IF(Tbl_ResidentData[[#This Row],[Diagnosis (RAI)]]="Other (see clinical notes)",0,1))</f>
        <v/>
      </c>
      <c r="U189" s="120" t="str">
        <f ca="1">IF(U$4&gt;NOW(),"-",IF(ISBLANK(Tbl_ResidentData[[#This Row],[Enrollment '[mmm-yyyy']]]),"-",AND((Tbl_ResidentData[[#This Row],[Enrollment '[mmm-yyyy']]]&lt;=U$4),IF(ISBLANK(Tbl_ResidentData[[#This Row],[Discharge '[mmm-yyyy']]]),TRUE,(Tbl_ResidentData[[#This Row],[Discharge '[mmm-yyyy']]]&gt;=U$4)))))</f>
        <v>-</v>
      </c>
      <c r="V189" s="121" t="str">
        <f ca="1">IF(V$4&gt;NOW(),"-",IF(ISBLANK(Tbl_ResidentData[[#This Row],[Enrollment '[mmm-yyyy']]]),"-",AND((Tbl_ResidentData[[#This Row],[Enrollment '[mmm-yyyy']]]&lt;=V$4),IF(ISBLANK(Tbl_ResidentData[[#This Row],[Discharge '[mmm-yyyy']]]),TRUE,(Tbl_ResidentData[[#This Row],[Discharge '[mmm-yyyy']]]&gt;=V$4)))))</f>
        <v>-</v>
      </c>
      <c r="W189" s="121" t="str">
        <f ca="1">IF(W$4&gt;NOW(),"-",IF(ISBLANK(Tbl_ResidentData[[#This Row],[Enrollment '[mmm-yyyy']]]),"-",AND((Tbl_ResidentData[[#This Row],[Enrollment '[mmm-yyyy']]]&lt;=W$4),IF(ISBLANK(Tbl_ResidentData[[#This Row],[Discharge '[mmm-yyyy']]]),TRUE,(Tbl_ResidentData[[#This Row],[Discharge '[mmm-yyyy']]]&gt;=W$4)))))</f>
        <v>-</v>
      </c>
      <c r="X189" s="121" t="str">
        <f ca="1">IF(X$4&gt;NOW(),"-",IF(ISBLANK(Tbl_ResidentData[[#This Row],[Enrollment '[mmm-yyyy']]]),"-",AND((Tbl_ResidentData[[#This Row],[Enrollment '[mmm-yyyy']]]&lt;=X$4),IF(ISBLANK(Tbl_ResidentData[[#This Row],[Discharge '[mmm-yyyy']]]),TRUE,(Tbl_ResidentData[[#This Row],[Discharge '[mmm-yyyy']]]&gt;=X$4)))))</f>
        <v>-</v>
      </c>
      <c r="Y189" s="121" t="str">
        <f ca="1">IF(Y$4&gt;NOW(),"-",IF(ISBLANK(Tbl_ResidentData[[#This Row],[Enrollment '[mmm-yyyy']]]),"-",AND((Tbl_ResidentData[[#This Row],[Enrollment '[mmm-yyyy']]]&lt;=Y$4),IF(ISBLANK(Tbl_ResidentData[[#This Row],[Discharge '[mmm-yyyy']]]),TRUE,(Tbl_ResidentData[[#This Row],[Discharge '[mmm-yyyy']]]&gt;=Y$4)))))</f>
        <v>-</v>
      </c>
      <c r="Z189" s="121" t="str">
        <f ca="1">IF(Z$4&gt;NOW(),"-",IF(ISBLANK(Tbl_ResidentData[[#This Row],[Enrollment '[mmm-yyyy']]]),"-",AND((Tbl_ResidentData[[#This Row],[Enrollment '[mmm-yyyy']]]&lt;=Z$4),IF(ISBLANK(Tbl_ResidentData[[#This Row],[Discharge '[mmm-yyyy']]]),TRUE,(Tbl_ResidentData[[#This Row],[Discharge '[mmm-yyyy']]]&gt;=Z$4)))))</f>
        <v>-</v>
      </c>
      <c r="AA189" s="121" t="str">
        <f ca="1">IF(AA$4&gt;NOW(),"-",IF(ISBLANK(Tbl_ResidentData[[#This Row],[Enrollment '[mmm-yyyy']]]),"-",AND((Tbl_ResidentData[[#This Row],[Enrollment '[mmm-yyyy']]]&lt;=AA$4),IF(ISBLANK(Tbl_ResidentData[[#This Row],[Discharge '[mmm-yyyy']]]),TRUE,(Tbl_ResidentData[[#This Row],[Discharge '[mmm-yyyy']]]&gt;=AA$4)))))</f>
        <v>-</v>
      </c>
      <c r="AB189" s="121" t="str">
        <f ca="1">IF(AB$4&gt;NOW(),"-",IF(ISBLANK(Tbl_ResidentData[[#This Row],[Enrollment '[mmm-yyyy']]]),"-",AND((Tbl_ResidentData[[#This Row],[Enrollment '[mmm-yyyy']]]&lt;=AB$4),IF(ISBLANK(Tbl_ResidentData[[#This Row],[Discharge '[mmm-yyyy']]]),TRUE,(Tbl_ResidentData[[#This Row],[Discharge '[mmm-yyyy']]]&gt;=AB$4)))))</f>
        <v>-</v>
      </c>
      <c r="AC189" s="121" t="str">
        <f ca="1">IF(AC$4&gt;NOW(),"-",IF(ISBLANK(Tbl_ResidentData[[#This Row],[Enrollment '[mmm-yyyy']]]),"-",AND((Tbl_ResidentData[[#This Row],[Enrollment '[mmm-yyyy']]]&lt;=AC$4),IF(ISBLANK(Tbl_ResidentData[[#This Row],[Discharge '[mmm-yyyy']]]),TRUE,(Tbl_ResidentData[[#This Row],[Discharge '[mmm-yyyy']]]&gt;=AC$4)))))</f>
        <v>-</v>
      </c>
      <c r="AD189" s="121" t="str">
        <f ca="1">IF(AD$4&gt;NOW(),"-",IF(ISBLANK(Tbl_ResidentData[[#This Row],[Enrollment '[mmm-yyyy']]]),"-",AND((Tbl_ResidentData[[#This Row],[Enrollment '[mmm-yyyy']]]&lt;=AD$4),IF(ISBLANK(Tbl_ResidentData[[#This Row],[Discharge '[mmm-yyyy']]]),TRUE,(Tbl_ResidentData[[#This Row],[Discharge '[mmm-yyyy']]]&gt;=AD$4)))))</f>
        <v>-</v>
      </c>
      <c r="AE189" s="121" t="str">
        <f ca="1">IF(AE$4&gt;NOW(),"-",IF(ISBLANK(Tbl_ResidentData[[#This Row],[Enrollment '[mmm-yyyy']]]),"-",AND((Tbl_ResidentData[[#This Row],[Enrollment '[mmm-yyyy']]]&lt;=AE$4),IF(ISBLANK(Tbl_ResidentData[[#This Row],[Discharge '[mmm-yyyy']]]),TRUE,(Tbl_ResidentData[[#This Row],[Discharge '[mmm-yyyy']]]&gt;=AE$4)))))</f>
        <v>-</v>
      </c>
      <c r="AF189" s="121" t="str">
        <f ca="1">IF(AF$4&gt;NOW(),"-",IF(ISBLANK(Tbl_ResidentData[[#This Row],[Enrollment '[mmm-yyyy']]]),"-",AND((Tbl_ResidentData[[#This Row],[Enrollment '[mmm-yyyy']]]&lt;=AF$4),IF(ISBLANK(Tbl_ResidentData[[#This Row],[Discharge '[mmm-yyyy']]]),TRUE,(Tbl_ResidentData[[#This Row],[Discharge '[mmm-yyyy']]]&gt;=AF$4)))))</f>
        <v>-</v>
      </c>
      <c r="AG189" s="121" t="str">
        <f ca="1">IF(AG$4&gt;NOW(),"-",IF(ISBLANK(Tbl_ResidentData[[#This Row],[Enrollment '[mmm-yyyy']]]),"-",AND((Tbl_ResidentData[[#This Row],[Enrollment '[mmm-yyyy']]]&lt;=AG$4),IF(ISBLANK(Tbl_ResidentData[[#This Row],[Discharge '[mmm-yyyy']]]),TRUE,(Tbl_ResidentData[[#This Row],[Discharge '[mmm-yyyy']]]&gt;=AG$4)))))</f>
        <v>-</v>
      </c>
      <c r="AH189" s="121" t="str">
        <f ca="1">IF(AH$4&gt;NOW(),"-",IF(ISBLANK(Tbl_ResidentData[[#This Row],[Enrollment '[mmm-yyyy']]]),"-",AND((Tbl_ResidentData[[#This Row],[Enrollment '[mmm-yyyy']]]&lt;=AH$4),IF(ISBLANK(Tbl_ResidentData[[#This Row],[Discharge '[mmm-yyyy']]]),TRUE,(Tbl_ResidentData[[#This Row],[Discharge '[mmm-yyyy']]]&gt;=AH$4)))))</f>
        <v>-</v>
      </c>
      <c r="AI189" s="121" t="str">
        <f ca="1">IF(AI$4&gt;NOW(),"-",IF(ISBLANK(Tbl_ResidentData[[#This Row],[Enrollment '[mmm-yyyy']]]),"-",AND((Tbl_ResidentData[[#This Row],[Enrollment '[mmm-yyyy']]]&lt;=AI$4),IF(ISBLANK(Tbl_ResidentData[[#This Row],[Discharge '[mmm-yyyy']]]),TRUE,(Tbl_ResidentData[[#This Row],[Discharge '[mmm-yyyy']]]&gt;=AI$4)))))</f>
        <v>-</v>
      </c>
      <c r="AJ189" s="121" t="str">
        <f ca="1">IF(AJ$4&gt;NOW(),"-",IF(ISBLANK(Tbl_ResidentData[[#This Row],[Enrollment '[mmm-yyyy']]]),"-",AND((Tbl_ResidentData[[#This Row],[Enrollment '[mmm-yyyy']]]&lt;=AJ$4),IF(ISBLANK(Tbl_ResidentData[[#This Row],[Discharge '[mmm-yyyy']]]),TRUE,(Tbl_ResidentData[[#This Row],[Discharge '[mmm-yyyy']]]&gt;=AJ$4)))))</f>
        <v>-</v>
      </c>
      <c r="AK189" s="121" t="str">
        <f ca="1">IF(AK$4&gt;NOW(),"-",IF(ISBLANK(Tbl_ResidentData[[#This Row],[Enrollment '[mmm-yyyy']]]),"-",AND((Tbl_ResidentData[[#This Row],[Enrollment '[mmm-yyyy']]]&lt;=AK$4),IF(ISBLANK(Tbl_ResidentData[[#This Row],[Discharge '[mmm-yyyy']]]),TRUE,(Tbl_ResidentData[[#This Row],[Discharge '[mmm-yyyy']]]&gt;=AK$4)))))</f>
        <v>-</v>
      </c>
      <c r="AL189" s="121" t="str">
        <f ca="1">IF(AL$4&gt;NOW(),"-",IF(ISBLANK(Tbl_ResidentData[[#This Row],[Enrollment '[mmm-yyyy']]]),"-",AND((Tbl_ResidentData[[#This Row],[Enrollment '[mmm-yyyy']]]&lt;=AL$4),IF(ISBLANK(Tbl_ResidentData[[#This Row],[Discharge '[mmm-yyyy']]]),TRUE,(Tbl_ResidentData[[#This Row],[Discharge '[mmm-yyyy']]]&gt;=AL$4)))))</f>
        <v>-</v>
      </c>
      <c r="AM189" s="121" t="str">
        <f ca="1">IF(AM$4&gt;NOW(),"-",IF(ISBLANK(Tbl_ResidentData[[#This Row],[Enrollment '[mmm-yyyy']]]),"-",AND((Tbl_ResidentData[[#This Row],[Enrollment '[mmm-yyyy']]]&lt;=AM$4),IF(ISBLANK(Tbl_ResidentData[[#This Row],[Discharge '[mmm-yyyy']]]),TRUE,(Tbl_ResidentData[[#This Row],[Discharge '[mmm-yyyy']]]&gt;=AM$4)))))</f>
        <v>-</v>
      </c>
      <c r="AN189" s="121" t="str">
        <f ca="1">IF(AN$4&gt;NOW(),"-",IF(ISBLANK(Tbl_ResidentData[[#This Row],[Enrollment '[mmm-yyyy']]]),"-",AND((Tbl_ResidentData[[#This Row],[Enrollment '[mmm-yyyy']]]&lt;=AN$4),IF(ISBLANK(Tbl_ResidentData[[#This Row],[Discharge '[mmm-yyyy']]]),TRUE,(Tbl_ResidentData[[#This Row],[Discharge '[mmm-yyyy']]]&gt;=AN$4)))))</f>
        <v>-</v>
      </c>
      <c r="AO189" s="121" t="str">
        <f ca="1">IF(AO$4&gt;NOW(),"-",IF(ISBLANK(Tbl_ResidentData[[#This Row],[Enrollment '[mmm-yyyy']]]),"-",AND((Tbl_ResidentData[[#This Row],[Enrollment '[mmm-yyyy']]]&lt;=AO$4),IF(ISBLANK(Tbl_ResidentData[[#This Row],[Discharge '[mmm-yyyy']]]),TRUE,(Tbl_ResidentData[[#This Row],[Discharge '[mmm-yyyy']]]&gt;=AO$4)))))</f>
        <v>-</v>
      </c>
      <c r="AP189" s="121" t="str">
        <f ca="1">IF(AP$4&gt;NOW(),"-",IF(ISBLANK(Tbl_ResidentData[[#This Row],[Enrollment '[mmm-yyyy']]]),"-",AND((Tbl_ResidentData[[#This Row],[Enrollment '[mmm-yyyy']]]&lt;=AP$4),IF(ISBLANK(Tbl_ResidentData[[#This Row],[Discharge '[mmm-yyyy']]]),TRUE,(Tbl_ResidentData[[#This Row],[Discharge '[mmm-yyyy']]]&gt;=AP$4)))))</f>
        <v>-</v>
      </c>
      <c r="AQ189" s="121" t="str">
        <f ca="1">IF(AQ$4&gt;NOW(),"-",IF(ISBLANK(Tbl_ResidentData[[#This Row],[Enrollment '[mmm-yyyy']]]),"-",AND((Tbl_ResidentData[[#This Row],[Enrollment '[mmm-yyyy']]]&lt;=AQ$4),IF(ISBLANK(Tbl_ResidentData[[#This Row],[Discharge '[mmm-yyyy']]]),TRUE,(Tbl_ResidentData[[#This Row],[Discharge '[mmm-yyyy']]]&gt;=AQ$4)))))</f>
        <v>-</v>
      </c>
      <c r="AR189" s="122" t="str">
        <f ca="1">IF(AR$4&gt;NOW(),"-",IF(ISBLANK(Tbl_ResidentData[[#This Row],[Enrollment '[mmm-yyyy']]]),"-",AND((Tbl_ResidentData[[#This Row],[Enrollment '[mmm-yyyy']]]&lt;=AR$4),IF(ISBLANK(Tbl_ResidentData[[#This Row],[Discharge '[mmm-yyyy']]]),TRUE,(Tbl_ResidentData[[#This Row],[Discharge '[mmm-yyyy']]]&gt;=AR$4)))))</f>
        <v>-</v>
      </c>
      <c r="AS18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9" s="120" t="b">
        <f ca="1">AND(Tbl_ResidentData[[#This Row],[PRN Med Started]]&lt;&gt;"",Tbl_ResidentData[[#This Row],[PRN Med Started]]&lt;=NOW(),Tbl_ResidentData[[#This Row],[PRN Med Started]]&lt;=AS$4,OR(Tbl_ResidentData[[#This Row],[PRN Med Discontinued]]&gt;AS$4,ISBLANK(Tbl_ResidentData[[#This Row],[PRN Med Discontinued]])))</f>
        <v>0</v>
      </c>
      <c r="BR189" s="121" t="b">
        <f ca="1">AND(Tbl_ResidentData[[#This Row],[PRN Med Started]]&lt;&gt;"",Tbl_ResidentData[[#This Row],[PRN Med Started]]&lt;=NOW(),Tbl_ResidentData[[#This Row],[PRN Med Started]]&lt;=AT$4,OR(Tbl_ResidentData[[#This Row],[PRN Med Discontinued]]&gt;AT$4,ISBLANK(Tbl_ResidentData[[#This Row],[PRN Med Discontinued]])))</f>
        <v>0</v>
      </c>
      <c r="BS189" s="121" t="b">
        <f ca="1">AND(Tbl_ResidentData[[#This Row],[PRN Med Started]]&lt;&gt;"",Tbl_ResidentData[[#This Row],[PRN Med Started]]&lt;=NOW(),Tbl_ResidentData[[#This Row],[PRN Med Started]]&lt;=AU$4,OR(Tbl_ResidentData[[#This Row],[PRN Med Discontinued]]&gt;AU$4,ISBLANK(Tbl_ResidentData[[#This Row],[PRN Med Discontinued]])))</f>
        <v>0</v>
      </c>
      <c r="BT189" s="121" t="b">
        <f ca="1">AND(Tbl_ResidentData[[#This Row],[PRN Med Started]]&lt;&gt;"",Tbl_ResidentData[[#This Row],[PRN Med Started]]&lt;=NOW(),Tbl_ResidentData[[#This Row],[PRN Med Started]]&lt;=AV$4,OR(Tbl_ResidentData[[#This Row],[PRN Med Discontinued]]&gt;AV$4,ISBLANK(Tbl_ResidentData[[#This Row],[PRN Med Discontinued]])))</f>
        <v>0</v>
      </c>
      <c r="BU189" s="121" t="b">
        <f ca="1">AND(Tbl_ResidentData[[#This Row],[PRN Med Started]]&lt;&gt;"",Tbl_ResidentData[[#This Row],[PRN Med Started]]&lt;=NOW(),Tbl_ResidentData[[#This Row],[PRN Med Started]]&lt;=AW$4,OR(Tbl_ResidentData[[#This Row],[PRN Med Discontinued]]&gt;AW$4,ISBLANK(Tbl_ResidentData[[#This Row],[PRN Med Discontinued]])))</f>
        <v>0</v>
      </c>
      <c r="BV189" s="121" t="b">
        <f ca="1">AND(Tbl_ResidentData[[#This Row],[PRN Med Started]]&lt;&gt;"",Tbl_ResidentData[[#This Row],[PRN Med Started]]&lt;=NOW(),Tbl_ResidentData[[#This Row],[PRN Med Started]]&lt;=AX$4,OR(Tbl_ResidentData[[#This Row],[PRN Med Discontinued]]&gt;AX$4,ISBLANK(Tbl_ResidentData[[#This Row],[PRN Med Discontinued]])))</f>
        <v>0</v>
      </c>
      <c r="BW189" s="121" t="b">
        <f ca="1">AND(Tbl_ResidentData[[#This Row],[PRN Med Started]]&lt;&gt;"",Tbl_ResidentData[[#This Row],[PRN Med Started]]&lt;=NOW(),Tbl_ResidentData[[#This Row],[PRN Med Started]]&lt;=AY$4,OR(Tbl_ResidentData[[#This Row],[PRN Med Discontinued]]&gt;AY$4,ISBLANK(Tbl_ResidentData[[#This Row],[PRN Med Discontinued]])))</f>
        <v>0</v>
      </c>
      <c r="BX189" s="121" t="b">
        <f ca="1">AND(Tbl_ResidentData[[#This Row],[PRN Med Started]]&lt;&gt;"",Tbl_ResidentData[[#This Row],[PRN Med Started]]&lt;=NOW(),Tbl_ResidentData[[#This Row],[PRN Med Started]]&lt;=AZ$4,OR(Tbl_ResidentData[[#This Row],[PRN Med Discontinued]]&gt;AZ$4,ISBLANK(Tbl_ResidentData[[#This Row],[PRN Med Discontinued]])))</f>
        <v>0</v>
      </c>
      <c r="BY189" s="121" t="b">
        <f ca="1">AND(Tbl_ResidentData[[#This Row],[PRN Med Started]]&lt;&gt;"",Tbl_ResidentData[[#This Row],[PRN Med Started]]&lt;=NOW(),Tbl_ResidentData[[#This Row],[PRN Med Started]]&lt;=BA$4,OR(Tbl_ResidentData[[#This Row],[PRN Med Discontinued]]&gt;BA$4,ISBLANK(Tbl_ResidentData[[#This Row],[PRN Med Discontinued]])))</f>
        <v>0</v>
      </c>
      <c r="BZ189" s="121" t="b">
        <f ca="1">AND(Tbl_ResidentData[[#This Row],[PRN Med Started]]&lt;&gt;"",Tbl_ResidentData[[#This Row],[PRN Med Started]]&lt;=NOW(),Tbl_ResidentData[[#This Row],[PRN Med Started]]&lt;=BB$4,OR(Tbl_ResidentData[[#This Row],[PRN Med Discontinued]]&gt;BB$4,ISBLANK(Tbl_ResidentData[[#This Row],[PRN Med Discontinued]])))</f>
        <v>0</v>
      </c>
      <c r="CA189" s="121" t="b">
        <f ca="1">AND(Tbl_ResidentData[[#This Row],[PRN Med Started]]&lt;&gt;"",Tbl_ResidentData[[#This Row],[PRN Med Started]]&lt;=NOW(),Tbl_ResidentData[[#This Row],[PRN Med Started]]&lt;=BC$4,OR(Tbl_ResidentData[[#This Row],[PRN Med Discontinued]]&gt;BC$4,ISBLANK(Tbl_ResidentData[[#This Row],[PRN Med Discontinued]])))</f>
        <v>0</v>
      </c>
      <c r="CB189" s="121" t="b">
        <f ca="1">AND(Tbl_ResidentData[[#This Row],[PRN Med Started]]&lt;&gt;"",Tbl_ResidentData[[#This Row],[PRN Med Started]]&lt;=NOW(),Tbl_ResidentData[[#This Row],[PRN Med Started]]&lt;=BD$4,OR(Tbl_ResidentData[[#This Row],[PRN Med Discontinued]]&gt;BD$4,ISBLANK(Tbl_ResidentData[[#This Row],[PRN Med Discontinued]])))</f>
        <v>0</v>
      </c>
      <c r="CC189" s="121" t="b">
        <f ca="1">AND(Tbl_ResidentData[[#This Row],[PRN Med Started]]&lt;&gt;"",Tbl_ResidentData[[#This Row],[PRN Med Started]]&lt;=NOW(),Tbl_ResidentData[[#This Row],[PRN Med Started]]&lt;=BE$4,OR(Tbl_ResidentData[[#This Row],[PRN Med Discontinued]]&gt;BE$4,ISBLANK(Tbl_ResidentData[[#This Row],[PRN Med Discontinued]])))</f>
        <v>0</v>
      </c>
      <c r="CD189" s="121" t="b">
        <f ca="1">AND(Tbl_ResidentData[[#This Row],[PRN Med Started]]&lt;&gt;"",Tbl_ResidentData[[#This Row],[PRN Med Started]]&lt;=NOW(),Tbl_ResidentData[[#This Row],[PRN Med Started]]&lt;=BF$4,OR(Tbl_ResidentData[[#This Row],[PRN Med Discontinued]]&gt;BF$4,ISBLANK(Tbl_ResidentData[[#This Row],[PRN Med Discontinued]])))</f>
        <v>0</v>
      </c>
      <c r="CE189" s="121" t="b">
        <f ca="1">AND(Tbl_ResidentData[[#This Row],[PRN Med Started]]&lt;&gt;"",Tbl_ResidentData[[#This Row],[PRN Med Started]]&lt;=NOW(),Tbl_ResidentData[[#This Row],[PRN Med Started]]&lt;=BG$4,OR(Tbl_ResidentData[[#This Row],[PRN Med Discontinued]]&gt;BG$4,ISBLANK(Tbl_ResidentData[[#This Row],[PRN Med Discontinued]])))</f>
        <v>0</v>
      </c>
      <c r="CF189" s="121" t="b">
        <f ca="1">AND(Tbl_ResidentData[[#This Row],[PRN Med Started]]&lt;&gt;"",Tbl_ResidentData[[#This Row],[PRN Med Started]]&lt;=NOW(),Tbl_ResidentData[[#This Row],[PRN Med Started]]&lt;=BH$4,OR(Tbl_ResidentData[[#This Row],[PRN Med Discontinued]]&gt;BH$4,ISBLANK(Tbl_ResidentData[[#This Row],[PRN Med Discontinued]])))</f>
        <v>0</v>
      </c>
      <c r="CG189" s="121" t="b">
        <f ca="1">AND(Tbl_ResidentData[[#This Row],[PRN Med Started]]&lt;&gt;"",Tbl_ResidentData[[#This Row],[PRN Med Started]]&lt;=NOW(),Tbl_ResidentData[[#This Row],[PRN Med Started]]&lt;=BI$4,OR(Tbl_ResidentData[[#This Row],[PRN Med Discontinued]]&gt;BI$4,ISBLANK(Tbl_ResidentData[[#This Row],[PRN Med Discontinued]])))</f>
        <v>0</v>
      </c>
      <c r="CH189" s="121" t="b">
        <f ca="1">AND(Tbl_ResidentData[[#This Row],[PRN Med Started]]&lt;&gt;"",Tbl_ResidentData[[#This Row],[PRN Med Started]]&lt;=NOW(),Tbl_ResidentData[[#This Row],[PRN Med Started]]&lt;=BJ$4,OR(Tbl_ResidentData[[#This Row],[PRN Med Discontinued]]&gt;BJ$4,ISBLANK(Tbl_ResidentData[[#This Row],[PRN Med Discontinued]])))</f>
        <v>0</v>
      </c>
      <c r="CI189" s="121" t="b">
        <f ca="1">AND(Tbl_ResidentData[[#This Row],[PRN Med Started]]&lt;&gt;"",Tbl_ResidentData[[#This Row],[PRN Med Started]]&lt;=NOW(),Tbl_ResidentData[[#This Row],[PRN Med Started]]&lt;=BK$4,OR(Tbl_ResidentData[[#This Row],[PRN Med Discontinued]]&gt;BK$4,ISBLANK(Tbl_ResidentData[[#This Row],[PRN Med Discontinued]])))</f>
        <v>0</v>
      </c>
      <c r="CJ189" s="121" t="b">
        <f ca="1">AND(Tbl_ResidentData[[#This Row],[PRN Med Started]]&lt;&gt;"",Tbl_ResidentData[[#This Row],[PRN Med Started]]&lt;=NOW(),Tbl_ResidentData[[#This Row],[PRN Med Started]]&lt;=BL$4,OR(Tbl_ResidentData[[#This Row],[PRN Med Discontinued]]&gt;BL$4,ISBLANK(Tbl_ResidentData[[#This Row],[PRN Med Discontinued]])))</f>
        <v>0</v>
      </c>
      <c r="CK189" s="121" t="b">
        <f ca="1">AND(Tbl_ResidentData[[#This Row],[PRN Med Started]]&lt;&gt;"",Tbl_ResidentData[[#This Row],[PRN Med Started]]&lt;=NOW(),Tbl_ResidentData[[#This Row],[PRN Med Started]]&lt;=BM$4,OR(Tbl_ResidentData[[#This Row],[PRN Med Discontinued]]&gt;BM$4,ISBLANK(Tbl_ResidentData[[#This Row],[PRN Med Discontinued]])))</f>
        <v>0</v>
      </c>
      <c r="CL189" s="121" t="b">
        <f ca="1">AND(Tbl_ResidentData[[#This Row],[PRN Med Started]]&lt;&gt;"",Tbl_ResidentData[[#This Row],[PRN Med Started]]&lt;=NOW(),Tbl_ResidentData[[#This Row],[PRN Med Started]]&lt;=BN$4,OR(Tbl_ResidentData[[#This Row],[PRN Med Discontinued]]&gt;BN$4,ISBLANK(Tbl_ResidentData[[#This Row],[PRN Med Discontinued]])))</f>
        <v>0</v>
      </c>
      <c r="CM189" s="121" t="b">
        <f ca="1">AND(Tbl_ResidentData[[#This Row],[PRN Med Started]]&lt;&gt;"",Tbl_ResidentData[[#This Row],[PRN Med Started]]&lt;=NOW(),Tbl_ResidentData[[#This Row],[PRN Med Started]]&lt;=BO$4,OR(Tbl_ResidentData[[#This Row],[PRN Med Discontinued]]&gt;BO$4,ISBLANK(Tbl_ResidentData[[#This Row],[PRN Med Discontinued]])))</f>
        <v>0</v>
      </c>
      <c r="CN189" s="122" t="b">
        <f ca="1">AND(Tbl_ResidentData[[#This Row],[PRN Med Started]]&lt;&gt;"",Tbl_ResidentData[[#This Row],[PRN Med Started]]&lt;=NOW(),Tbl_ResidentData[[#This Row],[PRN Med Started]]&lt;=BP$4,OR(Tbl_ResidentData[[#This Row],[PRN Med Discontinued]]&gt;BP$4,ISBLANK(Tbl_ResidentData[[#This Row],[PRN Med Discontinued]])))</f>
        <v>0</v>
      </c>
      <c r="CO189" s="120">
        <f ca="1">IF(OR(Tbl_ResidentData[[#This Row],[S1]]=TRUE,Tbl_ResidentData[[#This Row],[P1]]=TRUE),1,0)</f>
        <v>0</v>
      </c>
      <c r="CP189" s="121">
        <f ca="1">IF(OR(Tbl_ResidentData[[#This Row],[S2]]=TRUE,Tbl_ResidentData[[#This Row],[P2]]=TRUE),1,0)</f>
        <v>0</v>
      </c>
      <c r="CQ189" s="121">
        <f ca="1">IF(OR(Tbl_ResidentData[[#This Row],[S3]]=TRUE,Tbl_ResidentData[[#This Row],[P3]]=TRUE),1,0)</f>
        <v>0</v>
      </c>
      <c r="CR189" s="120">
        <f ca="1">IF(OR(Tbl_ResidentData[[#This Row],[S4]]=TRUE,Tbl_ResidentData[[#This Row],[P4]]=TRUE),1,0)</f>
        <v>0</v>
      </c>
      <c r="CS189" s="120">
        <f ca="1">IF(OR(Tbl_ResidentData[[#This Row],[S5]]=TRUE,Tbl_ResidentData[[#This Row],[P5]]=TRUE),1,0)</f>
        <v>0</v>
      </c>
      <c r="CT189" s="120">
        <f ca="1">IF(OR(Tbl_ResidentData[[#This Row],[S6]]=TRUE,Tbl_ResidentData[[#This Row],[P6]]=TRUE),1,0)</f>
        <v>0</v>
      </c>
      <c r="CU189" s="120">
        <f ca="1">IF(OR(Tbl_ResidentData[[#This Row],[S7]]=TRUE,Tbl_ResidentData[[#This Row],[P7]]=TRUE),1,0)</f>
        <v>0</v>
      </c>
      <c r="CV189" s="120">
        <f ca="1">IF(OR(Tbl_ResidentData[[#This Row],[S8]]=TRUE,Tbl_ResidentData[[#This Row],[P8]]=TRUE),1,0)</f>
        <v>0</v>
      </c>
      <c r="CW189" s="120">
        <f ca="1">IF(OR(Tbl_ResidentData[[#This Row],[S9]]=TRUE,Tbl_ResidentData[[#This Row],[P9]]=TRUE),1,0)</f>
        <v>0</v>
      </c>
      <c r="CX189" s="120">
        <f ca="1">IF(OR(Tbl_ResidentData[[#This Row],[S10]]=TRUE,Tbl_ResidentData[[#This Row],[P10]]=TRUE),1,0)</f>
        <v>0</v>
      </c>
      <c r="CY189" s="120">
        <f ca="1">IF(OR(Tbl_ResidentData[[#This Row],[S11]]=TRUE,Tbl_ResidentData[[#This Row],[P11]]=TRUE),1,0)</f>
        <v>0</v>
      </c>
      <c r="CZ189" s="120">
        <f ca="1">IF(OR(Tbl_ResidentData[[#This Row],[S12]]=TRUE,Tbl_ResidentData[[#This Row],[P12]]=TRUE),1,0)</f>
        <v>0</v>
      </c>
      <c r="DA189" s="120">
        <f ca="1">IF(OR(Tbl_ResidentData[[#This Row],[S13]]=TRUE,Tbl_ResidentData[[#This Row],[P13]]=TRUE),1,0)</f>
        <v>0</v>
      </c>
      <c r="DB189" s="120">
        <f ca="1">IF(OR(Tbl_ResidentData[[#This Row],[S14]]=TRUE,Tbl_ResidentData[[#This Row],[P14]]=TRUE),1,0)</f>
        <v>0</v>
      </c>
      <c r="DC189" s="120">
        <f ca="1">IF(OR(Tbl_ResidentData[[#This Row],[S15]]=TRUE,Tbl_ResidentData[[#This Row],[P15]]=TRUE),1,0)</f>
        <v>0</v>
      </c>
      <c r="DD189" s="120">
        <f ca="1">IF(OR(Tbl_ResidentData[[#This Row],[S16]]=TRUE,Tbl_ResidentData[[#This Row],[P16]]=TRUE),1,0)</f>
        <v>0</v>
      </c>
      <c r="DE189" s="120">
        <f ca="1">IF(OR(Tbl_ResidentData[[#This Row],[S17]]=TRUE,Tbl_ResidentData[[#This Row],[P17]]=TRUE),1,0)</f>
        <v>0</v>
      </c>
      <c r="DF189" s="120">
        <f ca="1">IF(OR(Tbl_ResidentData[[#This Row],[S18]]=TRUE,Tbl_ResidentData[[#This Row],[P18]]=TRUE),1,0)</f>
        <v>0</v>
      </c>
      <c r="DG189" s="120">
        <f ca="1">IF(OR(Tbl_ResidentData[[#This Row],[S19]]=TRUE,Tbl_ResidentData[[#This Row],[P19]]=TRUE),1,0)</f>
        <v>0</v>
      </c>
      <c r="DH189" s="120">
        <f ca="1">IF(OR(Tbl_ResidentData[[#This Row],[S20]]=TRUE,Tbl_ResidentData[[#This Row],[P20]]=TRUE),1,0)</f>
        <v>0</v>
      </c>
      <c r="DI189" s="120">
        <f ca="1">IF(OR(Tbl_ResidentData[[#This Row],[S21]]=TRUE,Tbl_ResidentData[[#This Row],[P21]]=TRUE),1,0)</f>
        <v>0</v>
      </c>
      <c r="DJ189" s="120">
        <f ca="1">IF(OR(Tbl_ResidentData[[#This Row],[S22]]=TRUE,Tbl_ResidentData[[#This Row],[P22]]=TRUE),1,0)</f>
        <v>0</v>
      </c>
      <c r="DK189" s="120">
        <f ca="1">IF(OR(Tbl_ResidentData[[#This Row],[S23]]=TRUE,Tbl_ResidentData[[#This Row],[P23]]=TRUE),1,0)</f>
        <v>0</v>
      </c>
      <c r="DL189" s="120">
        <f ca="1">IF(OR(Tbl_ResidentData[[#This Row],[S24]]=TRUE,Tbl_ResidentData[[#This Row],[P24]]=TRUE),1,0)</f>
        <v>0</v>
      </c>
      <c r="DM189" s="123" t="str">
        <f ca="1">IFERROR(INDEX($CO$4:$DL$4,MATCH(TRUE,INDEX((Tbl_ResidentData[[#This Row],[Over1]:[Over24]]&lt;&gt;0),0),0)),"")</f>
        <v/>
      </c>
      <c r="DN189" s="133" t="str">
        <f>IFERROR(INDEX(Tbl_PDSAData[Last DRT],MATCH(Tbl_ResidentData[Resident Name '[last, first']],Tbl_PDSAData[Resident Name (last, first)],0)),"")</f>
        <v/>
      </c>
      <c r="DO189" s="222" t="str">
        <f>IFERROR(INDEX(Tbl_PDSAData[Last MR],MATCH(Tbl_ResidentData[Resident Name '[last, first']],Tbl_PDSAData[Resident Name (last, first)],0)),"")</f>
        <v/>
      </c>
    </row>
    <row r="190" spans="1:119" x14ac:dyDescent="0.25">
      <c r="A190" s="179"/>
      <c r="B190" s="180"/>
      <c r="C190" s="180"/>
      <c r="D190" s="218"/>
      <c r="E190" s="179"/>
      <c r="F190" s="179"/>
      <c r="G190" s="181"/>
      <c r="H190" s="375"/>
      <c r="I190" s="185"/>
      <c r="J190" s="387"/>
      <c r="K190" s="178"/>
      <c r="L190" s="388"/>
      <c r="M190" s="185"/>
      <c r="N190" s="386"/>
      <c r="O190" s="178"/>
      <c r="P190" s="388"/>
      <c r="Q190" s="394"/>
      <c r="R190" s="388"/>
      <c r="S190" s="131" t="str">
        <f>IF(ISBLANK(Tbl_ResidentData[[#This Row],[Discharge '[mmm-yyyy']]]),IF(ISBLANK(Tbl_ResidentData[[#This Row],[Enrollment '[mmm-yyyy']]]),"","In Care Home"),"Discharged")</f>
        <v/>
      </c>
      <c r="T190" s="119" t="str">
        <f>IF(ISBLANK(Tbl_ResidentData[[#This Row],[Diagnosis (RAI)]]),IF(ISBLANK(Tbl_ResidentData[[#This Row],[Resident Name '[last, first']]]),"",0),IF(Tbl_ResidentData[[#This Row],[Diagnosis (RAI)]]="Other (see clinical notes)",0,1))</f>
        <v/>
      </c>
      <c r="U190" s="120" t="str">
        <f ca="1">IF(U$4&gt;NOW(),"-",IF(ISBLANK(Tbl_ResidentData[[#This Row],[Enrollment '[mmm-yyyy']]]),"-",AND((Tbl_ResidentData[[#This Row],[Enrollment '[mmm-yyyy']]]&lt;=U$4),IF(ISBLANK(Tbl_ResidentData[[#This Row],[Discharge '[mmm-yyyy']]]),TRUE,(Tbl_ResidentData[[#This Row],[Discharge '[mmm-yyyy']]]&gt;=U$4)))))</f>
        <v>-</v>
      </c>
      <c r="V190" s="121" t="str">
        <f ca="1">IF(V$4&gt;NOW(),"-",IF(ISBLANK(Tbl_ResidentData[[#This Row],[Enrollment '[mmm-yyyy']]]),"-",AND((Tbl_ResidentData[[#This Row],[Enrollment '[mmm-yyyy']]]&lt;=V$4),IF(ISBLANK(Tbl_ResidentData[[#This Row],[Discharge '[mmm-yyyy']]]),TRUE,(Tbl_ResidentData[[#This Row],[Discharge '[mmm-yyyy']]]&gt;=V$4)))))</f>
        <v>-</v>
      </c>
      <c r="W190" s="121" t="str">
        <f ca="1">IF(W$4&gt;NOW(),"-",IF(ISBLANK(Tbl_ResidentData[[#This Row],[Enrollment '[mmm-yyyy']]]),"-",AND((Tbl_ResidentData[[#This Row],[Enrollment '[mmm-yyyy']]]&lt;=W$4),IF(ISBLANK(Tbl_ResidentData[[#This Row],[Discharge '[mmm-yyyy']]]),TRUE,(Tbl_ResidentData[[#This Row],[Discharge '[mmm-yyyy']]]&gt;=W$4)))))</f>
        <v>-</v>
      </c>
      <c r="X190" s="121" t="str">
        <f ca="1">IF(X$4&gt;NOW(),"-",IF(ISBLANK(Tbl_ResidentData[[#This Row],[Enrollment '[mmm-yyyy']]]),"-",AND((Tbl_ResidentData[[#This Row],[Enrollment '[mmm-yyyy']]]&lt;=X$4),IF(ISBLANK(Tbl_ResidentData[[#This Row],[Discharge '[mmm-yyyy']]]),TRUE,(Tbl_ResidentData[[#This Row],[Discharge '[mmm-yyyy']]]&gt;=X$4)))))</f>
        <v>-</v>
      </c>
      <c r="Y190" s="121" t="str">
        <f ca="1">IF(Y$4&gt;NOW(),"-",IF(ISBLANK(Tbl_ResidentData[[#This Row],[Enrollment '[mmm-yyyy']]]),"-",AND((Tbl_ResidentData[[#This Row],[Enrollment '[mmm-yyyy']]]&lt;=Y$4),IF(ISBLANK(Tbl_ResidentData[[#This Row],[Discharge '[mmm-yyyy']]]),TRUE,(Tbl_ResidentData[[#This Row],[Discharge '[mmm-yyyy']]]&gt;=Y$4)))))</f>
        <v>-</v>
      </c>
      <c r="Z190" s="121" t="str">
        <f ca="1">IF(Z$4&gt;NOW(),"-",IF(ISBLANK(Tbl_ResidentData[[#This Row],[Enrollment '[mmm-yyyy']]]),"-",AND((Tbl_ResidentData[[#This Row],[Enrollment '[mmm-yyyy']]]&lt;=Z$4),IF(ISBLANK(Tbl_ResidentData[[#This Row],[Discharge '[mmm-yyyy']]]),TRUE,(Tbl_ResidentData[[#This Row],[Discharge '[mmm-yyyy']]]&gt;=Z$4)))))</f>
        <v>-</v>
      </c>
      <c r="AA190" s="121" t="str">
        <f ca="1">IF(AA$4&gt;NOW(),"-",IF(ISBLANK(Tbl_ResidentData[[#This Row],[Enrollment '[mmm-yyyy']]]),"-",AND((Tbl_ResidentData[[#This Row],[Enrollment '[mmm-yyyy']]]&lt;=AA$4),IF(ISBLANK(Tbl_ResidentData[[#This Row],[Discharge '[mmm-yyyy']]]),TRUE,(Tbl_ResidentData[[#This Row],[Discharge '[mmm-yyyy']]]&gt;=AA$4)))))</f>
        <v>-</v>
      </c>
      <c r="AB190" s="121" t="str">
        <f ca="1">IF(AB$4&gt;NOW(),"-",IF(ISBLANK(Tbl_ResidentData[[#This Row],[Enrollment '[mmm-yyyy']]]),"-",AND((Tbl_ResidentData[[#This Row],[Enrollment '[mmm-yyyy']]]&lt;=AB$4),IF(ISBLANK(Tbl_ResidentData[[#This Row],[Discharge '[mmm-yyyy']]]),TRUE,(Tbl_ResidentData[[#This Row],[Discharge '[mmm-yyyy']]]&gt;=AB$4)))))</f>
        <v>-</v>
      </c>
      <c r="AC190" s="121" t="str">
        <f ca="1">IF(AC$4&gt;NOW(),"-",IF(ISBLANK(Tbl_ResidentData[[#This Row],[Enrollment '[mmm-yyyy']]]),"-",AND((Tbl_ResidentData[[#This Row],[Enrollment '[mmm-yyyy']]]&lt;=AC$4),IF(ISBLANK(Tbl_ResidentData[[#This Row],[Discharge '[mmm-yyyy']]]),TRUE,(Tbl_ResidentData[[#This Row],[Discharge '[mmm-yyyy']]]&gt;=AC$4)))))</f>
        <v>-</v>
      </c>
      <c r="AD190" s="121" t="str">
        <f ca="1">IF(AD$4&gt;NOW(),"-",IF(ISBLANK(Tbl_ResidentData[[#This Row],[Enrollment '[mmm-yyyy']]]),"-",AND((Tbl_ResidentData[[#This Row],[Enrollment '[mmm-yyyy']]]&lt;=AD$4),IF(ISBLANK(Tbl_ResidentData[[#This Row],[Discharge '[mmm-yyyy']]]),TRUE,(Tbl_ResidentData[[#This Row],[Discharge '[mmm-yyyy']]]&gt;=AD$4)))))</f>
        <v>-</v>
      </c>
      <c r="AE190" s="121" t="str">
        <f ca="1">IF(AE$4&gt;NOW(),"-",IF(ISBLANK(Tbl_ResidentData[[#This Row],[Enrollment '[mmm-yyyy']]]),"-",AND((Tbl_ResidentData[[#This Row],[Enrollment '[mmm-yyyy']]]&lt;=AE$4),IF(ISBLANK(Tbl_ResidentData[[#This Row],[Discharge '[mmm-yyyy']]]),TRUE,(Tbl_ResidentData[[#This Row],[Discharge '[mmm-yyyy']]]&gt;=AE$4)))))</f>
        <v>-</v>
      </c>
      <c r="AF190" s="121" t="str">
        <f ca="1">IF(AF$4&gt;NOW(),"-",IF(ISBLANK(Tbl_ResidentData[[#This Row],[Enrollment '[mmm-yyyy']]]),"-",AND((Tbl_ResidentData[[#This Row],[Enrollment '[mmm-yyyy']]]&lt;=AF$4),IF(ISBLANK(Tbl_ResidentData[[#This Row],[Discharge '[mmm-yyyy']]]),TRUE,(Tbl_ResidentData[[#This Row],[Discharge '[mmm-yyyy']]]&gt;=AF$4)))))</f>
        <v>-</v>
      </c>
      <c r="AG190" s="121" t="str">
        <f ca="1">IF(AG$4&gt;NOW(),"-",IF(ISBLANK(Tbl_ResidentData[[#This Row],[Enrollment '[mmm-yyyy']]]),"-",AND((Tbl_ResidentData[[#This Row],[Enrollment '[mmm-yyyy']]]&lt;=AG$4),IF(ISBLANK(Tbl_ResidentData[[#This Row],[Discharge '[mmm-yyyy']]]),TRUE,(Tbl_ResidentData[[#This Row],[Discharge '[mmm-yyyy']]]&gt;=AG$4)))))</f>
        <v>-</v>
      </c>
      <c r="AH190" s="121" t="str">
        <f ca="1">IF(AH$4&gt;NOW(),"-",IF(ISBLANK(Tbl_ResidentData[[#This Row],[Enrollment '[mmm-yyyy']]]),"-",AND((Tbl_ResidentData[[#This Row],[Enrollment '[mmm-yyyy']]]&lt;=AH$4),IF(ISBLANK(Tbl_ResidentData[[#This Row],[Discharge '[mmm-yyyy']]]),TRUE,(Tbl_ResidentData[[#This Row],[Discharge '[mmm-yyyy']]]&gt;=AH$4)))))</f>
        <v>-</v>
      </c>
      <c r="AI190" s="121" t="str">
        <f ca="1">IF(AI$4&gt;NOW(),"-",IF(ISBLANK(Tbl_ResidentData[[#This Row],[Enrollment '[mmm-yyyy']]]),"-",AND((Tbl_ResidentData[[#This Row],[Enrollment '[mmm-yyyy']]]&lt;=AI$4),IF(ISBLANK(Tbl_ResidentData[[#This Row],[Discharge '[mmm-yyyy']]]),TRUE,(Tbl_ResidentData[[#This Row],[Discharge '[mmm-yyyy']]]&gt;=AI$4)))))</f>
        <v>-</v>
      </c>
      <c r="AJ190" s="121" t="str">
        <f ca="1">IF(AJ$4&gt;NOW(),"-",IF(ISBLANK(Tbl_ResidentData[[#This Row],[Enrollment '[mmm-yyyy']]]),"-",AND((Tbl_ResidentData[[#This Row],[Enrollment '[mmm-yyyy']]]&lt;=AJ$4),IF(ISBLANK(Tbl_ResidentData[[#This Row],[Discharge '[mmm-yyyy']]]),TRUE,(Tbl_ResidentData[[#This Row],[Discharge '[mmm-yyyy']]]&gt;=AJ$4)))))</f>
        <v>-</v>
      </c>
      <c r="AK190" s="121" t="str">
        <f ca="1">IF(AK$4&gt;NOW(),"-",IF(ISBLANK(Tbl_ResidentData[[#This Row],[Enrollment '[mmm-yyyy']]]),"-",AND((Tbl_ResidentData[[#This Row],[Enrollment '[mmm-yyyy']]]&lt;=AK$4),IF(ISBLANK(Tbl_ResidentData[[#This Row],[Discharge '[mmm-yyyy']]]),TRUE,(Tbl_ResidentData[[#This Row],[Discharge '[mmm-yyyy']]]&gt;=AK$4)))))</f>
        <v>-</v>
      </c>
      <c r="AL190" s="121" t="str">
        <f ca="1">IF(AL$4&gt;NOW(),"-",IF(ISBLANK(Tbl_ResidentData[[#This Row],[Enrollment '[mmm-yyyy']]]),"-",AND((Tbl_ResidentData[[#This Row],[Enrollment '[mmm-yyyy']]]&lt;=AL$4),IF(ISBLANK(Tbl_ResidentData[[#This Row],[Discharge '[mmm-yyyy']]]),TRUE,(Tbl_ResidentData[[#This Row],[Discharge '[mmm-yyyy']]]&gt;=AL$4)))))</f>
        <v>-</v>
      </c>
      <c r="AM190" s="121" t="str">
        <f ca="1">IF(AM$4&gt;NOW(),"-",IF(ISBLANK(Tbl_ResidentData[[#This Row],[Enrollment '[mmm-yyyy']]]),"-",AND((Tbl_ResidentData[[#This Row],[Enrollment '[mmm-yyyy']]]&lt;=AM$4),IF(ISBLANK(Tbl_ResidentData[[#This Row],[Discharge '[mmm-yyyy']]]),TRUE,(Tbl_ResidentData[[#This Row],[Discharge '[mmm-yyyy']]]&gt;=AM$4)))))</f>
        <v>-</v>
      </c>
      <c r="AN190" s="121" t="str">
        <f ca="1">IF(AN$4&gt;NOW(),"-",IF(ISBLANK(Tbl_ResidentData[[#This Row],[Enrollment '[mmm-yyyy']]]),"-",AND((Tbl_ResidentData[[#This Row],[Enrollment '[mmm-yyyy']]]&lt;=AN$4),IF(ISBLANK(Tbl_ResidentData[[#This Row],[Discharge '[mmm-yyyy']]]),TRUE,(Tbl_ResidentData[[#This Row],[Discharge '[mmm-yyyy']]]&gt;=AN$4)))))</f>
        <v>-</v>
      </c>
      <c r="AO190" s="121" t="str">
        <f ca="1">IF(AO$4&gt;NOW(),"-",IF(ISBLANK(Tbl_ResidentData[[#This Row],[Enrollment '[mmm-yyyy']]]),"-",AND((Tbl_ResidentData[[#This Row],[Enrollment '[mmm-yyyy']]]&lt;=AO$4),IF(ISBLANK(Tbl_ResidentData[[#This Row],[Discharge '[mmm-yyyy']]]),TRUE,(Tbl_ResidentData[[#This Row],[Discharge '[mmm-yyyy']]]&gt;=AO$4)))))</f>
        <v>-</v>
      </c>
      <c r="AP190" s="121" t="str">
        <f ca="1">IF(AP$4&gt;NOW(),"-",IF(ISBLANK(Tbl_ResidentData[[#This Row],[Enrollment '[mmm-yyyy']]]),"-",AND((Tbl_ResidentData[[#This Row],[Enrollment '[mmm-yyyy']]]&lt;=AP$4),IF(ISBLANK(Tbl_ResidentData[[#This Row],[Discharge '[mmm-yyyy']]]),TRUE,(Tbl_ResidentData[[#This Row],[Discharge '[mmm-yyyy']]]&gt;=AP$4)))))</f>
        <v>-</v>
      </c>
      <c r="AQ190" s="121" t="str">
        <f ca="1">IF(AQ$4&gt;NOW(),"-",IF(ISBLANK(Tbl_ResidentData[[#This Row],[Enrollment '[mmm-yyyy']]]),"-",AND((Tbl_ResidentData[[#This Row],[Enrollment '[mmm-yyyy']]]&lt;=AQ$4),IF(ISBLANK(Tbl_ResidentData[[#This Row],[Discharge '[mmm-yyyy']]]),TRUE,(Tbl_ResidentData[[#This Row],[Discharge '[mmm-yyyy']]]&gt;=AQ$4)))))</f>
        <v>-</v>
      </c>
      <c r="AR190" s="122" t="str">
        <f ca="1">IF(AR$4&gt;NOW(),"-",IF(ISBLANK(Tbl_ResidentData[[#This Row],[Enrollment '[mmm-yyyy']]]),"-",AND((Tbl_ResidentData[[#This Row],[Enrollment '[mmm-yyyy']]]&lt;=AR$4),IF(ISBLANK(Tbl_ResidentData[[#This Row],[Discharge '[mmm-yyyy']]]),TRUE,(Tbl_ResidentData[[#This Row],[Discharge '[mmm-yyyy']]]&gt;=AR$4)))))</f>
        <v>-</v>
      </c>
      <c r="AS19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0" s="120" t="b">
        <f ca="1">AND(Tbl_ResidentData[[#This Row],[PRN Med Started]]&lt;&gt;"",Tbl_ResidentData[[#This Row],[PRN Med Started]]&lt;=NOW(),Tbl_ResidentData[[#This Row],[PRN Med Started]]&lt;=AS$4,OR(Tbl_ResidentData[[#This Row],[PRN Med Discontinued]]&gt;AS$4,ISBLANK(Tbl_ResidentData[[#This Row],[PRN Med Discontinued]])))</f>
        <v>0</v>
      </c>
      <c r="BR190" s="121" t="b">
        <f ca="1">AND(Tbl_ResidentData[[#This Row],[PRN Med Started]]&lt;&gt;"",Tbl_ResidentData[[#This Row],[PRN Med Started]]&lt;=NOW(),Tbl_ResidentData[[#This Row],[PRN Med Started]]&lt;=AT$4,OR(Tbl_ResidentData[[#This Row],[PRN Med Discontinued]]&gt;AT$4,ISBLANK(Tbl_ResidentData[[#This Row],[PRN Med Discontinued]])))</f>
        <v>0</v>
      </c>
      <c r="BS190" s="121" t="b">
        <f ca="1">AND(Tbl_ResidentData[[#This Row],[PRN Med Started]]&lt;&gt;"",Tbl_ResidentData[[#This Row],[PRN Med Started]]&lt;=NOW(),Tbl_ResidentData[[#This Row],[PRN Med Started]]&lt;=AU$4,OR(Tbl_ResidentData[[#This Row],[PRN Med Discontinued]]&gt;AU$4,ISBLANK(Tbl_ResidentData[[#This Row],[PRN Med Discontinued]])))</f>
        <v>0</v>
      </c>
      <c r="BT190" s="121" t="b">
        <f ca="1">AND(Tbl_ResidentData[[#This Row],[PRN Med Started]]&lt;&gt;"",Tbl_ResidentData[[#This Row],[PRN Med Started]]&lt;=NOW(),Tbl_ResidentData[[#This Row],[PRN Med Started]]&lt;=AV$4,OR(Tbl_ResidentData[[#This Row],[PRN Med Discontinued]]&gt;AV$4,ISBLANK(Tbl_ResidentData[[#This Row],[PRN Med Discontinued]])))</f>
        <v>0</v>
      </c>
      <c r="BU190" s="121" t="b">
        <f ca="1">AND(Tbl_ResidentData[[#This Row],[PRN Med Started]]&lt;&gt;"",Tbl_ResidentData[[#This Row],[PRN Med Started]]&lt;=NOW(),Tbl_ResidentData[[#This Row],[PRN Med Started]]&lt;=AW$4,OR(Tbl_ResidentData[[#This Row],[PRN Med Discontinued]]&gt;AW$4,ISBLANK(Tbl_ResidentData[[#This Row],[PRN Med Discontinued]])))</f>
        <v>0</v>
      </c>
      <c r="BV190" s="121" t="b">
        <f ca="1">AND(Tbl_ResidentData[[#This Row],[PRN Med Started]]&lt;&gt;"",Tbl_ResidentData[[#This Row],[PRN Med Started]]&lt;=NOW(),Tbl_ResidentData[[#This Row],[PRN Med Started]]&lt;=AX$4,OR(Tbl_ResidentData[[#This Row],[PRN Med Discontinued]]&gt;AX$4,ISBLANK(Tbl_ResidentData[[#This Row],[PRN Med Discontinued]])))</f>
        <v>0</v>
      </c>
      <c r="BW190" s="121" t="b">
        <f ca="1">AND(Tbl_ResidentData[[#This Row],[PRN Med Started]]&lt;&gt;"",Tbl_ResidentData[[#This Row],[PRN Med Started]]&lt;=NOW(),Tbl_ResidentData[[#This Row],[PRN Med Started]]&lt;=AY$4,OR(Tbl_ResidentData[[#This Row],[PRN Med Discontinued]]&gt;AY$4,ISBLANK(Tbl_ResidentData[[#This Row],[PRN Med Discontinued]])))</f>
        <v>0</v>
      </c>
      <c r="BX190" s="121" t="b">
        <f ca="1">AND(Tbl_ResidentData[[#This Row],[PRN Med Started]]&lt;&gt;"",Tbl_ResidentData[[#This Row],[PRN Med Started]]&lt;=NOW(),Tbl_ResidentData[[#This Row],[PRN Med Started]]&lt;=AZ$4,OR(Tbl_ResidentData[[#This Row],[PRN Med Discontinued]]&gt;AZ$4,ISBLANK(Tbl_ResidentData[[#This Row],[PRN Med Discontinued]])))</f>
        <v>0</v>
      </c>
      <c r="BY190" s="121" t="b">
        <f ca="1">AND(Tbl_ResidentData[[#This Row],[PRN Med Started]]&lt;&gt;"",Tbl_ResidentData[[#This Row],[PRN Med Started]]&lt;=NOW(),Tbl_ResidentData[[#This Row],[PRN Med Started]]&lt;=BA$4,OR(Tbl_ResidentData[[#This Row],[PRN Med Discontinued]]&gt;BA$4,ISBLANK(Tbl_ResidentData[[#This Row],[PRN Med Discontinued]])))</f>
        <v>0</v>
      </c>
      <c r="BZ190" s="121" t="b">
        <f ca="1">AND(Tbl_ResidentData[[#This Row],[PRN Med Started]]&lt;&gt;"",Tbl_ResidentData[[#This Row],[PRN Med Started]]&lt;=NOW(),Tbl_ResidentData[[#This Row],[PRN Med Started]]&lt;=BB$4,OR(Tbl_ResidentData[[#This Row],[PRN Med Discontinued]]&gt;BB$4,ISBLANK(Tbl_ResidentData[[#This Row],[PRN Med Discontinued]])))</f>
        <v>0</v>
      </c>
      <c r="CA190" s="121" t="b">
        <f ca="1">AND(Tbl_ResidentData[[#This Row],[PRN Med Started]]&lt;&gt;"",Tbl_ResidentData[[#This Row],[PRN Med Started]]&lt;=NOW(),Tbl_ResidentData[[#This Row],[PRN Med Started]]&lt;=BC$4,OR(Tbl_ResidentData[[#This Row],[PRN Med Discontinued]]&gt;BC$4,ISBLANK(Tbl_ResidentData[[#This Row],[PRN Med Discontinued]])))</f>
        <v>0</v>
      </c>
      <c r="CB190" s="121" t="b">
        <f ca="1">AND(Tbl_ResidentData[[#This Row],[PRN Med Started]]&lt;&gt;"",Tbl_ResidentData[[#This Row],[PRN Med Started]]&lt;=NOW(),Tbl_ResidentData[[#This Row],[PRN Med Started]]&lt;=BD$4,OR(Tbl_ResidentData[[#This Row],[PRN Med Discontinued]]&gt;BD$4,ISBLANK(Tbl_ResidentData[[#This Row],[PRN Med Discontinued]])))</f>
        <v>0</v>
      </c>
      <c r="CC190" s="121" t="b">
        <f ca="1">AND(Tbl_ResidentData[[#This Row],[PRN Med Started]]&lt;&gt;"",Tbl_ResidentData[[#This Row],[PRN Med Started]]&lt;=NOW(),Tbl_ResidentData[[#This Row],[PRN Med Started]]&lt;=BE$4,OR(Tbl_ResidentData[[#This Row],[PRN Med Discontinued]]&gt;BE$4,ISBLANK(Tbl_ResidentData[[#This Row],[PRN Med Discontinued]])))</f>
        <v>0</v>
      </c>
      <c r="CD190" s="121" t="b">
        <f ca="1">AND(Tbl_ResidentData[[#This Row],[PRN Med Started]]&lt;&gt;"",Tbl_ResidentData[[#This Row],[PRN Med Started]]&lt;=NOW(),Tbl_ResidentData[[#This Row],[PRN Med Started]]&lt;=BF$4,OR(Tbl_ResidentData[[#This Row],[PRN Med Discontinued]]&gt;BF$4,ISBLANK(Tbl_ResidentData[[#This Row],[PRN Med Discontinued]])))</f>
        <v>0</v>
      </c>
      <c r="CE190" s="121" t="b">
        <f ca="1">AND(Tbl_ResidentData[[#This Row],[PRN Med Started]]&lt;&gt;"",Tbl_ResidentData[[#This Row],[PRN Med Started]]&lt;=NOW(),Tbl_ResidentData[[#This Row],[PRN Med Started]]&lt;=BG$4,OR(Tbl_ResidentData[[#This Row],[PRN Med Discontinued]]&gt;BG$4,ISBLANK(Tbl_ResidentData[[#This Row],[PRN Med Discontinued]])))</f>
        <v>0</v>
      </c>
      <c r="CF190" s="121" t="b">
        <f ca="1">AND(Tbl_ResidentData[[#This Row],[PRN Med Started]]&lt;&gt;"",Tbl_ResidentData[[#This Row],[PRN Med Started]]&lt;=NOW(),Tbl_ResidentData[[#This Row],[PRN Med Started]]&lt;=BH$4,OR(Tbl_ResidentData[[#This Row],[PRN Med Discontinued]]&gt;BH$4,ISBLANK(Tbl_ResidentData[[#This Row],[PRN Med Discontinued]])))</f>
        <v>0</v>
      </c>
      <c r="CG190" s="121" t="b">
        <f ca="1">AND(Tbl_ResidentData[[#This Row],[PRN Med Started]]&lt;&gt;"",Tbl_ResidentData[[#This Row],[PRN Med Started]]&lt;=NOW(),Tbl_ResidentData[[#This Row],[PRN Med Started]]&lt;=BI$4,OR(Tbl_ResidentData[[#This Row],[PRN Med Discontinued]]&gt;BI$4,ISBLANK(Tbl_ResidentData[[#This Row],[PRN Med Discontinued]])))</f>
        <v>0</v>
      </c>
      <c r="CH190" s="121" t="b">
        <f ca="1">AND(Tbl_ResidentData[[#This Row],[PRN Med Started]]&lt;&gt;"",Tbl_ResidentData[[#This Row],[PRN Med Started]]&lt;=NOW(),Tbl_ResidentData[[#This Row],[PRN Med Started]]&lt;=BJ$4,OR(Tbl_ResidentData[[#This Row],[PRN Med Discontinued]]&gt;BJ$4,ISBLANK(Tbl_ResidentData[[#This Row],[PRN Med Discontinued]])))</f>
        <v>0</v>
      </c>
      <c r="CI190" s="121" t="b">
        <f ca="1">AND(Tbl_ResidentData[[#This Row],[PRN Med Started]]&lt;&gt;"",Tbl_ResidentData[[#This Row],[PRN Med Started]]&lt;=NOW(),Tbl_ResidentData[[#This Row],[PRN Med Started]]&lt;=BK$4,OR(Tbl_ResidentData[[#This Row],[PRN Med Discontinued]]&gt;BK$4,ISBLANK(Tbl_ResidentData[[#This Row],[PRN Med Discontinued]])))</f>
        <v>0</v>
      </c>
      <c r="CJ190" s="121" t="b">
        <f ca="1">AND(Tbl_ResidentData[[#This Row],[PRN Med Started]]&lt;&gt;"",Tbl_ResidentData[[#This Row],[PRN Med Started]]&lt;=NOW(),Tbl_ResidentData[[#This Row],[PRN Med Started]]&lt;=BL$4,OR(Tbl_ResidentData[[#This Row],[PRN Med Discontinued]]&gt;BL$4,ISBLANK(Tbl_ResidentData[[#This Row],[PRN Med Discontinued]])))</f>
        <v>0</v>
      </c>
      <c r="CK190" s="121" t="b">
        <f ca="1">AND(Tbl_ResidentData[[#This Row],[PRN Med Started]]&lt;&gt;"",Tbl_ResidentData[[#This Row],[PRN Med Started]]&lt;=NOW(),Tbl_ResidentData[[#This Row],[PRN Med Started]]&lt;=BM$4,OR(Tbl_ResidentData[[#This Row],[PRN Med Discontinued]]&gt;BM$4,ISBLANK(Tbl_ResidentData[[#This Row],[PRN Med Discontinued]])))</f>
        <v>0</v>
      </c>
      <c r="CL190" s="121" t="b">
        <f ca="1">AND(Tbl_ResidentData[[#This Row],[PRN Med Started]]&lt;&gt;"",Tbl_ResidentData[[#This Row],[PRN Med Started]]&lt;=NOW(),Tbl_ResidentData[[#This Row],[PRN Med Started]]&lt;=BN$4,OR(Tbl_ResidentData[[#This Row],[PRN Med Discontinued]]&gt;BN$4,ISBLANK(Tbl_ResidentData[[#This Row],[PRN Med Discontinued]])))</f>
        <v>0</v>
      </c>
      <c r="CM190" s="121" t="b">
        <f ca="1">AND(Tbl_ResidentData[[#This Row],[PRN Med Started]]&lt;&gt;"",Tbl_ResidentData[[#This Row],[PRN Med Started]]&lt;=NOW(),Tbl_ResidentData[[#This Row],[PRN Med Started]]&lt;=BO$4,OR(Tbl_ResidentData[[#This Row],[PRN Med Discontinued]]&gt;BO$4,ISBLANK(Tbl_ResidentData[[#This Row],[PRN Med Discontinued]])))</f>
        <v>0</v>
      </c>
      <c r="CN190" s="122" t="b">
        <f ca="1">AND(Tbl_ResidentData[[#This Row],[PRN Med Started]]&lt;&gt;"",Tbl_ResidentData[[#This Row],[PRN Med Started]]&lt;=NOW(),Tbl_ResidentData[[#This Row],[PRN Med Started]]&lt;=BP$4,OR(Tbl_ResidentData[[#This Row],[PRN Med Discontinued]]&gt;BP$4,ISBLANK(Tbl_ResidentData[[#This Row],[PRN Med Discontinued]])))</f>
        <v>0</v>
      </c>
      <c r="CO190" s="120">
        <f ca="1">IF(OR(Tbl_ResidentData[[#This Row],[S1]]=TRUE,Tbl_ResidentData[[#This Row],[P1]]=TRUE),1,0)</f>
        <v>0</v>
      </c>
      <c r="CP190" s="121">
        <f ca="1">IF(OR(Tbl_ResidentData[[#This Row],[S2]]=TRUE,Tbl_ResidentData[[#This Row],[P2]]=TRUE),1,0)</f>
        <v>0</v>
      </c>
      <c r="CQ190" s="121">
        <f ca="1">IF(OR(Tbl_ResidentData[[#This Row],[S3]]=TRUE,Tbl_ResidentData[[#This Row],[P3]]=TRUE),1,0)</f>
        <v>0</v>
      </c>
      <c r="CR190" s="120">
        <f ca="1">IF(OR(Tbl_ResidentData[[#This Row],[S4]]=TRUE,Tbl_ResidentData[[#This Row],[P4]]=TRUE),1,0)</f>
        <v>0</v>
      </c>
      <c r="CS190" s="120">
        <f ca="1">IF(OR(Tbl_ResidentData[[#This Row],[S5]]=TRUE,Tbl_ResidentData[[#This Row],[P5]]=TRUE),1,0)</f>
        <v>0</v>
      </c>
      <c r="CT190" s="120">
        <f ca="1">IF(OR(Tbl_ResidentData[[#This Row],[S6]]=TRUE,Tbl_ResidentData[[#This Row],[P6]]=TRUE),1,0)</f>
        <v>0</v>
      </c>
      <c r="CU190" s="120">
        <f ca="1">IF(OR(Tbl_ResidentData[[#This Row],[S7]]=TRUE,Tbl_ResidentData[[#This Row],[P7]]=TRUE),1,0)</f>
        <v>0</v>
      </c>
      <c r="CV190" s="120">
        <f ca="1">IF(OR(Tbl_ResidentData[[#This Row],[S8]]=TRUE,Tbl_ResidentData[[#This Row],[P8]]=TRUE),1,0)</f>
        <v>0</v>
      </c>
      <c r="CW190" s="120">
        <f ca="1">IF(OR(Tbl_ResidentData[[#This Row],[S9]]=TRUE,Tbl_ResidentData[[#This Row],[P9]]=TRUE),1,0)</f>
        <v>0</v>
      </c>
      <c r="CX190" s="120">
        <f ca="1">IF(OR(Tbl_ResidentData[[#This Row],[S10]]=TRUE,Tbl_ResidentData[[#This Row],[P10]]=TRUE),1,0)</f>
        <v>0</v>
      </c>
      <c r="CY190" s="120">
        <f ca="1">IF(OR(Tbl_ResidentData[[#This Row],[S11]]=TRUE,Tbl_ResidentData[[#This Row],[P11]]=TRUE),1,0)</f>
        <v>0</v>
      </c>
      <c r="CZ190" s="120">
        <f ca="1">IF(OR(Tbl_ResidentData[[#This Row],[S12]]=TRUE,Tbl_ResidentData[[#This Row],[P12]]=TRUE),1,0)</f>
        <v>0</v>
      </c>
      <c r="DA190" s="120">
        <f ca="1">IF(OR(Tbl_ResidentData[[#This Row],[S13]]=TRUE,Tbl_ResidentData[[#This Row],[P13]]=TRUE),1,0)</f>
        <v>0</v>
      </c>
      <c r="DB190" s="120">
        <f ca="1">IF(OR(Tbl_ResidentData[[#This Row],[S14]]=TRUE,Tbl_ResidentData[[#This Row],[P14]]=TRUE),1,0)</f>
        <v>0</v>
      </c>
      <c r="DC190" s="120">
        <f ca="1">IF(OR(Tbl_ResidentData[[#This Row],[S15]]=TRUE,Tbl_ResidentData[[#This Row],[P15]]=TRUE),1,0)</f>
        <v>0</v>
      </c>
      <c r="DD190" s="120">
        <f ca="1">IF(OR(Tbl_ResidentData[[#This Row],[S16]]=TRUE,Tbl_ResidentData[[#This Row],[P16]]=TRUE),1,0)</f>
        <v>0</v>
      </c>
      <c r="DE190" s="120">
        <f ca="1">IF(OR(Tbl_ResidentData[[#This Row],[S17]]=TRUE,Tbl_ResidentData[[#This Row],[P17]]=TRUE),1,0)</f>
        <v>0</v>
      </c>
      <c r="DF190" s="120">
        <f ca="1">IF(OR(Tbl_ResidentData[[#This Row],[S18]]=TRUE,Tbl_ResidentData[[#This Row],[P18]]=TRUE),1,0)</f>
        <v>0</v>
      </c>
      <c r="DG190" s="120">
        <f ca="1">IF(OR(Tbl_ResidentData[[#This Row],[S19]]=TRUE,Tbl_ResidentData[[#This Row],[P19]]=TRUE),1,0)</f>
        <v>0</v>
      </c>
      <c r="DH190" s="120">
        <f ca="1">IF(OR(Tbl_ResidentData[[#This Row],[S20]]=TRUE,Tbl_ResidentData[[#This Row],[P20]]=TRUE),1,0)</f>
        <v>0</v>
      </c>
      <c r="DI190" s="120">
        <f ca="1">IF(OR(Tbl_ResidentData[[#This Row],[S21]]=TRUE,Tbl_ResidentData[[#This Row],[P21]]=TRUE),1,0)</f>
        <v>0</v>
      </c>
      <c r="DJ190" s="120">
        <f ca="1">IF(OR(Tbl_ResidentData[[#This Row],[S22]]=TRUE,Tbl_ResidentData[[#This Row],[P22]]=TRUE),1,0)</f>
        <v>0</v>
      </c>
      <c r="DK190" s="120">
        <f ca="1">IF(OR(Tbl_ResidentData[[#This Row],[S23]]=TRUE,Tbl_ResidentData[[#This Row],[P23]]=TRUE),1,0)</f>
        <v>0</v>
      </c>
      <c r="DL190" s="120">
        <f ca="1">IF(OR(Tbl_ResidentData[[#This Row],[S24]]=TRUE,Tbl_ResidentData[[#This Row],[P24]]=TRUE),1,0)</f>
        <v>0</v>
      </c>
      <c r="DM190" s="123" t="str">
        <f ca="1">IFERROR(INDEX($CO$4:$DL$4,MATCH(TRUE,INDEX((Tbl_ResidentData[[#This Row],[Over1]:[Over24]]&lt;&gt;0),0),0)),"")</f>
        <v/>
      </c>
      <c r="DN190" s="133" t="str">
        <f>IFERROR(INDEX(Tbl_PDSAData[Last DRT],MATCH(Tbl_ResidentData[Resident Name '[last, first']],Tbl_PDSAData[Resident Name (last, first)],0)),"")</f>
        <v/>
      </c>
      <c r="DO190" s="222" t="str">
        <f>IFERROR(INDEX(Tbl_PDSAData[Last MR],MATCH(Tbl_ResidentData[Resident Name '[last, first']],Tbl_PDSAData[Resident Name (last, first)],0)),"")</f>
        <v/>
      </c>
    </row>
    <row r="191" spans="1:119" x14ac:dyDescent="0.25">
      <c r="A191" s="179"/>
      <c r="B191" s="180"/>
      <c r="C191" s="180"/>
      <c r="D191" s="218"/>
      <c r="E191" s="179"/>
      <c r="F191" s="179"/>
      <c r="G191" s="181"/>
      <c r="H191" s="375"/>
      <c r="I191" s="185"/>
      <c r="J191" s="387"/>
      <c r="K191" s="178"/>
      <c r="L191" s="388"/>
      <c r="M191" s="185"/>
      <c r="N191" s="386"/>
      <c r="O191" s="178"/>
      <c r="P191" s="388"/>
      <c r="Q191" s="395"/>
      <c r="R191" s="396"/>
      <c r="S191" s="131" t="str">
        <f>IF(ISBLANK(Tbl_ResidentData[[#This Row],[Discharge '[mmm-yyyy']]]),IF(ISBLANK(Tbl_ResidentData[[#This Row],[Enrollment '[mmm-yyyy']]]),"","In Care Home"),"Discharged")</f>
        <v/>
      </c>
      <c r="T191" s="119" t="str">
        <f>IF(ISBLANK(Tbl_ResidentData[[#This Row],[Diagnosis (RAI)]]),IF(ISBLANK(Tbl_ResidentData[[#This Row],[Resident Name '[last, first']]]),"",0),IF(Tbl_ResidentData[[#This Row],[Diagnosis (RAI)]]="Other (see clinical notes)",0,1))</f>
        <v/>
      </c>
      <c r="U191" s="120" t="str">
        <f ca="1">IF(U$4&gt;NOW(),"-",IF(ISBLANK(Tbl_ResidentData[[#This Row],[Enrollment '[mmm-yyyy']]]),"-",AND((Tbl_ResidentData[[#This Row],[Enrollment '[mmm-yyyy']]]&lt;=U$4),IF(ISBLANK(Tbl_ResidentData[[#This Row],[Discharge '[mmm-yyyy']]]),TRUE,(Tbl_ResidentData[[#This Row],[Discharge '[mmm-yyyy']]]&gt;=U$4)))))</f>
        <v>-</v>
      </c>
      <c r="V191" s="121" t="str">
        <f ca="1">IF(V$4&gt;NOW(),"-",IF(ISBLANK(Tbl_ResidentData[[#This Row],[Enrollment '[mmm-yyyy']]]),"-",AND((Tbl_ResidentData[[#This Row],[Enrollment '[mmm-yyyy']]]&lt;=V$4),IF(ISBLANK(Tbl_ResidentData[[#This Row],[Discharge '[mmm-yyyy']]]),TRUE,(Tbl_ResidentData[[#This Row],[Discharge '[mmm-yyyy']]]&gt;=V$4)))))</f>
        <v>-</v>
      </c>
      <c r="W191" s="121" t="str">
        <f ca="1">IF(W$4&gt;NOW(),"-",IF(ISBLANK(Tbl_ResidentData[[#This Row],[Enrollment '[mmm-yyyy']]]),"-",AND((Tbl_ResidentData[[#This Row],[Enrollment '[mmm-yyyy']]]&lt;=W$4),IF(ISBLANK(Tbl_ResidentData[[#This Row],[Discharge '[mmm-yyyy']]]),TRUE,(Tbl_ResidentData[[#This Row],[Discharge '[mmm-yyyy']]]&gt;=W$4)))))</f>
        <v>-</v>
      </c>
      <c r="X191" s="121" t="str">
        <f ca="1">IF(X$4&gt;NOW(),"-",IF(ISBLANK(Tbl_ResidentData[[#This Row],[Enrollment '[mmm-yyyy']]]),"-",AND((Tbl_ResidentData[[#This Row],[Enrollment '[mmm-yyyy']]]&lt;=X$4),IF(ISBLANK(Tbl_ResidentData[[#This Row],[Discharge '[mmm-yyyy']]]),TRUE,(Tbl_ResidentData[[#This Row],[Discharge '[mmm-yyyy']]]&gt;=X$4)))))</f>
        <v>-</v>
      </c>
      <c r="Y191" s="121" t="str">
        <f ca="1">IF(Y$4&gt;NOW(),"-",IF(ISBLANK(Tbl_ResidentData[[#This Row],[Enrollment '[mmm-yyyy']]]),"-",AND((Tbl_ResidentData[[#This Row],[Enrollment '[mmm-yyyy']]]&lt;=Y$4),IF(ISBLANK(Tbl_ResidentData[[#This Row],[Discharge '[mmm-yyyy']]]),TRUE,(Tbl_ResidentData[[#This Row],[Discharge '[mmm-yyyy']]]&gt;=Y$4)))))</f>
        <v>-</v>
      </c>
      <c r="Z191" s="121" t="str">
        <f ca="1">IF(Z$4&gt;NOW(),"-",IF(ISBLANK(Tbl_ResidentData[[#This Row],[Enrollment '[mmm-yyyy']]]),"-",AND((Tbl_ResidentData[[#This Row],[Enrollment '[mmm-yyyy']]]&lt;=Z$4),IF(ISBLANK(Tbl_ResidentData[[#This Row],[Discharge '[mmm-yyyy']]]),TRUE,(Tbl_ResidentData[[#This Row],[Discharge '[mmm-yyyy']]]&gt;=Z$4)))))</f>
        <v>-</v>
      </c>
      <c r="AA191" s="121" t="str">
        <f ca="1">IF(AA$4&gt;NOW(),"-",IF(ISBLANK(Tbl_ResidentData[[#This Row],[Enrollment '[mmm-yyyy']]]),"-",AND((Tbl_ResidentData[[#This Row],[Enrollment '[mmm-yyyy']]]&lt;=AA$4),IF(ISBLANK(Tbl_ResidentData[[#This Row],[Discharge '[mmm-yyyy']]]),TRUE,(Tbl_ResidentData[[#This Row],[Discharge '[mmm-yyyy']]]&gt;=AA$4)))))</f>
        <v>-</v>
      </c>
      <c r="AB191" s="121" t="str">
        <f ca="1">IF(AB$4&gt;NOW(),"-",IF(ISBLANK(Tbl_ResidentData[[#This Row],[Enrollment '[mmm-yyyy']]]),"-",AND((Tbl_ResidentData[[#This Row],[Enrollment '[mmm-yyyy']]]&lt;=AB$4),IF(ISBLANK(Tbl_ResidentData[[#This Row],[Discharge '[mmm-yyyy']]]),TRUE,(Tbl_ResidentData[[#This Row],[Discharge '[mmm-yyyy']]]&gt;=AB$4)))))</f>
        <v>-</v>
      </c>
      <c r="AC191" s="121" t="str">
        <f ca="1">IF(AC$4&gt;NOW(),"-",IF(ISBLANK(Tbl_ResidentData[[#This Row],[Enrollment '[mmm-yyyy']]]),"-",AND((Tbl_ResidentData[[#This Row],[Enrollment '[mmm-yyyy']]]&lt;=AC$4),IF(ISBLANK(Tbl_ResidentData[[#This Row],[Discharge '[mmm-yyyy']]]),TRUE,(Tbl_ResidentData[[#This Row],[Discharge '[mmm-yyyy']]]&gt;=AC$4)))))</f>
        <v>-</v>
      </c>
      <c r="AD191" s="121" t="str">
        <f ca="1">IF(AD$4&gt;NOW(),"-",IF(ISBLANK(Tbl_ResidentData[[#This Row],[Enrollment '[mmm-yyyy']]]),"-",AND((Tbl_ResidentData[[#This Row],[Enrollment '[mmm-yyyy']]]&lt;=AD$4),IF(ISBLANK(Tbl_ResidentData[[#This Row],[Discharge '[mmm-yyyy']]]),TRUE,(Tbl_ResidentData[[#This Row],[Discharge '[mmm-yyyy']]]&gt;=AD$4)))))</f>
        <v>-</v>
      </c>
      <c r="AE191" s="121" t="str">
        <f ca="1">IF(AE$4&gt;NOW(),"-",IF(ISBLANK(Tbl_ResidentData[[#This Row],[Enrollment '[mmm-yyyy']]]),"-",AND((Tbl_ResidentData[[#This Row],[Enrollment '[mmm-yyyy']]]&lt;=AE$4),IF(ISBLANK(Tbl_ResidentData[[#This Row],[Discharge '[mmm-yyyy']]]),TRUE,(Tbl_ResidentData[[#This Row],[Discharge '[mmm-yyyy']]]&gt;=AE$4)))))</f>
        <v>-</v>
      </c>
      <c r="AF191" s="121" t="str">
        <f ca="1">IF(AF$4&gt;NOW(),"-",IF(ISBLANK(Tbl_ResidentData[[#This Row],[Enrollment '[mmm-yyyy']]]),"-",AND((Tbl_ResidentData[[#This Row],[Enrollment '[mmm-yyyy']]]&lt;=AF$4),IF(ISBLANK(Tbl_ResidentData[[#This Row],[Discharge '[mmm-yyyy']]]),TRUE,(Tbl_ResidentData[[#This Row],[Discharge '[mmm-yyyy']]]&gt;=AF$4)))))</f>
        <v>-</v>
      </c>
      <c r="AG191" s="121" t="str">
        <f ca="1">IF(AG$4&gt;NOW(),"-",IF(ISBLANK(Tbl_ResidentData[[#This Row],[Enrollment '[mmm-yyyy']]]),"-",AND((Tbl_ResidentData[[#This Row],[Enrollment '[mmm-yyyy']]]&lt;=AG$4),IF(ISBLANK(Tbl_ResidentData[[#This Row],[Discharge '[mmm-yyyy']]]),TRUE,(Tbl_ResidentData[[#This Row],[Discharge '[mmm-yyyy']]]&gt;=AG$4)))))</f>
        <v>-</v>
      </c>
      <c r="AH191" s="121" t="str">
        <f ca="1">IF(AH$4&gt;NOW(),"-",IF(ISBLANK(Tbl_ResidentData[[#This Row],[Enrollment '[mmm-yyyy']]]),"-",AND((Tbl_ResidentData[[#This Row],[Enrollment '[mmm-yyyy']]]&lt;=AH$4),IF(ISBLANK(Tbl_ResidentData[[#This Row],[Discharge '[mmm-yyyy']]]),TRUE,(Tbl_ResidentData[[#This Row],[Discharge '[mmm-yyyy']]]&gt;=AH$4)))))</f>
        <v>-</v>
      </c>
      <c r="AI191" s="121" t="str">
        <f ca="1">IF(AI$4&gt;NOW(),"-",IF(ISBLANK(Tbl_ResidentData[[#This Row],[Enrollment '[mmm-yyyy']]]),"-",AND((Tbl_ResidentData[[#This Row],[Enrollment '[mmm-yyyy']]]&lt;=AI$4),IF(ISBLANK(Tbl_ResidentData[[#This Row],[Discharge '[mmm-yyyy']]]),TRUE,(Tbl_ResidentData[[#This Row],[Discharge '[mmm-yyyy']]]&gt;=AI$4)))))</f>
        <v>-</v>
      </c>
      <c r="AJ191" s="121" t="str">
        <f ca="1">IF(AJ$4&gt;NOW(),"-",IF(ISBLANK(Tbl_ResidentData[[#This Row],[Enrollment '[mmm-yyyy']]]),"-",AND((Tbl_ResidentData[[#This Row],[Enrollment '[mmm-yyyy']]]&lt;=AJ$4),IF(ISBLANK(Tbl_ResidentData[[#This Row],[Discharge '[mmm-yyyy']]]),TRUE,(Tbl_ResidentData[[#This Row],[Discharge '[mmm-yyyy']]]&gt;=AJ$4)))))</f>
        <v>-</v>
      </c>
      <c r="AK191" s="121" t="str">
        <f ca="1">IF(AK$4&gt;NOW(),"-",IF(ISBLANK(Tbl_ResidentData[[#This Row],[Enrollment '[mmm-yyyy']]]),"-",AND((Tbl_ResidentData[[#This Row],[Enrollment '[mmm-yyyy']]]&lt;=AK$4),IF(ISBLANK(Tbl_ResidentData[[#This Row],[Discharge '[mmm-yyyy']]]),TRUE,(Tbl_ResidentData[[#This Row],[Discharge '[mmm-yyyy']]]&gt;=AK$4)))))</f>
        <v>-</v>
      </c>
      <c r="AL191" s="121" t="str">
        <f ca="1">IF(AL$4&gt;NOW(),"-",IF(ISBLANK(Tbl_ResidentData[[#This Row],[Enrollment '[mmm-yyyy']]]),"-",AND((Tbl_ResidentData[[#This Row],[Enrollment '[mmm-yyyy']]]&lt;=AL$4),IF(ISBLANK(Tbl_ResidentData[[#This Row],[Discharge '[mmm-yyyy']]]),TRUE,(Tbl_ResidentData[[#This Row],[Discharge '[mmm-yyyy']]]&gt;=AL$4)))))</f>
        <v>-</v>
      </c>
      <c r="AM191" s="121" t="str">
        <f ca="1">IF(AM$4&gt;NOW(),"-",IF(ISBLANK(Tbl_ResidentData[[#This Row],[Enrollment '[mmm-yyyy']]]),"-",AND((Tbl_ResidentData[[#This Row],[Enrollment '[mmm-yyyy']]]&lt;=AM$4),IF(ISBLANK(Tbl_ResidentData[[#This Row],[Discharge '[mmm-yyyy']]]),TRUE,(Tbl_ResidentData[[#This Row],[Discharge '[mmm-yyyy']]]&gt;=AM$4)))))</f>
        <v>-</v>
      </c>
      <c r="AN191" s="121" t="str">
        <f ca="1">IF(AN$4&gt;NOW(),"-",IF(ISBLANK(Tbl_ResidentData[[#This Row],[Enrollment '[mmm-yyyy']]]),"-",AND((Tbl_ResidentData[[#This Row],[Enrollment '[mmm-yyyy']]]&lt;=AN$4),IF(ISBLANK(Tbl_ResidentData[[#This Row],[Discharge '[mmm-yyyy']]]),TRUE,(Tbl_ResidentData[[#This Row],[Discharge '[mmm-yyyy']]]&gt;=AN$4)))))</f>
        <v>-</v>
      </c>
      <c r="AO191" s="121" t="str">
        <f ca="1">IF(AO$4&gt;NOW(),"-",IF(ISBLANK(Tbl_ResidentData[[#This Row],[Enrollment '[mmm-yyyy']]]),"-",AND((Tbl_ResidentData[[#This Row],[Enrollment '[mmm-yyyy']]]&lt;=AO$4),IF(ISBLANK(Tbl_ResidentData[[#This Row],[Discharge '[mmm-yyyy']]]),TRUE,(Tbl_ResidentData[[#This Row],[Discharge '[mmm-yyyy']]]&gt;=AO$4)))))</f>
        <v>-</v>
      </c>
      <c r="AP191" s="121" t="str">
        <f ca="1">IF(AP$4&gt;NOW(),"-",IF(ISBLANK(Tbl_ResidentData[[#This Row],[Enrollment '[mmm-yyyy']]]),"-",AND((Tbl_ResidentData[[#This Row],[Enrollment '[mmm-yyyy']]]&lt;=AP$4),IF(ISBLANK(Tbl_ResidentData[[#This Row],[Discharge '[mmm-yyyy']]]),TRUE,(Tbl_ResidentData[[#This Row],[Discharge '[mmm-yyyy']]]&gt;=AP$4)))))</f>
        <v>-</v>
      </c>
      <c r="AQ191" s="121" t="str">
        <f ca="1">IF(AQ$4&gt;NOW(),"-",IF(ISBLANK(Tbl_ResidentData[[#This Row],[Enrollment '[mmm-yyyy']]]),"-",AND((Tbl_ResidentData[[#This Row],[Enrollment '[mmm-yyyy']]]&lt;=AQ$4),IF(ISBLANK(Tbl_ResidentData[[#This Row],[Discharge '[mmm-yyyy']]]),TRUE,(Tbl_ResidentData[[#This Row],[Discharge '[mmm-yyyy']]]&gt;=AQ$4)))))</f>
        <v>-</v>
      </c>
      <c r="AR191" s="122" t="str">
        <f ca="1">IF(AR$4&gt;NOW(),"-",IF(ISBLANK(Tbl_ResidentData[[#This Row],[Enrollment '[mmm-yyyy']]]),"-",AND((Tbl_ResidentData[[#This Row],[Enrollment '[mmm-yyyy']]]&lt;=AR$4),IF(ISBLANK(Tbl_ResidentData[[#This Row],[Discharge '[mmm-yyyy']]]),TRUE,(Tbl_ResidentData[[#This Row],[Discharge '[mmm-yyyy']]]&gt;=AR$4)))))</f>
        <v>-</v>
      </c>
      <c r="AS19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1" s="120" t="b">
        <f ca="1">AND(Tbl_ResidentData[[#This Row],[PRN Med Started]]&lt;&gt;"",Tbl_ResidentData[[#This Row],[PRN Med Started]]&lt;=NOW(),Tbl_ResidentData[[#This Row],[PRN Med Started]]&lt;=AS$4,OR(Tbl_ResidentData[[#This Row],[PRN Med Discontinued]]&gt;AS$4,ISBLANK(Tbl_ResidentData[[#This Row],[PRN Med Discontinued]])))</f>
        <v>0</v>
      </c>
      <c r="BR191" s="121" t="b">
        <f ca="1">AND(Tbl_ResidentData[[#This Row],[PRN Med Started]]&lt;&gt;"",Tbl_ResidentData[[#This Row],[PRN Med Started]]&lt;=NOW(),Tbl_ResidentData[[#This Row],[PRN Med Started]]&lt;=AT$4,OR(Tbl_ResidentData[[#This Row],[PRN Med Discontinued]]&gt;AT$4,ISBLANK(Tbl_ResidentData[[#This Row],[PRN Med Discontinued]])))</f>
        <v>0</v>
      </c>
      <c r="BS191" s="121" t="b">
        <f ca="1">AND(Tbl_ResidentData[[#This Row],[PRN Med Started]]&lt;&gt;"",Tbl_ResidentData[[#This Row],[PRN Med Started]]&lt;=NOW(),Tbl_ResidentData[[#This Row],[PRN Med Started]]&lt;=AU$4,OR(Tbl_ResidentData[[#This Row],[PRN Med Discontinued]]&gt;AU$4,ISBLANK(Tbl_ResidentData[[#This Row],[PRN Med Discontinued]])))</f>
        <v>0</v>
      </c>
      <c r="BT191" s="121" t="b">
        <f ca="1">AND(Tbl_ResidentData[[#This Row],[PRN Med Started]]&lt;&gt;"",Tbl_ResidentData[[#This Row],[PRN Med Started]]&lt;=NOW(),Tbl_ResidentData[[#This Row],[PRN Med Started]]&lt;=AV$4,OR(Tbl_ResidentData[[#This Row],[PRN Med Discontinued]]&gt;AV$4,ISBLANK(Tbl_ResidentData[[#This Row],[PRN Med Discontinued]])))</f>
        <v>0</v>
      </c>
      <c r="BU191" s="121" t="b">
        <f ca="1">AND(Tbl_ResidentData[[#This Row],[PRN Med Started]]&lt;&gt;"",Tbl_ResidentData[[#This Row],[PRN Med Started]]&lt;=NOW(),Tbl_ResidentData[[#This Row],[PRN Med Started]]&lt;=AW$4,OR(Tbl_ResidentData[[#This Row],[PRN Med Discontinued]]&gt;AW$4,ISBLANK(Tbl_ResidentData[[#This Row],[PRN Med Discontinued]])))</f>
        <v>0</v>
      </c>
      <c r="BV191" s="121" t="b">
        <f ca="1">AND(Tbl_ResidentData[[#This Row],[PRN Med Started]]&lt;&gt;"",Tbl_ResidentData[[#This Row],[PRN Med Started]]&lt;=NOW(),Tbl_ResidentData[[#This Row],[PRN Med Started]]&lt;=AX$4,OR(Tbl_ResidentData[[#This Row],[PRN Med Discontinued]]&gt;AX$4,ISBLANK(Tbl_ResidentData[[#This Row],[PRN Med Discontinued]])))</f>
        <v>0</v>
      </c>
      <c r="BW191" s="121" t="b">
        <f ca="1">AND(Tbl_ResidentData[[#This Row],[PRN Med Started]]&lt;&gt;"",Tbl_ResidentData[[#This Row],[PRN Med Started]]&lt;=NOW(),Tbl_ResidentData[[#This Row],[PRN Med Started]]&lt;=AY$4,OR(Tbl_ResidentData[[#This Row],[PRN Med Discontinued]]&gt;AY$4,ISBLANK(Tbl_ResidentData[[#This Row],[PRN Med Discontinued]])))</f>
        <v>0</v>
      </c>
      <c r="BX191" s="121" t="b">
        <f ca="1">AND(Tbl_ResidentData[[#This Row],[PRN Med Started]]&lt;&gt;"",Tbl_ResidentData[[#This Row],[PRN Med Started]]&lt;=NOW(),Tbl_ResidentData[[#This Row],[PRN Med Started]]&lt;=AZ$4,OR(Tbl_ResidentData[[#This Row],[PRN Med Discontinued]]&gt;AZ$4,ISBLANK(Tbl_ResidentData[[#This Row],[PRN Med Discontinued]])))</f>
        <v>0</v>
      </c>
      <c r="BY191" s="121" t="b">
        <f ca="1">AND(Tbl_ResidentData[[#This Row],[PRN Med Started]]&lt;&gt;"",Tbl_ResidentData[[#This Row],[PRN Med Started]]&lt;=NOW(),Tbl_ResidentData[[#This Row],[PRN Med Started]]&lt;=BA$4,OR(Tbl_ResidentData[[#This Row],[PRN Med Discontinued]]&gt;BA$4,ISBLANK(Tbl_ResidentData[[#This Row],[PRN Med Discontinued]])))</f>
        <v>0</v>
      </c>
      <c r="BZ191" s="121" t="b">
        <f ca="1">AND(Tbl_ResidentData[[#This Row],[PRN Med Started]]&lt;&gt;"",Tbl_ResidentData[[#This Row],[PRN Med Started]]&lt;=NOW(),Tbl_ResidentData[[#This Row],[PRN Med Started]]&lt;=BB$4,OR(Tbl_ResidentData[[#This Row],[PRN Med Discontinued]]&gt;BB$4,ISBLANK(Tbl_ResidentData[[#This Row],[PRN Med Discontinued]])))</f>
        <v>0</v>
      </c>
      <c r="CA191" s="121" t="b">
        <f ca="1">AND(Tbl_ResidentData[[#This Row],[PRN Med Started]]&lt;&gt;"",Tbl_ResidentData[[#This Row],[PRN Med Started]]&lt;=NOW(),Tbl_ResidentData[[#This Row],[PRN Med Started]]&lt;=BC$4,OR(Tbl_ResidentData[[#This Row],[PRN Med Discontinued]]&gt;BC$4,ISBLANK(Tbl_ResidentData[[#This Row],[PRN Med Discontinued]])))</f>
        <v>0</v>
      </c>
      <c r="CB191" s="121" t="b">
        <f ca="1">AND(Tbl_ResidentData[[#This Row],[PRN Med Started]]&lt;&gt;"",Tbl_ResidentData[[#This Row],[PRN Med Started]]&lt;=NOW(),Tbl_ResidentData[[#This Row],[PRN Med Started]]&lt;=BD$4,OR(Tbl_ResidentData[[#This Row],[PRN Med Discontinued]]&gt;BD$4,ISBLANK(Tbl_ResidentData[[#This Row],[PRN Med Discontinued]])))</f>
        <v>0</v>
      </c>
      <c r="CC191" s="121" t="b">
        <f ca="1">AND(Tbl_ResidentData[[#This Row],[PRN Med Started]]&lt;&gt;"",Tbl_ResidentData[[#This Row],[PRN Med Started]]&lt;=NOW(),Tbl_ResidentData[[#This Row],[PRN Med Started]]&lt;=BE$4,OR(Tbl_ResidentData[[#This Row],[PRN Med Discontinued]]&gt;BE$4,ISBLANK(Tbl_ResidentData[[#This Row],[PRN Med Discontinued]])))</f>
        <v>0</v>
      </c>
      <c r="CD191" s="121" t="b">
        <f ca="1">AND(Tbl_ResidentData[[#This Row],[PRN Med Started]]&lt;&gt;"",Tbl_ResidentData[[#This Row],[PRN Med Started]]&lt;=NOW(),Tbl_ResidentData[[#This Row],[PRN Med Started]]&lt;=BF$4,OR(Tbl_ResidentData[[#This Row],[PRN Med Discontinued]]&gt;BF$4,ISBLANK(Tbl_ResidentData[[#This Row],[PRN Med Discontinued]])))</f>
        <v>0</v>
      </c>
      <c r="CE191" s="121" t="b">
        <f ca="1">AND(Tbl_ResidentData[[#This Row],[PRN Med Started]]&lt;&gt;"",Tbl_ResidentData[[#This Row],[PRN Med Started]]&lt;=NOW(),Tbl_ResidentData[[#This Row],[PRN Med Started]]&lt;=BG$4,OR(Tbl_ResidentData[[#This Row],[PRN Med Discontinued]]&gt;BG$4,ISBLANK(Tbl_ResidentData[[#This Row],[PRN Med Discontinued]])))</f>
        <v>0</v>
      </c>
      <c r="CF191" s="121" t="b">
        <f ca="1">AND(Tbl_ResidentData[[#This Row],[PRN Med Started]]&lt;&gt;"",Tbl_ResidentData[[#This Row],[PRN Med Started]]&lt;=NOW(),Tbl_ResidentData[[#This Row],[PRN Med Started]]&lt;=BH$4,OR(Tbl_ResidentData[[#This Row],[PRN Med Discontinued]]&gt;BH$4,ISBLANK(Tbl_ResidentData[[#This Row],[PRN Med Discontinued]])))</f>
        <v>0</v>
      </c>
      <c r="CG191" s="121" t="b">
        <f ca="1">AND(Tbl_ResidentData[[#This Row],[PRN Med Started]]&lt;&gt;"",Tbl_ResidentData[[#This Row],[PRN Med Started]]&lt;=NOW(),Tbl_ResidentData[[#This Row],[PRN Med Started]]&lt;=BI$4,OR(Tbl_ResidentData[[#This Row],[PRN Med Discontinued]]&gt;BI$4,ISBLANK(Tbl_ResidentData[[#This Row],[PRN Med Discontinued]])))</f>
        <v>0</v>
      </c>
      <c r="CH191" s="121" t="b">
        <f ca="1">AND(Tbl_ResidentData[[#This Row],[PRN Med Started]]&lt;&gt;"",Tbl_ResidentData[[#This Row],[PRN Med Started]]&lt;=NOW(),Tbl_ResidentData[[#This Row],[PRN Med Started]]&lt;=BJ$4,OR(Tbl_ResidentData[[#This Row],[PRN Med Discontinued]]&gt;BJ$4,ISBLANK(Tbl_ResidentData[[#This Row],[PRN Med Discontinued]])))</f>
        <v>0</v>
      </c>
      <c r="CI191" s="121" t="b">
        <f ca="1">AND(Tbl_ResidentData[[#This Row],[PRN Med Started]]&lt;&gt;"",Tbl_ResidentData[[#This Row],[PRN Med Started]]&lt;=NOW(),Tbl_ResidentData[[#This Row],[PRN Med Started]]&lt;=BK$4,OR(Tbl_ResidentData[[#This Row],[PRN Med Discontinued]]&gt;BK$4,ISBLANK(Tbl_ResidentData[[#This Row],[PRN Med Discontinued]])))</f>
        <v>0</v>
      </c>
      <c r="CJ191" s="121" t="b">
        <f ca="1">AND(Tbl_ResidentData[[#This Row],[PRN Med Started]]&lt;&gt;"",Tbl_ResidentData[[#This Row],[PRN Med Started]]&lt;=NOW(),Tbl_ResidentData[[#This Row],[PRN Med Started]]&lt;=BL$4,OR(Tbl_ResidentData[[#This Row],[PRN Med Discontinued]]&gt;BL$4,ISBLANK(Tbl_ResidentData[[#This Row],[PRN Med Discontinued]])))</f>
        <v>0</v>
      </c>
      <c r="CK191" s="121" t="b">
        <f ca="1">AND(Tbl_ResidentData[[#This Row],[PRN Med Started]]&lt;&gt;"",Tbl_ResidentData[[#This Row],[PRN Med Started]]&lt;=NOW(),Tbl_ResidentData[[#This Row],[PRN Med Started]]&lt;=BM$4,OR(Tbl_ResidentData[[#This Row],[PRN Med Discontinued]]&gt;BM$4,ISBLANK(Tbl_ResidentData[[#This Row],[PRN Med Discontinued]])))</f>
        <v>0</v>
      </c>
      <c r="CL191" s="121" t="b">
        <f ca="1">AND(Tbl_ResidentData[[#This Row],[PRN Med Started]]&lt;&gt;"",Tbl_ResidentData[[#This Row],[PRN Med Started]]&lt;=NOW(),Tbl_ResidentData[[#This Row],[PRN Med Started]]&lt;=BN$4,OR(Tbl_ResidentData[[#This Row],[PRN Med Discontinued]]&gt;BN$4,ISBLANK(Tbl_ResidentData[[#This Row],[PRN Med Discontinued]])))</f>
        <v>0</v>
      </c>
      <c r="CM191" s="121" t="b">
        <f ca="1">AND(Tbl_ResidentData[[#This Row],[PRN Med Started]]&lt;&gt;"",Tbl_ResidentData[[#This Row],[PRN Med Started]]&lt;=NOW(),Tbl_ResidentData[[#This Row],[PRN Med Started]]&lt;=BO$4,OR(Tbl_ResidentData[[#This Row],[PRN Med Discontinued]]&gt;BO$4,ISBLANK(Tbl_ResidentData[[#This Row],[PRN Med Discontinued]])))</f>
        <v>0</v>
      </c>
      <c r="CN191" s="122" t="b">
        <f ca="1">AND(Tbl_ResidentData[[#This Row],[PRN Med Started]]&lt;&gt;"",Tbl_ResidentData[[#This Row],[PRN Med Started]]&lt;=NOW(),Tbl_ResidentData[[#This Row],[PRN Med Started]]&lt;=BP$4,OR(Tbl_ResidentData[[#This Row],[PRN Med Discontinued]]&gt;BP$4,ISBLANK(Tbl_ResidentData[[#This Row],[PRN Med Discontinued]])))</f>
        <v>0</v>
      </c>
      <c r="CO191" s="120">
        <f ca="1">IF(OR(Tbl_ResidentData[[#This Row],[S1]]=TRUE,Tbl_ResidentData[[#This Row],[P1]]=TRUE),1,0)</f>
        <v>0</v>
      </c>
      <c r="CP191" s="121">
        <f ca="1">IF(OR(Tbl_ResidentData[[#This Row],[S2]]=TRUE,Tbl_ResidentData[[#This Row],[P2]]=TRUE),1,0)</f>
        <v>0</v>
      </c>
      <c r="CQ191" s="121">
        <f ca="1">IF(OR(Tbl_ResidentData[[#This Row],[S3]]=TRUE,Tbl_ResidentData[[#This Row],[P3]]=TRUE),1,0)</f>
        <v>0</v>
      </c>
      <c r="CR191" s="120">
        <f ca="1">IF(OR(Tbl_ResidentData[[#This Row],[S4]]=TRUE,Tbl_ResidentData[[#This Row],[P4]]=TRUE),1,0)</f>
        <v>0</v>
      </c>
      <c r="CS191" s="120">
        <f ca="1">IF(OR(Tbl_ResidentData[[#This Row],[S5]]=TRUE,Tbl_ResidentData[[#This Row],[P5]]=TRUE),1,0)</f>
        <v>0</v>
      </c>
      <c r="CT191" s="120">
        <f ca="1">IF(OR(Tbl_ResidentData[[#This Row],[S6]]=TRUE,Tbl_ResidentData[[#This Row],[P6]]=TRUE),1,0)</f>
        <v>0</v>
      </c>
      <c r="CU191" s="120">
        <f ca="1">IF(OR(Tbl_ResidentData[[#This Row],[S7]]=TRUE,Tbl_ResidentData[[#This Row],[P7]]=TRUE),1,0)</f>
        <v>0</v>
      </c>
      <c r="CV191" s="120">
        <f ca="1">IF(OR(Tbl_ResidentData[[#This Row],[S8]]=TRUE,Tbl_ResidentData[[#This Row],[P8]]=TRUE),1,0)</f>
        <v>0</v>
      </c>
      <c r="CW191" s="120">
        <f ca="1">IF(OR(Tbl_ResidentData[[#This Row],[S9]]=TRUE,Tbl_ResidentData[[#This Row],[P9]]=TRUE),1,0)</f>
        <v>0</v>
      </c>
      <c r="CX191" s="120">
        <f ca="1">IF(OR(Tbl_ResidentData[[#This Row],[S10]]=TRUE,Tbl_ResidentData[[#This Row],[P10]]=TRUE),1,0)</f>
        <v>0</v>
      </c>
      <c r="CY191" s="120">
        <f ca="1">IF(OR(Tbl_ResidentData[[#This Row],[S11]]=TRUE,Tbl_ResidentData[[#This Row],[P11]]=TRUE),1,0)</f>
        <v>0</v>
      </c>
      <c r="CZ191" s="120">
        <f ca="1">IF(OR(Tbl_ResidentData[[#This Row],[S12]]=TRUE,Tbl_ResidentData[[#This Row],[P12]]=TRUE),1,0)</f>
        <v>0</v>
      </c>
      <c r="DA191" s="120">
        <f ca="1">IF(OR(Tbl_ResidentData[[#This Row],[S13]]=TRUE,Tbl_ResidentData[[#This Row],[P13]]=TRUE),1,0)</f>
        <v>0</v>
      </c>
      <c r="DB191" s="120">
        <f ca="1">IF(OR(Tbl_ResidentData[[#This Row],[S14]]=TRUE,Tbl_ResidentData[[#This Row],[P14]]=TRUE),1,0)</f>
        <v>0</v>
      </c>
      <c r="DC191" s="120">
        <f ca="1">IF(OR(Tbl_ResidentData[[#This Row],[S15]]=TRUE,Tbl_ResidentData[[#This Row],[P15]]=TRUE),1,0)</f>
        <v>0</v>
      </c>
      <c r="DD191" s="120">
        <f ca="1">IF(OR(Tbl_ResidentData[[#This Row],[S16]]=TRUE,Tbl_ResidentData[[#This Row],[P16]]=TRUE),1,0)</f>
        <v>0</v>
      </c>
      <c r="DE191" s="120">
        <f ca="1">IF(OR(Tbl_ResidentData[[#This Row],[S17]]=TRUE,Tbl_ResidentData[[#This Row],[P17]]=TRUE),1,0)</f>
        <v>0</v>
      </c>
      <c r="DF191" s="120">
        <f ca="1">IF(OR(Tbl_ResidentData[[#This Row],[S18]]=TRUE,Tbl_ResidentData[[#This Row],[P18]]=TRUE),1,0)</f>
        <v>0</v>
      </c>
      <c r="DG191" s="120">
        <f ca="1">IF(OR(Tbl_ResidentData[[#This Row],[S19]]=TRUE,Tbl_ResidentData[[#This Row],[P19]]=TRUE),1,0)</f>
        <v>0</v>
      </c>
      <c r="DH191" s="120">
        <f ca="1">IF(OR(Tbl_ResidentData[[#This Row],[S20]]=TRUE,Tbl_ResidentData[[#This Row],[P20]]=TRUE),1,0)</f>
        <v>0</v>
      </c>
      <c r="DI191" s="120">
        <f ca="1">IF(OR(Tbl_ResidentData[[#This Row],[S21]]=TRUE,Tbl_ResidentData[[#This Row],[P21]]=TRUE),1,0)</f>
        <v>0</v>
      </c>
      <c r="DJ191" s="120">
        <f ca="1">IF(OR(Tbl_ResidentData[[#This Row],[S22]]=TRUE,Tbl_ResidentData[[#This Row],[P22]]=TRUE),1,0)</f>
        <v>0</v>
      </c>
      <c r="DK191" s="120">
        <f ca="1">IF(OR(Tbl_ResidentData[[#This Row],[S23]]=TRUE,Tbl_ResidentData[[#This Row],[P23]]=TRUE),1,0)</f>
        <v>0</v>
      </c>
      <c r="DL191" s="120">
        <f ca="1">IF(OR(Tbl_ResidentData[[#This Row],[S24]]=TRUE,Tbl_ResidentData[[#This Row],[P24]]=TRUE),1,0)</f>
        <v>0</v>
      </c>
      <c r="DM191" s="123" t="str">
        <f ca="1">IFERROR(INDEX($CO$4:$DL$4,MATCH(TRUE,INDEX((Tbl_ResidentData[[#This Row],[Over1]:[Over24]]&lt;&gt;0),0),0)),"")</f>
        <v/>
      </c>
      <c r="DN191" s="133" t="str">
        <f>IFERROR(INDEX(Tbl_PDSAData[Last DRT],MATCH(Tbl_ResidentData[Resident Name '[last, first']],Tbl_PDSAData[Resident Name (last, first)],0)),"")</f>
        <v/>
      </c>
      <c r="DO191" s="222" t="str">
        <f>IFERROR(INDEX(Tbl_PDSAData[Last MR],MATCH(Tbl_ResidentData[Resident Name '[last, first']],Tbl_PDSAData[Resident Name (last, first)],0)),"")</f>
        <v/>
      </c>
    </row>
    <row r="192" spans="1:119" x14ac:dyDescent="0.25">
      <c r="A192" s="179"/>
      <c r="B192" s="180"/>
      <c r="C192" s="180"/>
      <c r="D192" s="218"/>
      <c r="E192" s="179"/>
      <c r="F192" s="179"/>
      <c r="G192" s="181"/>
      <c r="H192" s="182"/>
      <c r="I192" s="185"/>
      <c r="J192" s="387"/>
      <c r="K192" s="178"/>
      <c r="L192" s="388"/>
      <c r="M192" s="185"/>
      <c r="N192" s="386"/>
      <c r="O192" s="178"/>
      <c r="P192" s="388"/>
      <c r="Q192" s="394"/>
      <c r="R192" s="388"/>
      <c r="S192" s="131" t="str">
        <f>IF(ISBLANK(Tbl_ResidentData[[#This Row],[Discharge '[mmm-yyyy']]]),IF(ISBLANK(Tbl_ResidentData[[#This Row],[Enrollment '[mmm-yyyy']]]),"","In Care Home"),"Discharged")</f>
        <v/>
      </c>
      <c r="T192" s="119" t="str">
        <f>IF(ISBLANK(Tbl_ResidentData[[#This Row],[Diagnosis (RAI)]]),IF(ISBLANK(Tbl_ResidentData[[#This Row],[Resident Name '[last, first']]]),"",0),IF(Tbl_ResidentData[[#This Row],[Diagnosis (RAI)]]="Other (see clinical notes)",0,1))</f>
        <v/>
      </c>
      <c r="U192" s="120" t="str">
        <f ca="1">IF(U$4&gt;NOW(),"-",IF(ISBLANK(Tbl_ResidentData[[#This Row],[Enrollment '[mmm-yyyy']]]),"-",AND((Tbl_ResidentData[[#This Row],[Enrollment '[mmm-yyyy']]]&lt;=U$4),IF(ISBLANK(Tbl_ResidentData[[#This Row],[Discharge '[mmm-yyyy']]]),TRUE,(Tbl_ResidentData[[#This Row],[Discharge '[mmm-yyyy']]]&gt;=U$4)))))</f>
        <v>-</v>
      </c>
      <c r="V192" s="121" t="str">
        <f ca="1">IF(V$4&gt;NOW(),"-",IF(ISBLANK(Tbl_ResidentData[[#This Row],[Enrollment '[mmm-yyyy']]]),"-",AND((Tbl_ResidentData[[#This Row],[Enrollment '[mmm-yyyy']]]&lt;=V$4),IF(ISBLANK(Tbl_ResidentData[[#This Row],[Discharge '[mmm-yyyy']]]),TRUE,(Tbl_ResidentData[[#This Row],[Discharge '[mmm-yyyy']]]&gt;=V$4)))))</f>
        <v>-</v>
      </c>
      <c r="W192" s="121" t="str">
        <f ca="1">IF(W$4&gt;NOW(),"-",IF(ISBLANK(Tbl_ResidentData[[#This Row],[Enrollment '[mmm-yyyy']]]),"-",AND((Tbl_ResidentData[[#This Row],[Enrollment '[mmm-yyyy']]]&lt;=W$4),IF(ISBLANK(Tbl_ResidentData[[#This Row],[Discharge '[mmm-yyyy']]]),TRUE,(Tbl_ResidentData[[#This Row],[Discharge '[mmm-yyyy']]]&gt;=W$4)))))</f>
        <v>-</v>
      </c>
      <c r="X192" s="121" t="str">
        <f ca="1">IF(X$4&gt;NOW(),"-",IF(ISBLANK(Tbl_ResidentData[[#This Row],[Enrollment '[mmm-yyyy']]]),"-",AND((Tbl_ResidentData[[#This Row],[Enrollment '[mmm-yyyy']]]&lt;=X$4),IF(ISBLANK(Tbl_ResidentData[[#This Row],[Discharge '[mmm-yyyy']]]),TRUE,(Tbl_ResidentData[[#This Row],[Discharge '[mmm-yyyy']]]&gt;=X$4)))))</f>
        <v>-</v>
      </c>
      <c r="Y192" s="121" t="str">
        <f ca="1">IF(Y$4&gt;NOW(),"-",IF(ISBLANK(Tbl_ResidentData[[#This Row],[Enrollment '[mmm-yyyy']]]),"-",AND((Tbl_ResidentData[[#This Row],[Enrollment '[mmm-yyyy']]]&lt;=Y$4),IF(ISBLANK(Tbl_ResidentData[[#This Row],[Discharge '[mmm-yyyy']]]),TRUE,(Tbl_ResidentData[[#This Row],[Discharge '[mmm-yyyy']]]&gt;=Y$4)))))</f>
        <v>-</v>
      </c>
      <c r="Z192" s="121" t="str">
        <f ca="1">IF(Z$4&gt;NOW(),"-",IF(ISBLANK(Tbl_ResidentData[[#This Row],[Enrollment '[mmm-yyyy']]]),"-",AND((Tbl_ResidentData[[#This Row],[Enrollment '[mmm-yyyy']]]&lt;=Z$4),IF(ISBLANK(Tbl_ResidentData[[#This Row],[Discharge '[mmm-yyyy']]]),TRUE,(Tbl_ResidentData[[#This Row],[Discharge '[mmm-yyyy']]]&gt;=Z$4)))))</f>
        <v>-</v>
      </c>
      <c r="AA192" s="121" t="str">
        <f ca="1">IF(AA$4&gt;NOW(),"-",IF(ISBLANK(Tbl_ResidentData[[#This Row],[Enrollment '[mmm-yyyy']]]),"-",AND((Tbl_ResidentData[[#This Row],[Enrollment '[mmm-yyyy']]]&lt;=AA$4),IF(ISBLANK(Tbl_ResidentData[[#This Row],[Discharge '[mmm-yyyy']]]),TRUE,(Tbl_ResidentData[[#This Row],[Discharge '[mmm-yyyy']]]&gt;=AA$4)))))</f>
        <v>-</v>
      </c>
      <c r="AB192" s="121" t="str">
        <f ca="1">IF(AB$4&gt;NOW(),"-",IF(ISBLANK(Tbl_ResidentData[[#This Row],[Enrollment '[mmm-yyyy']]]),"-",AND((Tbl_ResidentData[[#This Row],[Enrollment '[mmm-yyyy']]]&lt;=AB$4),IF(ISBLANK(Tbl_ResidentData[[#This Row],[Discharge '[mmm-yyyy']]]),TRUE,(Tbl_ResidentData[[#This Row],[Discharge '[mmm-yyyy']]]&gt;=AB$4)))))</f>
        <v>-</v>
      </c>
      <c r="AC192" s="121" t="str">
        <f ca="1">IF(AC$4&gt;NOW(),"-",IF(ISBLANK(Tbl_ResidentData[[#This Row],[Enrollment '[mmm-yyyy']]]),"-",AND((Tbl_ResidentData[[#This Row],[Enrollment '[mmm-yyyy']]]&lt;=AC$4),IF(ISBLANK(Tbl_ResidentData[[#This Row],[Discharge '[mmm-yyyy']]]),TRUE,(Tbl_ResidentData[[#This Row],[Discharge '[mmm-yyyy']]]&gt;=AC$4)))))</f>
        <v>-</v>
      </c>
      <c r="AD192" s="121" t="str">
        <f ca="1">IF(AD$4&gt;NOW(),"-",IF(ISBLANK(Tbl_ResidentData[[#This Row],[Enrollment '[mmm-yyyy']]]),"-",AND((Tbl_ResidentData[[#This Row],[Enrollment '[mmm-yyyy']]]&lt;=AD$4),IF(ISBLANK(Tbl_ResidentData[[#This Row],[Discharge '[mmm-yyyy']]]),TRUE,(Tbl_ResidentData[[#This Row],[Discharge '[mmm-yyyy']]]&gt;=AD$4)))))</f>
        <v>-</v>
      </c>
      <c r="AE192" s="121" t="str">
        <f ca="1">IF(AE$4&gt;NOW(),"-",IF(ISBLANK(Tbl_ResidentData[[#This Row],[Enrollment '[mmm-yyyy']]]),"-",AND((Tbl_ResidentData[[#This Row],[Enrollment '[mmm-yyyy']]]&lt;=AE$4),IF(ISBLANK(Tbl_ResidentData[[#This Row],[Discharge '[mmm-yyyy']]]),TRUE,(Tbl_ResidentData[[#This Row],[Discharge '[mmm-yyyy']]]&gt;=AE$4)))))</f>
        <v>-</v>
      </c>
      <c r="AF192" s="121" t="str">
        <f ca="1">IF(AF$4&gt;NOW(),"-",IF(ISBLANK(Tbl_ResidentData[[#This Row],[Enrollment '[mmm-yyyy']]]),"-",AND((Tbl_ResidentData[[#This Row],[Enrollment '[mmm-yyyy']]]&lt;=AF$4),IF(ISBLANK(Tbl_ResidentData[[#This Row],[Discharge '[mmm-yyyy']]]),TRUE,(Tbl_ResidentData[[#This Row],[Discharge '[mmm-yyyy']]]&gt;=AF$4)))))</f>
        <v>-</v>
      </c>
      <c r="AG192" s="121" t="str">
        <f ca="1">IF(AG$4&gt;NOW(),"-",IF(ISBLANK(Tbl_ResidentData[[#This Row],[Enrollment '[mmm-yyyy']]]),"-",AND((Tbl_ResidentData[[#This Row],[Enrollment '[mmm-yyyy']]]&lt;=AG$4),IF(ISBLANK(Tbl_ResidentData[[#This Row],[Discharge '[mmm-yyyy']]]),TRUE,(Tbl_ResidentData[[#This Row],[Discharge '[mmm-yyyy']]]&gt;=AG$4)))))</f>
        <v>-</v>
      </c>
      <c r="AH192" s="121" t="str">
        <f ca="1">IF(AH$4&gt;NOW(),"-",IF(ISBLANK(Tbl_ResidentData[[#This Row],[Enrollment '[mmm-yyyy']]]),"-",AND((Tbl_ResidentData[[#This Row],[Enrollment '[mmm-yyyy']]]&lt;=AH$4),IF(ISBLANK(Tbl_ResidentData[[#This Row],[Discharge '[mmm-yyyy']]]),TRUE,(Tbl_ResidentData[[#This Row],[Discharge '[mmm-yyyy']]]&gt;=AH$4)))))</f>
        <v>-</v>
      </c>
      <c r="AI192" s="121" t="str">
        <f ca="1">IF(AI$4&gt;NOW(),"-",IF(ISBLANK(Tbl_ResidentData[[#This Row],[Enrollment '[mmm-yyyy']]]),"-",AND((Tbl_ResidentData[[#This Row],[Enrollment '[mmm-yyyy']]]&lt;=AI$4),IF(ISBLANK(Tbl_ResidentData[[#This Row],[Discharge '[mmm-yyyy']]]),TRUE,(Tbl_ResidentData[[#This Row],[Discharge '[mmm-yyyy']]]&gt;=AI$4)))))</f>
        <v>-</v>
      </c>
      <c r="AJ192" s="121" t="str">
        <f ca="1">IF(AJ$4&gt;NOW(),"-",IF(ISBLANK(Tbl_ResidentData[[#This Row],[Enrollment '[mmm-yyyy']]]),"-",AND((Tbl_ResidentData[[#This Row],[Enrollment '[mmm-yyyy']]]&lt;=AJ$4),IF(ISBLANK(Tbl_ResidentData[[#This Row],[Discharge '[mmm-yyyy']]]),TRUE,(Tbl_ResidentData[[#This Row],[Discharge '[mmm-yyyy']]]&gt;=AJ$4)))))</f>
        <v>-</v>
      </c>
      <c r="AK192" s="121" t="str">
        <f ca="1">IF(AK$4&gt;NOW(),"-",IF(ISBLANK(Tbl_ResidentData[[#This Row],[Enrollment '[mmm-yyyy']]]),"-",AND((Tbl_ResidentData[[#This Row],[Enrollment '[mmm-yyyy']]]&lt;=AK$4),IF(ISBLANK(Tbl_ResidentData[[#This Row],[Discharge '[mmm-yyyy']]]),TRUE,(Tbl_ResidentData[[#This Row],[Discharge '[mmm-yyyy']]]&gt;=AK$4)))))</f>
        <v>-</v>
      </c>
      <c r="AL192" s="121" t="str">
        <f ca="1">IF(AL$4&gt;NOW(),"-",IF(ISBLANK(Tbl_ResidentData[[#This Row],[Enrollment '[mmm-yyyy']]]),"-",AND((Tbl_ResidentData[[#This Row],[Enrollment '[mmm-yyyy']]]&lt;=AL$4),IF(ISBLANK(Tbl_ResidentData[[#This Row],[Discharge '[mmm-yyyy']]]),TRUE,(Tbl_ResidentData[[#This Row],[Discharge '[mmm-yyyy']]]&gt;=AL$4)))))</f>
        <v>-</v>
      </c>
      <c r="AM192" s="121" t="str">
        <f ca="1">IF(AM$4&gt;NOW(),"-",IF(ISBLANK(Tbl_ResidentData[[#This Row],[Enrollment '[mmm-yyyy']]]),"-",AND((Tbl_ResidentData[[#This Row],[Enrollment '[mmm-yyyy']]]&lt;=AM$4),IF(ISBLANK(Tbl_ResidentData[[#This Row],[Discharge '[mmm-yyyy']]]),TRUE,(Tbl_ResidentData[[#This Row],[Discharge '[mmm-yyyy']]]&gt;=AM$4)))))</f>
        <v>-</v>
      </c>
      <c r="AN192" s="121" t="str">
        <f ca="1">IF(AN$4&gt;NOW(),"-",IF(ISBLANK(Tbl_ResidentData[[#This Row],[Enrollment '[mmm-yyyy']]]),"-",AND((Tbl_ResidentData[[#This Row],[Enrollment '[mmm-yyyy']]]&lt;=AN$4),IF(ISBLANK(Tbl_ResidentData[[#This Row],[Discharge '[mmm-yyyy']]]),TRUE,(Tbl_ResidentData[[#This Row],[Discharge '[mmm-yyyy']]]&gt;=AN$4)))))</f>
        <v>-</v>
      </c>
      <c r="AO192" s="121" t="str">
        <f ca="1">IF(AO$4&gt;NOW(),"-",IF(ISBLANK(Tbl_ResidentData[[#This Row],[Enrollment '[mmm-yyyy']]]),"-",AND((Tbl_ResidentData[[#This Row],[Enrollment '[mmm-yyyy']]]&lt;=AO$4),IF(ISBLANK(Tbl_ResidentData[[#This Row],[Discharge '[mmm-yyyy']]]),TRUE,(Tbl_ResidentData[[#This Row],[Discharge '[mmm-yyyy']]]&gt;=AO$4)))))</f>
        <v>-</v>
      </c>
      <c r="AP192" s="121" t="str">
        <f ca="1">IF(AP$4&gt;NOW(),"-",IF(ISBLANK(Tbl_ResidentData[[#This Row],[Enrollment '[mmm-yyyy']]]),"-",AND((Tbl_ResidentData[[#This Row],[Enrollment '[mmm-yyyy']]]&lt;=AP$4),IF(ISBLANK(Tbl_ResidentData[[#This Row],[Discharge '[mmm-yyyy']]]),TRUE,(Tbl_ResidentData[[#This Row],[Discharge '[mmm-yyyy']]]&gt;=AP$4)))))</f>
        <v>-</v>
      </c>
      <c r="AQ192" s="121" t="str">
        <f ca="1">IF(AQ$4&gt;NOW(),"-",IF(ISBLANK(Tbl_ResidentData[[#This Row],[Enrollment '[mmm-yyyy']]]),"-",AND((Tbl_ResidentData[[#This Row],[Enrollment '[mmm-yyyy']]]&lt;=AQ$4),IF(ISBLANK(Tbl_ResidentData[[#This Row],[Discharge '[mmm-yyyy']]]),TRUE,(Tbl_ResidentData[[#This Row],[Discharge '[mmm-yyyy']]]&gt;=AQ$4)))))</f>
        <v>-</v>
      </c>
      <c r="AR192" s="122" t="str">
        <f ca="1">IF(AR$4&gt;NOW(),"-",IF(ISBLANK(Tbl_ResidentData[[#This Row],[Enrollment '[mmm-yyyy']]]),"-",AND((Tbl_ResidentData[[#This Row],[Enrollment '[mmm-yyyy']]]&lt;=AR$4),IF(ISBLANK(Tbl_ResidentData[[#This Row],[Discharge '[mmm-yyyy']]]),TRUE,(Tbl_ResidentData[[#This Row],[Discharge '[mmm-yyyy']]]&gt;=AR$4)))))</f>
        <v>-</v>
      </c>
      <c r="AS19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2" s="120" t="b">
        <f ca="1">AND(Tbl_ResidentData[[#This Row],[PRN Med Started]]&lt;&gt;"",Tbl_ResidentData[[#This Row],[PRN Med Started]]&lt;=NOW(),Tbl_ResidentData[[#This Row],[PRN Med Started]]&lt;=AS$4,OR(Tbl_ResidentData[[#This Row],[PRN Med Discontinued]]&gt;AS$4,ISBLANK(Tbl_ResidentData[[#This Row],[PRN Med Discontinued]])))</f>
        <v>0</v>
      </c>
      <c r="BR192" s="121" t="b">
        <f ca="1">AND(Tbl_ResidentData[[#This Row],[PRN Med Started]]&lt;&gt;"",Tbl_ResidentData[[#This Row],[PRN Med Started]]&lt;=NOW(),Tbl_ResidentData[[#This Row],[PRN Med Started]]&lt;=AT$4,OR(Tbl_ResidentData[[#This Row],[PRN Med Discontinued]]&gt;AT$4,ISBLANK(Tbl_ResidentData[[#This Row],[PRN Med Discontinued]])))</f>
        <v>0</v>
      </c>
      <c r="BS192" s="121" t="b">
        <f ca="1">AND(Tbl_ResidentData[[#This Row],[PRN Med Started]]&lt;&gt;"",Tbl_ResidentData[[#This Row],[PRN Med Started]]&lt;=NOW(),Tbl_ResidentData[[#This Row],[PRN Med Started]]&lt;=AU$4,OR(Tbl_ResidentData[[#This Row],[PRN Med Discontinued]]&gt;AU$4,ISBLANK(Tbl_ResidentData[[#This Row],[PRN Med Discontinued]])))</f>
        <v>0</v>
      </c>
      <c r="BT192" s="121" t="b">
        <f ca="1">AND(Tbl_ResidentData[[#This Row],[PRN Med Started]]&lt;&gt;"",Tbl_ResidentData[[#This Row],[PRN Med Started]]&lt;=NOW(),Tbl_ResidentData[[#This Row],[PRN Med Started]]&lt;=AV$4,OR(Tbl_ResidentData[[#This Row],[PRN Med Discontinued]]&gt;AV$4,ISBLANK(Tbl_ResidentData[[#This Row],[PRN Med Discontinued]])))</f>
        <v>0</v>
      </c>
      <c r="BU192" s="121" t="b">
        <f ca="1">AND(Tbl_ResidentData[[#This Row],[PRN Med Started]]&lt;&gt;"",Tbl_ResidentData[[#This Row],[PRN Med Started]]&lt;=NOW(),Tbl_ResidentData[[#This Row],[PRN Med Started]]&lt;=AW$4,OR(Tbl_ResidentData[[#This Row],[PRN Med Discontinued]]&gt;AW$4,ISBLANK(Tbl_ResidentData[[#This Row],[PRN Med Discontinued]])))</f>
        <v>0</v>
      </c>
      <c r="BV192" s="121" t="b">
        <f ca="1">AND(Tbl_ResidentData[[#This Row],[PRN Med Started]]&lt;&gt;"",Tbl_ResidentData[[#This Row],[PRN Med Started]]&lt;=NOW(),Tbl_ResidentData[[#This Row],[PRN Med Started]]&lt;=AX$4,OR(Tbl_ResidentData[[#This Row],[PRN Med Discontinued]]&gt;AX$4,ISBLANK(Tbl_ResidentData[[#This Row],[PRN Med Discontinued]])))</f>
        <v>0</v>
      </c>
      <c r="BW192" s="121" t="b">
        <f ca="1">AND(Tbl_ResidentData[[#This Row],[PRN Med Started]]&lt;&gt;"",Tbl_ResidentData[[#This Row],[PRN Med Started]]&lt;=NOW(),Tbl_ResidentData[[#This Row],[PRN Med Started]]&lt;=AY$4,OR(Tbl_ResidentData[[#This Row],[PRN Med Discontinued]]&gt;AY$4,ISBLANK(Tbl_ResidentData[[#This Row],[PRN Med Discontinued]])))</f>
        <v>0</v>
      </c>
      <c r="BX192" s="121" t="b">
        <f ca="1">AND(Tbl_ResidentData[[#This Row],[PRN Med Started]]&lt;&gt;"",Tbl_ResidentData[[#This Row],[PRN Med Started]]&lt;=NOW(),Tbl_ResidentData[[#This Row],[PRN Med Started]]&lt;=AZ$4,OR(Tbl_ResidentData[[#This Row],[PRN Med Discontinued]]&gt;AZ$4,ISBLANK(Tbl_ResidentData[[#This Row],[PRN Med Discontinued]])))</f>
        <v>0</v>
      </c>
      <c r="BY192" s="121" t="b">
        <f ca="1">AND(Tbl_ResidentData[[#This Row],[PRN Med Started]]&lt;&gt;"",Tbl_ResidentData[[#This Row],[PRN Med Started]]&lt;=NOW(),Tbl_ResidentData[[#This Row],[PRN Med Started]]&lt;=BA$4,OR(Tbl_ResidentData[[#This Row],[PRN Med Discontinued]]&gt;BA$4,ISBLANK(Tbl_ResidentData[[#This Row],[PRN Med Discontinued]])))</f>
        <v>0</v>
      </c>
      <c r="BZ192" s="121" t="b">
        <f ca="1">AND(Tbl_ResidentData[[#This Row],[PRN Med Started]]&lt;&gt;"",Tbl_ResidentData[[#This Row],[PRN Med Started]]&lt;=NOW(),Tbl_ResidentData[[#This Row],[PRN Med Started]]&lt;=BB$4,OR(Tbl_ResidentData[[#This Row],[PRN Med Discontinued]]&gt;BB$4,ISBLANK(Tbl_ResidentData[[#This Row],[PRN Med Discontinued]])))</f>
        <v>0</v>
      </c>
      <c r="CA192" s="121" t="b">
        <f ca="1">AND(Tbl_ResidentData[[#This Row],[PRN Med Started]]&lt;&gt;"",Tbl_ResidentData[[#This Row],[PRN Med Started]]&lt;=NOW(),Tbl_ResidentData[[#This Row],[PRN Med Started]]&lt;=BC$4,OR(Tbl_ResidentData[[#This Row],[PRN Med Discontinued]]&gt;BC$4,ISBLANK(Tbl_ResidentData[[#This Row],[PRN Med Discontinued]])))</f>
        <v>0</v>
      </c>
      <c r="CB192" s="121" t="b">
        <f ca="1">AND(Tbl_ResidentData[[#This Row],[PRN Med Started]]&lt;&gt;"",Tbl_ResidentData[[#This Row],[PRN Med Started]]&lt;=NOW(),Tbl_ResidentData[[#This Row],[PRN Med Started]]&lt;=BD$4,OR(Tbl_ResidentData[[#This Row],[PRN Med Discontinued]]&gt;BD$4,ISBLANK(Tbl_ResidentData[[#This Row],[PRN Med Discontinued]])))</f>
        <v>0</v>
      </c>
      <c r="CC192" s="121" t="b">
        <f ca="1">AND(Tbl_ResidentData[[#This Row],[PRN Med Started]]&lt;&gt;"",Tbl_ResidentData[[#This Row],[PRN Med Started]]&lt;=NOW(),Tbl_ResidentData[[#This Row],[PRN Med Started]]&lt;=BE$4,OR(Tbl_ResidentData[[#This Row],[PRN Med Discontinued]]&gt;BE$4,ISBLANK(Tbl_ResidentData[[#This Row],[PRN Med Discontinued]])))</f>
        <v>0</v>
      </c>
      <c r="CD192" s="121" t="b">
        <f ca="1">AND(Tbl_ResidentData[[#This Row],[PRN Med Started]]&lt;&gt;"",Tbl_ResidentData[[#This Row],[PRN Med Started]]&lt;=NOW(),Tbl_ResidentData[[#This Row],[PRN Med Started]]&lt;=BF$4,OR(Tbl_ResidentData[[#This Row],[PRN Med Discontinued]]&gt;BF$4,ISBLANK(Tbl_ResidentData[[#This Row],[PRN Med Discontinued]])))</f>
        <v>0</v>
      </c>
      <c r="CE192" s="121" t="b">
        <f ca="1">AND(Tbl_ResidentData[[#This Row],[PRN Med Started]]&lt;&gt;"",Tbl_ResidentData[[#This Row],[PRN Med Started]]&lt;=NOW(),Tbl_ResidentData[[#This Row],[PRN Med Started]]&lt;=BG$4,OR(Tbl_ResidentData[[#This Row],[PRN Med Discontinued]]&gt;BG$4,ISBLANK(Tbl_ResidentData[[#This Row],[PRN Med Discontinued]])))</f>
        <v>0</v>
      </c>
      <c r="CF192" s="121" t="b">
        <f ca="1">AND(Tbl_ResidentData[[#This Row],[PRN Med Started]]&lt;&gt;"",Tbl_ResidentData[[#This Row],[PRN Med Started]]&lt;=NOW(),Tbl_ResidentData[[#This Row],[PRN Med Started]]&lt;=BH$4,OR(Tbl_ResidentData[[#This Row],[PRN Med Discontinued]]&gt;BH$4,ISBLANK(Tbl_ResidentData[[#This Row],[PRN Med Discontinued]])))</f>
        <v>0</v>
      </c>
      <c r="CG192" s="121" t="b">
        <f ca="1">AND(Tbl_ResidentData[[#This Row],[PRN Med Started]]&lt;&gt;"",Tbl_ResidentData[[#This Row],[PRN Med Started]]&lt;=NOW(),Tbl_ResidentData[[#This Row],[PRN Med Started]]&lt;=BI$4,OR(Tbl_ResidentData[[#This Row],[PRN Med Discontinued]]&gt;BI$4,ISBLANK(Tbl_ResidentData[[#This Row],[PRN Med Discontinued]])))</f>
        <v>0</v>
      </c>
      <c r="CH192" s="121" t="b">
        <f ca="1">AND(Tbl_ResidentData[[#This Row],[PRN Med Started]]&lt;&gt;"",Tbl_ResidentData[[#This Row],[PRN Med Started]]&lt;=NOW(),Tbl_ResidentData[[#This Row],[PRN Med Started]]&lt;=BJ$4,OR(Tbl_ResidentData[[#This Row],[PRN Med Discontinued]]&gt;BJ$4,ISBLANK(Tbl_ResidentData[[#This Row],[PRN Med Discontinued]])))</f>
        <v>0</v>
      </c>
      <c r="CI192" s="121" t="b">
        <f ca="1">AND(Tbl_ResidentData[[#This Row],[PRN Med Started]]&lt;&gt;"",Tbl_ResidentData[[#This Row],[PRN Med Started]]&lt;=NOW(),Tbl_ResidentData[[#This Row],[PRN Med Started]]&lt;=BK$4,OR(Tbl_ResidentData[[#This Row],[PRN Med Discontinued]]&gt;BK$4,ISBLANK(Tbl_ResidentData[[#This Row],[PRN Med Discontinued]])))</f>
        <v>0</v>
      </c>
      <c r="CJ192" s="121" t="b">
        <f ca="1">AND(Tbl_ResidentData[[#This Row],[PRN Med Started]]&lt;&gt;"",Tbl_ResidentData[[#This Row],[PRN Med Started]]&lt;=NOW(),Tbl_ResidentData[[#This Row],[PRN Med Started]]&lt;=BL$4,OR(Tbl_ResidentData[[#This Row],[PRN Med Discontinued]]&gt;BL$4,ISBLANK(Tbl_ResidentData[[#This Row],[PRN Med Discontinued]])))</f>
        <v>0</v>
      </c>
      <c r="CK192" s="121" t="b">
        <f ca="1">AND(Tbl_ResidentData[[#This Row],[PRN Med Started]]&lt;&gt;"",Tbl_ResidentData[[#This Row],[PRN Med Started]]&lt;=NOW(),Tbl_ResidentData[[#This Row],[PRN Med Started]]&lt;=BM$4,OR(Tbl_ResidentData[[#This Row],[PRN Med Discontinued]]&gt;BM$4,ISBLANK(Tbl_ResidentData[[#This Row],[PRN Med Discontinued]])))</f>
        <v>0</v>
      </c>
      <c r="CL192" s="121" t="b">
        <f ca="1">AND(Tbl_ResidentData[[#This Row],[PRN Med Started]]&lt;&gt;"",Tbl_ResidentData[[#This Row],[PRN Med Started]]&lt;=NOW(),Tbl_ResidentData[[#This Row],[PRN Med Started]]&lt;=BN$4,OR(Tbl_ResidentData[[#This Row],[PRN Med Discontinued]]&gt;BN$4,ISBLANK(Tbl_ResidentData[[#This Row],[PRN Med Discontinued]])))</f>
        <v>0</v>
      </c>
      <c r="CM192" s="121" t="b">
        <f ca="1">AND(Tbl_ResidentData[[#This Row],[PRN Med Started]]&lt;&gt;"",Tbl_ResidentData[[#This Row],[PRN Med Started]]&lt;=NOW(),Tbl_ResidentData[[#This Row],[PRN Med Started]]&lt;=BO$4,OR(Tbl_ResidentData[[#This Row],[PRN Med Discontinued]]&gt;BO$4,ISBLANK(Tbl_ResidentData[[#This Row],[PRN Med Discontinued]])))</f>
        <v>0</v>
      </c>
      <c r="CN192" s="122" t="b">
        <f ca="1">AND(Tbl_ResidentData[[#This Row],[PRN Med Started]]&lt;&gt;"",Tbl_ResidentData[[#This Row],[PRN Med Started]]&lt;=NOW(),Tbl_ResidentData[[#This Row],[PRN Med Started]]&lt;=BP$4,OR(Tbl_ResidentData[[#This Row],[PRN Med Discontinued]]&gt;BP$4,ISBLANK(Tbl_ResidentData[[#This Row],[PRN Med Discontinued]])))</f>
        <v>0</v>
      </c>
      <c r="CO192" s="120">
        <f ca="1">IF(OR(Tbl_ResidentData[[#This Row],[S1]]=TRUE,Tbl_ResidentData[[#This Row],[P1]]=TRUE),1,0)</f>
        <v>0</v>
      </c>
      <c r="CP192" s="121">
        <f ca="1">IF(OR(Tbl_ResidentData[[#This Row],[S2]]=TRUE,Tbl_ResidentData[[#This Row],[P2]]=TRUE),1,0)</f>
        <v>0</v>
      </c>
      <c r="CQ192" s="121">
        <f ca="1">IF(OR(Tbl_ResidentData[[#This Row],[S3]]=TRUE,Tbl_ResidentData[[#This Row],[P3]]=TRUE),1,0)</f>
        <v>0</v>
      </c>
      <c r="CR192" s="120">
        <f ca="1">IF(OR(Tbl_ResidentData[[#This Row],[S4]]=TRUE,Tbl_ResidentData[[#This Row],[P4]]=TRUE),1,0)</f>
        <v>0</v>
      </c>
      <c r="CS192" s="120">
        <f ca="1">IF(OR(Tbl_ResidentData[[#This Row],[S5]]=TRUE,Tbl_ResidentData[[#This Row],[P5]]=TRUE),1,0)</f>
        <v>0</v>
      </c>
      <c r="CT192" s="120">
        <f ca="1">IF(OR(Tbl_ResidentData[[#This Row],[S6]]=TRUE,Tbl_ResidentData[[#This Row],[P6]]=TRUE),1,0)</f>
        <v>0</v>
      </c>
      <c r="CU192" s="120">
        <f ca="1">IF(OR(Tbl_ResidentData[[#This Row],[S7]]=TRUE,Tbl_ResidentData[[#This Row],[P7]]=TRUE),1,0)</f>
        <v>0</v>
      </c>
      <c r="CV192" s="120">
        <f ca="1">IF(OR(Tbl_ResidentData[[#This Row],[S8]]=TRUE,Tbl_ResidentData[[#This Row],[P8]]=TRUE),1,0)</f>
        <v>0</v>
      </c>
      <c r="CW192" s="120">
        <f ca="1">IF(OR(Tbl_ResidentData[[#This Row],[S9]]=TRUE,Tbl_ResidentData[[#This Row],[P9]]=TRUE),1,0)</f>
        <v>0</v>
      </c>
      <c r="CX192" s="120">
        <f ca="1">IF(OR(Tbl_ResidentData[[#This Row],[S10]]=TRUE,Tbl_ResidentData[[#This Row],[P10]]=TRUE),1,0)</f>
        <v>0</v>
      </c>
      <c r="CY192" s="120">
        <f ca="1">IF(OR(Tbl_ResidentData[[#This Row],[S11]]=TRUE,Tbl_ResidentData[[#This Row],[P11]]=TRUE),1,0)</f>
        <v>0</v>
      </c>
      <c r="CZ192" s="120">
        <f ca="1">IF(OR(Tbl_ResidentData[[#This Row],[S12]]=TRUE,Tbl_ResidentData[[#This Row],[P12]]=TRUE),1,0)</f>
        <v>0</v>
      </c>
      <c r="DA192" s="120">
        <f ca="1">IF(OR(Tbl_ResidentData[[#This Row],[S13]]=TRUE,Tbl_ResidentData[[#This Row],[P13]]=TRUE),1,0)</f>
        <v>0</v>
      </c>
      <c r="DB192" s="120">
        <f ca="1">IF(OR(Tbl_ResidentData[[#This Row],[S14]]=TRUE,Tbl_ResidentData[[#This Row],[P14]]=TRUE),1,0)</f>
        <v>0</v>
      </c>
      <c r="DC192" s="120">
        <f ca="1">IF(OR(Tbl_ResidentData[[#This Row],[S15]]=TRUE,Tbl_ResidentData[[#This Row],[P15]]=TRUE),1,0)</f>
        <v>0</v>
      </c>
      <c r="DD192" s="120">
        <f ca="1">IF(OR(Tbl_ResidentData[[#This Row],[S16]]=TRUE,Tbl_ResidentData[[#This Row],[P16]]=TRUE),1,0)</f>
        <v>0</v>
      </c>
      <c r="DE192" s="120">
        <f ca="1">IF(OR(Tbl_ResidentData[[#This Row],[S17]]=TRUE,Tbl_ResidentData[[#This Row],[P17]]=TRUE),1,0)</f>
        <v>0</v>
      </c>
      <c r="DF192" s="120">
        <f ca="1">IF(OR(Tbl_ResidentData[[#This Row],[S18]]=TRUE,Tbl_ResidentData[[#This Row],[P18]]=TRUE),1,0)</f>
        <v>0</v>
      </c>
      <c r="DG192" s="120">
        <f ca="1">IF(OR(Tbl_ResidentData[[#This Row],[S19]]=TRUE,Tbl_ResidentData[[#This Row],[P19]]=TRUE),1,0)</f>
        <v>0</v>
      </c>
      <c r="DH192" s="120">
        <f ca="1">IF(OR(Tbl_ResidentData[[#This Row],[S20]]=TRUE,Tbl_ResidentData[[#This Row],[P20]]=TRUE),1,0)</f>
        <v>0</v>
      </c>
      <c r="DI192" s="120">
        <f ca="1">IF(OR(Tbl_ResidentData[[#This Row],[S21]]=TRUE,Tbl_ResidentData[[#This Row],[P21]]=TRUE),1,0)</f>
        <v>0</v>
      </c>
      <c r="DJ192" s="120">
        <f ca="1">IF(OR(Tbl_ResidentData[[#This Row],[S22]]=TRUE,Tbl_ResidentData[[#This Row],[P22]]=TRUE),1,0)</f>
        <v>0</v>
      </c>
      <c r="DK192" s="120">
        <f ca="1">IF(OR(Tbl_ResidentData[[#This Row],[S23]]=TRUE,Tbl_ResidentData[[#This Row],[P23]]=TRUE),1,0)</f>
        <v>0</v>
      </c>
      <c r="DL192" s="120">
        <f ca="1">IF(OR(Tbl_ResidentData[[#This Row],[S24]]=TRUE,Tbl_ResidentData[[#This Row],[P24]]=TRUE),1,0)</f>
        <v>0</v>
      </c>
      <c r="DM192" s="123" t="str">
        <f ca="1">IFERROR(INDEX($CO$4:$DL$4,MATCH(TRUE,INDEX((Tbl_ResidentData[[#This Row],[Over1]:[Over24]]&lt;&gt;0),0),0)),"")</f>
        <v/>
      </c>
      <c r="DN192" s="133" t="str">
        <f>IFERROR(INDEX(Tbl_PDSAData[Last DRT],MATCH(Tbl_ResidentData[Resident Name '[last, first']],Tbl_PDSAData[Resident Name (last, first)],0)),"")</f>
        <v/>
      </c>
      <c r="DO192" s="222" t="str">
        <f>IFERROR(INDEX(Tbl_PDSAData[Last MR],MATCH(Tbl_ResidentData[Resident Name '[last, first']],Tbl_PDSAData[Resident Name (last, first)],0)),"")</f>
        <v/>
      </c>
    </row>
    <row r="193" spans="1:119" x14ac:dyDescent="0.25">
      <c r="A193" s="179"/>
      <c r="B193" s="180"/>
      <c r="C193" s="180"/>
      <c r="D193" s="217"/>
      <c r="E193" s="179"/>
      <c r="F193" s="179"/>
      <c r="G193" s="181"/>
      <c r="H193" s="375"/>
      <c r="I193" s="185"/>
      <c r="J193" s="387"/>
      <c r="K193" s="178"/>
      <c r="L193" s="388"/>
      <c r="M193" s="185"/>
      <c r="N193" s="386"/>
      <c r="O193" s="178"/>
      <c r="P193" s="388"/>
      <c r="Q193" s="395"/>
      <c r="R193" s="396"/>
      <c r="S193" s="131" t="str">
        <f>IF(ISBLANK(Tbl_ResidentData[[#This Row],[Discharge '[mmm-yyyy']]]),IF(ISBLANK(Tbl_ResidentData[[#This Row],[Enrollment '[mmm-yyyy']]]),"","In Care Home"),"Discharged")</f>
        <v/>
      </c>
      <c r="T193" s="119" t="str">
        <f>IF(ISBLANK(Tbl_ResidentData[[#This Row],[Diagnosis (RAI)]]),IF(ISBLANK(Tbl_ResidentData[[#This Row],[Resident Name '[last, first']]]),"",0),IF(Tbl_ResidentData[[#This Row],[Diagnosis (RAI)]]="Other (see clinical notes)",0,1))</f>
        <v/>
      </c>
      <c r="U193" s="120" t="str">
        <f ca="1">IF(U$4&gt;NOW(),"-",IF(ISBLANK(Tbl_ResidentData[[#This Row],[Enrollment '[mmm-yyyy']]]),"-",AND((Tbl_ResidentData[[#This Row],[Enrollment '[mmm-yyyy']]]&lt;=U$4),IF(ISBLANK(Tbl_ResidentData[[#This Row],[Discharge '[mmm-yyyy']]]),TRUE,(Tbl_ResidentData[[#This Row],[Discharge '[mmm-yyyy']]]&gt;=U$4)))))</f>
        <v>-</v>
      </c>
      <c r="V193" s="121" t="str">
        <f ca="1">IF(V$4&gt;NOW(),"-",IF(ISBLANK(Tbl_ResidentData[[#This Row],[Enrollment '[mmm-yyyy']]]),"-",AND((Tbl_ResidentData[[#This Row],[Enrollment '[mmm-yyyy']]]&lt;=V$4),IF(ISBLANK(Tbl_ResidentData[[#This Row],[Discharge '[mmm-yyyy']]]),TRUE,(Tbl_ResidentData[[#This Row],[Discharge '[mmm-yyyy']]]&gt;=V$4)))))</f>
        <v>-</v>
      </c>
      <c r="W193" s="121" t="str">
        <f ca="1">IF(W$4&gt;NOW(),"-",IF(ISBLANK(Tbl_ResidentData[[#This Row],[Enrollment '[mmm-yyyy']]]),"-",AND((Tbl_ResidentData[[#This Row],[Enrollment '[mmm-yyyy']]]&lt;=W$4),IF(ISBLANK(Tbl_ResidentData[[#This Row],[Discharge '[mmm-yyyy']]]),TRUE,(Tbl_ResidentData[[#This Row],[Discharge '[mmm-yyyy']]]&gt;=W$4)))))</f>
        <v>-</v>
      </c>
      <c r="X193" s="121" t="str">
        <f ca="1">IF(X$4&gt;NOW(),"-",IF(ISBLANK(Tbl_ResidentData[[#This Row],[Enrollment '[mmm-yyyy']]]),"-",AND((Tbl_ResidentData[[#This Row],[Enrollment '[mmm-yyyy']]]&lt;=X$4),IF(ISBLANK(Tbl_ResidentData[[#This Row],[Discharge '[mmm-yyyy']]]),TRUE,(Tbl_ResidentData[[#This Row],[Discharge '[mmm-yyyy']]]&gt;=X$4)))))</f>
        <v>-</v>
      </c>
      <c r="Y193" s="121" t="str">
        <f ca="1">IF(Y$4&gt;NOW(),"-",IF(ISBLANK(Tbl_ResidentData[[#This Row],[Enrollment '[mmm-yyyy']]]),"-",AND((Tbl_ResidentData[[#This Row],[Enrollment '[mmm-yyyy']]]&lt;=Y$4),IF(ISBLANK(Tbl_ResidentData[[#This Row],[Discharge '[mmm-yyyy']]]),TRUE,(Tbl_ResidentData[[#This Row],[Discharge '[mmm-yyyy']]]&gt;=Y$4)))))</f>
        <v>-</v>
      </c>
      <c r="Z193" s="121" t="str">
        <f ca="1">IF(Z$4&gt;NOW(),"-",IF(ISBLANK(Tbl_ResidentData[[#This Row],[Enrollment '[mmm-yyyy']]]),"-",AND((Tbl_ResidentData[[#This Row],[Enrollment '[mmm-yyyy']]]&lt;=Z$4),IF(ISBLANK(Tbl_ResidentData[[#This Row],[Discharge '[mmm-yyyy']]]),TRUE,(Tbl_ResidentData[[#This Row],[Discharge '[mmm-yyyy']]]&gt;=Z$4)))))</f>
        <v>-</v>
      </c>
      <c r="AA193" s="121" t="str">
        <f ca="1">IF(AA$4&gt;NOW(),"-",IF(ISBLANK(Tbl_ResidentData[[#This Row],[Enrollment '[mmm-yyyy']]]),"-",AND((Tbl_ResidentData[[#This Row],[Enrollment '[mmm-yyyy']]]&lt;=AA$4),IF(ISBLANK(Tbl_ResidentData[[#This Row],[Discharge '[mmm-yyyy']]]),TRUE,(Tbl_ResidentData[[#This Row],[Discharge '[mmm-yyyy']]]&gt;=AA$4)))))</f>
        <v>-</v>
      </c>
      <c r="AB193" s="121" t="str">
        <f ca="1">IF(AB$4&gt;NOW(),"-",IF(ISBLANK(Tbl_ResidentData[[#This Row],[Enrollment '[mmm-yyyy']]]),"-",AND((Tbl_ResidentData[[#This Row],[Enrollment '[mmm-yyyy']]]&lt;=AB$4),IF(ISBLANK(Tbl_ResidentData[[#This Row],[Discharge '[mmm-yyyy']]]),TRUE,(Tbl_ResidentData[[#This Row],[Discharge '[mmm-yyyy']]]&gt;=AB$4)))))</f>
        <v>-</v>
      </c>
      <c r="AC193" s="121" t="str">
        <f ca="1">IF(AC$4&gt;NOW(),"-",IF(ISBLANK(Tbl_ResidentData[[#This Row],[Enrollment '[mmm-yyyy']]]),"-",AND((Tbl_ResidentData[[#This Row],[Enrollment '[mmm-yyyy']]]&lt;=AC$4),IF(ISBLANK(Tbl_ResidentData[[#This Row],[Discharge '[mmm-yyyy']]]),TRUE,(Tbl_ResidentData[[#This Row],[Discharge '[mmm-yyyy']]]&gt;=AC$4)))))</f>
        <v>-</v>
      </c>
      <c r="AD193" s="121" t="str">
        <f ca="1">IF(AD$4&gt;NOW(),"-",IF(ISBLANK(Tbl_ResidentData[[#This Row],[Enrollment '[mmm-yyyy']]]),"-",AND((Tbl_ResidentData[[#This Row],[Enrollment '[mmm-yyyy']]]&lt;=AD$4),IF(ISBLANK(Tbl_ResidentData[[#This Row],[Discharge '[mmm-yyyy']]]),TRUE,(Tbl_ResidentData[[#This Row],[Discharge '[mmm-yyyy']]]&gt;=AD$4)))))</f>
        <v>-</v>
      </c>
      <c r="AE193" s="121" t="str">
        <f ca="1">IF(AE$4&gt;NOW(),"-",IF(ISBLANK(Tbl_ResidentData[[#This Row],[Enrollment '[mmm-yyyy']]]),"-",AND((Tbl_ResidentData[[#This Row],[Enrollment '[mmm-yyyy']]]&lt;=AE$4),IF(ISBLANK(Tbl_ResidentData[[#This Row],[Discharge '[mmm-yyyy']]]),TRUE,(Tbl_ResidentData[[#This Row],[Discharge '[mmm-yyyy']]]&gt;=AE$4)))))</f>
        <v>-</v>
      </c>
      <c r="AF193" s="121" t="str">
        <f ca="1">IF(AF$4&gt;NOW(),"-",IF(ISBLANK(Tbl_ResidentData[[#This Row],[Enrollment '[mmm-yyyy']]]),"-",AND((Tbl_ResidentData[[#This Row],[Enrollment '[mmm-yyyy']]]&lt;=AF$4),IF(ISBLANK(Tbl_ResidentData[[#This Row],[Discharge '[mmm-yyyy']]]),TRUE,(Tbl_ResidentData[[#This Row],[Discharge '[mmm-yyyy']]]&gt;=AF$4)))))</f>
        <v>-</v>
      </c>
      <c r="AG193" s="121" t="str">
        <f ca="1">IF(AG$4&gt;NOW(),"-",IF(ISBLANK(Tbl_ResidentData[[#This Row],[Enrollment '[mmm-yyyy']]]),"-",AND((Tbl_ResidentData[[#This Row],[Enrollment '[mmm-yyyy']]]&lt;=AG$4),IF(ISBLANK(Tbl_ResidentData[[#This Row],[Discharge '[mmm-yyyy']]]),TRUE,(Tbl_ResidentData[[#This Row],[Discharge '[mmm-yyyy']]]&gt;=AG$4)))))</f>
        <v>-</v>
      </c>
      <c r="AH193" s="121" t="str">
        <f ca="1">IF(AH$4&gt;NOW(),"-",IF(ISBLANK(Tbl_ResidentData[[#This Row],[Enrollment '[mmm-yyyy']]]),"-",AND((Tbl_ResidentData[[#This Row],[Enrollment '[mmm-yyyy']]]&lt;=AH$4),IF(ISBLANK(Tbl_ResidentData[[#This Row],[Discharge '[mmm-yyyy']]]),TRUE,(Tbl_ResidentData[[#This Row],[Discharge '[mmm-yyyy']]]&gt;=AH$4)))))</f>
        <v>-</v>
      </c>
      <c r="AI193" s="121" t="str">
        <f ca="1">IF(AI$4&gt;NOW(),"-",IF(ISBLANK(Tbl_ResidentData[[#This Row],[Enrollment '[mmm-yyyy']]]),"-",AND((Tbl_ResidentData[[#This Row],[Enrollment '[mmm-yyyy']]]&lt;=AI$4),IF(ISBLANK(Tbl_ResidentData[[#This Row],[Discharge '[mmm-yyyy']]]),TRUE,(Tbl_ResidentData[[#This Row],[Discharge '[mmm-yyyy']]]&gt;=AI$4)))))</f>
        <v>-</v>
      </c>
      <c r="AJ193" s="121" t="str">
        <f ca="1">IF(AJ$4&gt;NOW(),"-",IF(ISBLANK(Tbl_ResidentData[[#This Row],[Enrollment '[mmm-yyyy']]]),"-",AND((Tbl_ResidentData[[#This Row],[Enrollment '[mmm-yyyy']]]&lt;=AJ$4),IF(ISBLANK(Tbl_ResidentData[[#This Row],[Discharge '[mmm-yyyy']]]),TRUE,(Tbl_ResidentData[[#This Row],[Discharge '[mmm-yyyy']]]&gt;=AJ$4)))))</f>
        <v>-</v>
      </c>
      <c r="AK193" s="121" t="str">
        <f ca="1">IF(AK$4&gt;NOW(),"-",IF(ISBLANK(Tbl_ResidentData[[#This Row],[Enrollment '[mmm-yyyy']]]),"-",AND((Tbl_ResidentData[[#This Row],[Enrollment '[mmm-yyyy']]]&lt;=AK$4),IF(ISBLANK(Tbl_ResidentData[[#This Row],[Discharge '[mmm-yyyy']]]),TRUE,(Tbl_ResidentData[[#This Row],[Discharge '[mmm-yyyy']]]&gt;=AK$4)))))</f>
        <v>-</v>
      </c>
      <c r="AL193" s="121" t="str">
        <f ca="1">IF(AL$4&gt;NOW(),"-",IF(ISBLANK(Tbl_ResidentData[[#This Row],[Enrollment '[mmm-yyyy']]]),"-",AND((Tbl_ResidentData[[#This Row],[Enrollment '[mmm-yyyy']]]&lt;=AL$4),IF(ISBLANK(Tbl_ResidentData[[#This Row],[Discharge '[mmm-yyyy']]]),TRUE,(Tbl_ResidentData[[#This Row],[Discharge '[mmm-yyyy']]]&gt;=AL$4)))))</f>
        <v>-</v>
      </c>
      <c r="AM193" s="121" t="str">
        <f ca="1">IF(AM$4&gt;NOW(),"-",IF(ISBLANK(Tbl_ResidentData[[#This Row],[Enrollment '[mmm-yyyy']]]),"-",AND((Tbl_ResidentData[[#This Row],[Enrollment '[mmm-yyyy']]]&lt;=AM$4),IF(ISBLANK(Tbl_ResidentData[[#This Row],[Discharge '[mmm-yyyy']]]),TRUE,(Tbl_ResidentData[[#This Row],[Discharge '[mmm-yyyy']]]&gt;=AM$4)))))</f>
        <v>-</v>
      </c>
      <c r="AN193" s="121" t="str">
        <f ca="1">IF(AN$4&gt;NOW(),"-",IF(ISBLANK(Tbl_ResidentData[[#This Row],[Enrollment '[mmm-yyyy']]]),"-",AND((Tbl_ResidentData[[#This Row],[Enrollment '[mmm-yyyy']]]&lt;=AN$4),IF(ISBLANK(Tbl_ResidentData[[#This Row],[Discharge '[mmm-yyyy']]]),TRUE,(Tbl_ResidentData[[#This Row],[Discharge '[mmm-yyyy']]]&gt;=AN$4)))))</f>
        <v>-</v>
      </c>
      <c r="AO193" s="121" t="str">
        <f ca="1">IF(AO$4&gt;NOW(),"-",IF(ISBLANK(Tbl_ResidentData[[#This Row],[Enrollment '[mmm-yyyy']]]),"-",AND((Tbl_ResidentData[[#This Row],[Enrollment '[mmm-yyyy']]]&lt;=AO$4),IF(ISBLANK(Tbl_ResidentData[[#This Row],[Discharge '[mmm-yyyy']]]),TRUE,(Tbl_ResidentData[[#This Row],[Discharge '[mmm-yyyy']]]&gt;=AO$4)))))</f>
        <v>-</v>
      </c>
      <c r="AP193" s="121" t="str">
        <f ca="1">IF(AP$4&gt;NOW(),"-",IF(ISBLANK(Tbl_ResidentData[[#This Row],[Enrollment '[mmm-yyyy']]]),"-",AND((Tbl_ResidentData[[#This Row],[Enrollment '[mmm-yyyy']]]&lt;=AP$4),IF(ISBLANK(Tbl_ResidentData[[#This Row],[Discharge '[mmm-yyyy']]]),TRUE,(Tbl_ResidentData[[#This Row],[Discharge '[mmm-yyyy']]]&gt;=AP$4)))))</f>
        <v>-</v>
      </c>
      <c r="AQ193" s="121" t="str">
        <f ca="1">IF(AQ$4&gt;NOW(),"-",IF(ISBLANK(Tbl_ResidentData[[#This Row],[Enrollment '[mmm-yyyy']]]),"-",AND((Tbl_ResidentData[[#This Row],[Enrollment '[mmm-yyyy']]]&lt;=AQ$4),IF(ISBLANK(Tbl_ResidentData[[#This Row],[Discharge '[mmm-yyyy']]]),TRUE,(Tbl_ResidentData[[#This Row],[Discharge '[mmm-yyyy']]]&gt;=AQ$4)))))</f>
        <v>-</v>
      </c>
      <c r="AR193" s="122" t="str">
        <f ca="1">IF(AR$4&gt;NOW(),"-",IF(ISBLANK(Tbl_ResidentData[[#This Row],[Enrollment '[mmm-yyyy']]]),"-",AND((Tbl_ResidentData[[#This Row],[Enrollment '[mmm-yyyy']]]&lt;=AR$4),IF(ISBLANK(Tbl_ResidentData[[#This Row],[Discharge '[mmm-yyyy']]]),TRUE,(Tbl_ResidentData[[#This Row],[Discharge '[mmm-yyyy']]]&gt;=AR$4)))))</f>
        <v>-</v>
      </c>
      <c r="AS19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3" s="120" t="b">
        <f ca="1">AND(Tbl_ResidentData[[#This Row],[PRN Med Started]]&lt;&gt;"",Tbl_ResidentData[[#This Row],[PRN Med Started]]&lt;=NOW(),Tbl_ResidentData[[#This Row],[PRN Med Started]]&lt;=AS$4,OR(Tbl_ResidentData[[#This Row],[PRN Med Discontinued]]&gt;AS$4,ISBLANK(Tbl_ResidentData[[#This Row],[PRN Med Discontinued]])))</f>
        <v>0</v>
      </c>
      <c r="BR193" s="121" t="b">
        <f ca="1">AND(Tbl_ResidentData[[#This Row],[PRN Med Started]]&lt;&gt;"",Tbl_ResidentData[[#This Row],[PRN Med Started]]&lt;=NOW(),Tbl_ResidentData[[#This Row],[PRN Med Started]]&lt;=AT$4,OR(Tbl_ResidentData[[#This Row],[PRN Med Discontinued]]&gt;AT$4,ISBLANK(Tbl_ResidentData[[#This Row],[PRN Med Discontinued]])))</f>
        <v>0</v>
      </c>
      <c r="BS193" s="121" t="b">
        <f ca="1">AND(Tbl_ResidentData[[#This Row],[PRN Med Started]]&lt;&gt;"",Tbl_ResidentData[[#This Row],[PRN Med Started]]&lt;=NOW(),Tbl_ResidentData[[#This Row],[PRN Med Started]]&lt;=AU$4,OR(Tbl_ResidentData[[#This Row],[PRN Med Discontinued]]&gt;AU$4,ISBLANK(Tbl_ResidentData[[#This Row],[PRN Med Discontinued]])))</f>
        <v>0</v>
      </c>
      <c r="BT193" s="121" t="b">
        <f ca="1">AND(Tbl_ResidentData[[#This Row],[PRN Med Started]]&lt;&gt;"",Tbl_ResidentData[[#This Row],[PRN Med Started]]&lt;=NOW(),Tbl_ResidentData[[#This Row],[PRN Med Started]]&lt;=AV$4,OR(Tbl_ResidentData[[#This Row],[PRN Med Discontinued]]&gt;AV$4,ISBLANK(Tbl_ResidentData[[#This Row],[PRN Med Discontinued]])))</f>
        <v>0</v>
      </c>
      <c r="BU193" s="121" t="b">
        <f ca="1">AND(Tbl_ResidentData[[#This Row],[PRN Med Started]]&lt;&gt;"",Tbl_ResidentData[[#This Row],[PRN Med Started]]&lt;=NOW(),Tbl_ResidentData[[#This Row],[PRN Med Started]]&lt;=AW$4,OR(Tbl_ResidentData[[#This Row],[PRN Med Discontinued]]&gt;AW$4,ISBLANK(Tbl_ResidentData[[#This Row],[PRN Med Discontinued]])))</f>
        <v>0</v>
      </c>
      <c r="BV193" s="121" t="b">
        <f ca="1">AND(Tbl_ResidentData[[#This Row],[PRN Med Started]]&lt;&gt;"",Tbl_ResidentData[[#This Row],[PRN Med Started]]&lt;=NOW(),Tbl_ResidentData[[#This Row],[PRN Med Started]]&lt;=AX$4,OR(Tbl_ResidentData[[#This Row],[PRN Med Discontinued]]&gt;AX$4,ISBLANK(Tbl_ResidentData[[#This Row],[PRN Med Discontinued]])))</f>
        <v>0</v>
      </c>
      <c r="BW193" s="121" t="b">
        <f ca="1">AND(Tbl_ResidentData[[#This Row],[PRN Med Started]]&lt;&gt;"",Tbl_ResidentData[[#This Row],[PRN Med Started]]&lt;=NOW(),Tbl_ResidentData[[#This Row],[PRN Med Started]]&lt;=AY$4,OR(Tbl_ResidentData[[#This Row],[PRN Med Discontinued]]&gt;AY$4,ISBLANK(Tbl_ResidentData[[#This Row],[PRN Med Discontinued]])))</f>
        <v>0</v>
      </c>
      <c r="BX193" s="121" t="b">
        <f ca="1">AND(Tbl_ResidentData[[#This Row],[PRN Med Started]]&lt;&gt;"",Tbl_ResidentData[[#This Row],[PRN Med Started]]&lt;=NOW(),Tbl_ResidentData[[#This Row],[PRN Med Started]]&lt;=AZ$4,OR(Tbl_ResidentData[[#This Row],[PRN Med Discontinued]]&gt;AZ$4,ISBLANK(Tbl_ResidentData[[#This Row],[PRN Med Discontinued]])))</f>
        <v>0</v>
      </c>
      <c r="BY193" s="121" t="b">
        <f ca="1">AND(Tbl_ResidentData[[#This Row],[PRN Med Started]]&lt;&gt;"",Tbl_ResidentData[[#This Row],[PRN Med Started]]&lt;=NOW(),Tbl_ResidentData[[#This Row],[PRN Med Started]]&lt;=BA$4,OR(Tbl_ResidentData[[#This Row],[PRN Med Discontinued]]&gt;BA$4,ISBLANK(Tbl_ResidentData[[#This Row],[PRN Med Discontinued]])))</f>
        <v>0</v>
      </c>
      <c r="BZ193" s="121" t="b">
        <f ca="1">AND(Tbl_ResidentData[[#This Row],[PRN Med Started]]&lt;&gt;"",Tbl_ResidentData[[#This Row],[PRN Med Started]]&lt;=NOW(),Tbl_ResidentData[[#This Row],[PRN Med Started]]&lt;=BB$4,OR(Tbl_ResidentData[[#This Row],[PRN Med Discontinued]]&gt;BB$4,ISBLANK(Tbl_ResidentData[[#This Row],[PRN Med Discontinued]])))</f>
        <v>0</v>
      </c>
      <c r="CA193" s="121" t="b">
        <f ca="1">AND(Tbl_ResidentData[[#This Row],[PRN Med Started]]&lt;&gt;"",Tbl_ResidentData[[#This Row],[PRN Med Started]]&lt;=NOW(),Tbl_ResidentData[[#This Row],[PRN Med Started]]&lt;=BC$4,OR(Tbl_ResidentData[[#This Row],[PRN Med Discontinued]]&gt;BC$4,ISBLANK(Tbl_ResidentData[[#This Row],[PRN Med Discontinued]])))</f>
        <v>0</v>
      </c>
      <c r="CB193" s="121" t="b">
        <f ca="1">AND(Tbl_ResidentData[[#This Row],[PRN Med Started]]&lt;&gt;"",Tbl_ResidentData[[#This Row],[PRN Med Started]]&lt;=NOW(),Tbl_ResidentData[[#This Row],[PRN Med Started]]&lt;=BD$4,OR(Tbl_ResidentData[[#This Row],[PRN Med Discontinued]]&gt;BD$4,ISBLANK(Tbl_ResidentData[[#This Row],[PRN Med Discontinued]])))</f>
        <v>0</v>
      </c>
      <c r="CC193" s="121" t="b">
        <f ca="1">AND(Tbl_ResidentData[[#This Row],[PRN Med Started]]&lt;&gt;"",Tbl_ResidentData[[#This Row],[PRN Med Started]]&lt;=NOW(),Tbl_ResidentData[[#This Row],[PRN Med Started]]&lt;=BE$4,OR(Tbl_ResidentData[[#This Row],[PRN Med Discontinued]]&gt;BE$4,ISBLANK(Tbl_ResidentData[[#This Row],[PRN Med Discontinued]])))</f>
        <v>0</v>
      </c>
      <c r="CD193" s="121" t="b">
        <f ca="1">AND(Tbl_ResidentData[[#This Row],[PRN Med Started]]&lt;&gt;"",Tbl_ResidentData[[#This Row],[PRN Med Started]]&lt;=NOW(),Tbl_ResidentData[[#This Row],[PRN Med Started]]&lt;=BF$4,OR(Tbl_ResidentData[[#This Row],[PRN Med Discontinued]]&gt;BF$4,ISBLANK(Tbl_ResidentData[[#This Row],[PRN Med Discontinued]])))</f>
        <v>0</v>
      </c>
      <c r="CE193" s="121" t="b">
        <f ca="1">AND(Tbl_ResidentData[[#This Row],[PRN Med Started]]&lt;&gt;"",Tbl_ResidentData[[#This Row],[PRN Med Started]]&lt;=NOW(),Tbl_ResidentData[[#This Row],[PRN Med Started]]&lt;=BG$4,OR(Tbl_ResidentData[[#This Row],[PRN Med Discontinued]]&gt;BG$4,ISBLANK(Tbl_ResidentData[[#This Row],[PRN Med Discontinued]])))</f>
        <v>0</v>
      </c>
      <c r="CF193" s="121" t="b">
        <f ca="1">AND(Tbl_ResidentData[[#This Row],[PRN Med Started]]&lt;&gt;"",Tbl_ResidentData[[#This Row],[PRN Med Started]]&lt;=NOW(),Tbl_ResidentData[[#This Row],[PRN Med Started]]&lt;=BH$4,OR(Tbl_ResidentData[[#This Row],[PRN Med Discontinued]]&gt;BH$4,ISBLANK(Tbl_ResidentData[[#This Row],[PRN Med Discontinued]])))</f>
        <v>0</v>
      </c>
      <c r="CG193" s="121" t="b">
        <f ca="1">AND(Tbl_ResidentData[[#This Row],[PRN Med Started]]&lt;&gt;"",Tbl_ResidentData[[#This Row],[PRN Med Started]]&lt;=NOW(),Tbl_ResidentData[[#This Row],[PRN Med Started]]&lt;=BI$4,OR(Tbl_ResidentData[[#This Row],[PRN Med Discontinued]]&gt;BI$4,ISBLANK(Tbl_ResidentData[[#This Row],[PRN Med Discontinued]])))</f>
        <v>0</v>
      </c>
      <c r="CH193" s="121" t="b">
        <f ca="1">AND(Tbl_ResidentData[[#This Row],[PRN Med Started]]&lt;&gt;"",Tbl_ResidentData[[#This Row],[PRN Med Started]]&lt;=NOW(),Tbl_ResidentData[[#This Row],[PRN Med Started]]&lt;=BJ$4,OR(Tbl_ResidentData[[#This Row],[PRN Med Discontinued]]&gt;BJ$4,ISBLANK(Tbl_ResidentData[[#This Row],[PRN Med Discontinued]])))</f>
        <v>0</v>
      </c>
      <c r="CI193" s="121" t="b">
        <f ca="1">AND(Tbl_ResidentData[[#This Row],[PRN Med Started]]&lt;&gt;"",Tbl_ResidentData[[#This Row],[PRN Med Started]]&lt;=NOW(),Tbl_ResidentData[[#This Row],[PRN Med Started]]&lt;=BK$4,OR(Tbl_ResidentData[[#This Row],[PRN Med Discontinued]]&gt;BK$4,ISBLANK(Tbl_ResidentData[[#This Row],[PRN Med Discontinued]])))</f>
        <v>0</v>
      </c>
      <c r="CJ193" s="121" t="b">
        <f ca="1">AND(Tbl_ResidentData[[#This Row],[PRN Med Started]]&lt;&gt;"",Tbl_ResidentData[[#This Row],[PRN Med Started]]&lt;=NOW(),Tbl_ResidentData[[#This Row],[PRN Med Started]]&lt;=BL$4,OR(Tbl_ResidentData[[#This Row],[PRN Med Discontinued]]&gt;BL$4,ISBLANK(Tbl_ResidentData[[#This Row],[PRN Med Discontinued]])))</f>
        <v>0</v>
      </c>
      <c r="CK193" s="121" t="b">
        <f ca="1">AND(Tbl_ResidentData[[#This Row],[PRN Med Started]]&lt;&gt;"",Tbl_ResidentData[[#This Row],[PRN Med Started]]&lt;=NOW(),Tbl_ResidentData[[#This Row],[PRN Med Started]]&lt;=BM$4,OR(Tbl_ResidentData[[#This Row],[PRN Med Discontinued]]&gt;BM$4,ISBLANK(Tbl_ResidentData[[#This Row],[PRN Med Discontinued]])))</f>
        <v>0</v>
      </c>
      <c r="CL193" s="121" t="b">
        <f ca="1">AND(Tbl_ResidentData[[#This Row],[PRN Med Started]]&lt;&gt;"",Tbl_ResidentData[[#This Row],[PRN Med Started]]&lt;=NOW(),Tbl_ResidentData[[#This Row],[PRN Med Started]]&lt;=BN$4,OR(Tbl_ResidentData[[#This Row],[PRN Med Discontinued]]&gt;BN$4,ISBLANK(Tbl_ResidentData[[#This Row],[PRN Med Discontinued]])))</f>
        <v>0</v>
      </c>
      <c r="CM193" s="121" t="b">
        <f ca="1">AND(Tbl_ResidentData[[#This Row],[PRN Med Started]]&lt;&gt;"",Tbl_ResidentData[[#This Row],[PRN Med Started]]&lt;=NOW(),Tbl_ResidentData[[#This Row],[PRN Med Started]]&lt;=BO$4,OR(Tbl_ResidentData[[#This Row],[PRN Med Discontinued]]&gt;BO$4,ISBLANK(Tbl_ResidentData[[#This Row],[PRN Med Discontinued]])))</f>
        <v>0</v>
      </c>
      <c r="CN193" s="122" t="b">
        <f ca="1">AND(Tbl_ResidentData[[#This Row],[PRN Med Started]]&lt;&gt;"",Tbl_ResidentData[[#This Row],[PRN Med Started]]&lt;=NOW(),Tbl_ResidentData[[#This Row],[PRN Med Started]]&lt;=BP$4,OR(Tbl_ResidentData[[#This Row],[PRN Med Discontinued]]&gt;BP$4,ISBLANK(Tbl_ResidentData[[#This Row],[PRN Med Discontinued]])))</f>
        <v>0</v>
      </c>
      <c r="CO193" s="120">
        <f ca="1">IF(OR(Tbl_ResidentData[[#This Row],[S1]]=TRUE,Tbl_ResidentData[[#This Row],[P1]]=TRUE),1,0)</f>
        <v>0</v>
      </c>
      <c r="CP193" s="121">
        <f ca="1">IF(OR(Tbl_ResidentData[[#This Row],[S2]]=TRUE,Tbl_ResidentData[[#This Row],[P2]]=TRUE),1,0)</f>
        <v>0</v>
      </c>
      <c r="CQ193" s="121">
        <f ca="1">IF(OR(Tbl_ResidentData[[#This Row],[S3]]=TRUE,Tbl_ResidentData[[#This Row],[P3]]=TRUE),1,0)</f>
        <v>0</v>
      </c>
      <c r="CR193" s="120">
        <f ca="1">IF(OR(Tbl_ResidentData[[#This Row],[S4]]=TRUE,Tbl_ResidentData[[#This Row],[P4]]=TRUE),1,0)</f>
        <v>0</v>
      </c>
      <c r="CS193" s="120">
        <f ca="1">IF(OR(Tbl_ResidentData[[#This Row],[S5]]=TRUE,Tbl_ResidentData[[#This Row],[P5]]=TRUE),1,0)</f>
        <v>0</v>
      </c>
      <c r="CT193" s="120">
        <f ca="1">IF(OR(Tbl_ResidentData[[#This Row],[S6]]=TRUE,Tbl_ResidentData[[#This Row],[P6]]=TRUE),1,0)</f>
        <v>0</v>
      </c>
      <c r="CU193" s="120">
        <f ca="1">IF(OR(Tbl_ResidentData[[#This Row],[S7]]=TRUE,Tbl_ResidentData[[#This Row],[P7]]=TRUE),1,0)</f>
        <v>0</v>
      </c>
      <c r="CV193" s="120">
        <f ca="1">IF(OR(Tbl_ResidentData[[#This Row],[S8]]=TRUE,Tbl_ResidentData[[#This Row],[P8]]=TRUE),1,0)</f>
        <v>0</v>
      </c>
      <c r="CW193" s="120">
        <f ca="1">IF(OR(Tbl_ResidentData[[#This Row],[S9]]=TRUE,Tbl_ResidentData[[#This Row],[P9]]=TRUE),1,0)</f>
        <v>0</v>
      </c>
      <c r="CX193" s="120">
        <f ca="1">IF(OR(Tbl_ResidentData[[#This Row],[S10]]=TRUE,Tbl_ResidentData[[#This Row],[P10]]=TRUE),1,0)</f>
        <v>0</v>
      </c>
      <c r="CY193" s="120">
        <f ca="1">IF(OR(Tbl_ResidentData[[#This Row],[S11]]=TRUE,Tbl_ResidentData[[#This Row],[P11]]=TRUE),1,0)</f>
        <v>0</v>
      </c>
      <c r="CZ193" s="120">
        <f ca="1">IF(OR(Tbl_ResidentData[[#This Row],[S12]]=TRUE,Tbl_ResidentData[[#This Row],[P12]]=TRUE),1,0)</f>
        <v>0</v>
      </c>
      <c r="DA193" s="120">
        <f ca="1">IF(OR(Tbl_ResidentData[[#This Row],[S13]]=TRUE,Tbl_ResidentData[[#This Row],[P13]]=TRUE),1,0)</f>
        <v>0</v>
      </c>
      <c r="DB193" s="120">
        <f ca="1">IF(OR(Tbl_ResidentData[[#This Row],[S14]]=TRUE,Tbl_ResidentData[[#This Row],[P14]]=TRUE),1,0)</f>
        <v>0</v>
      </c>
      <c r="DC193" s="120">
        <f ca="1">IF(OR(Tbl_ResidentData[[#This Row],[S15]]=TRUE,Tbl_ResidentData[[#This Row],[P15]]=TRUE),1,0)</f>
        <v>0</v>
      </c>
      <c r="DD193" s="120">
        <f ca="1">IF(OR(Tbl_ResidentData[[#This Row],[S16]]=TRUE,Tbl_ResidentData[[#This Row],[P16]]=TRUE),1,0)</f>
        <v>0</v>
      </c>
      <c r="DE193" s="120">
        <f ca="1">IF(OR(Tbl_ResidentData[[#This Row],[S17]]=TRUE,Tbl_ResidentData[[#This Row],[P17]]=TRUE),1,0)</f>
        <v>0</v>
      </c>
      <c r="DF193" s="120">
        <f ca="1">IF(OR(Tbl_ResidentData[[#This Row],[S18]]=TRUE,Tbl_ResidentData[[#This Row],[P18]]=TRUE),1,0)</f>
        <v>0</v>
      </c>
      <c r="DG193" s="120">
        <f ca="1">IF(OR(Tbl_ResidentData[[#This Row],[S19]]=TRUE,Tbl_ResidentData[[#This Row],[P19]]=TRUE),1,0)</f>
        <v>0</v>
      </c>
      <c r="DH193" s="120">
        <f ca="1">IF(OR(Tbl_ResidentData[[#This Row],[S20]]=TRUE,Tbl_ResidentData[[#This Row],[P20]]=TRUE),1,0)</f>
        <v>0</v>
      </c>
      <c r="DI193" s="120">
        <f ca="1">IF(OR(Tbl_ResidentData[[#This Row],[S21]]=TRUE,Tbl_ResidentData[[#This Row],[P21]]=TRUE),1,0)</f>
        <v>0</v>
      </c>
      <c r="DJ193" s="120">
        <f ca="1">IF(OR(Tbl_ResidentData[[#This Row],[S22]]=TRUE,Tbl_ResidentData[[#This Row],[P22]]=TRUE),1,0)</f>
        <v>0</v>
      </c>
      <c r="DK193" s="120">
        <f ca="1">IF(OR(Tbl_ResidentData[[#This Row],[S23]]=TRUE,Tbl_ResidentData[[#This Row],[P23]]=TRUE),1,0)</f>
        <v>0</v>
      </c>
      <c r="DL193" s="120">
        <f ca="1">IF(OR(Tbl_ResidentData[[#This Row],[S24]]=TRUE,Tbl_ResidentData[[#This Row],[P24]]=TRUE),1,0)</f>
        <v>0</v>
      </c>
      <c r="DM193" s="123" t="str">
        <f ca="1">IFERROR(INDEX($CO$4:$DL$4,MATCH(TRUE,INDEX((Tbl_ResidentData[[#This Row],[Over1]:[Over24]]&lt;&gt;0),0),0)),"")</f>
        <v/>
      </c>
      <c r="DN193" s="133" t="str">
        <f>IFERROR(INDEX(Tbl_PDSAData[Last DRT],MATCH(Tbl_ResidentData[Resident Name '[last, first']],Tbl_PDSAData[Resident Name (last, first)],0)),"")</f>
        <v/>
      </c>
      <c r="DO193" s="222" t="str">
        <f>IFERROR(INDEX(Tbl_PDSAData[Last MR],MATCH(Tbl_ResidentData[Resident Name '[last, first']],Tbl_PDSAData[Resident Name (last, first)],0)),"")</f>
        <v/>
      </c>
    </row>
    <row r="194" spans="1:119" x14ac:dyDescent="0.25">
      <c r="A194" s="179"/>
      <c r="B194" s="180"/>
      <c r="C194" s="180"/>
      <c r="D194" s="218"/>
      <c r="E194" s="179"/>
      <c r="F194" s="179"/>
      <c r="G194" s="181"/>
      <c r="H194" s="375"/>
      <c r="I194" s="185"/>
      <c r="J194" s="387"/>
      <c r="K194" s="178"/>
      <c r="L194" s="388"/>
      <c r="M194" s="185"/>
      <c r="N194" s="386"/>
      <c r="O194" s="178"/>
      <c r="P194" s="388"/>
      <c r="Q194" s="394"/>
      <c r="R194" s="388"/>
      <c r="S194" s="131" t="str">
        <f>IF(ISBLANK(Tbl_ResidentData[[#This Row],[Discharge '[mmm-yyyy']]]),IF(ISBLANK(Tbl_ResidentData[[#This Row],[Enrollment '[mmm-yyyy']]]),"","In Care Home"),"Discharged")</f>
        <v/>
      </c>
      <c r="T194" s="119" t="str">
        <f>IF(ISBLANK(Tbl_ResidentData[[#This Row],[Diagnosis (RAI)]]),IF(ISBLANK(Tbl_ResidentData[[#This Row],[Resident Name '[last, first']]]),"",0),IF(Tbl_ResidentData[[#This Row],[Diagnosis (RAI)]]="Other (see clinical notes)",0,1))</f>
        <v/>
      </c>
      <c r="U194" s="120" t="str">
        <f ca="1">IF(U$4&gt;NOW(),"-",IF(ISBLANK(Tbl_ResidentData[[#This Row],[Enrollment '[mmm-yyyy']]]),"-",AND((Tbl_ResidentData[[#This Row],[Enrollment '[mmm-yyyy']]]&lt;=U$4),IF(ISBLANK(Tbl_ResidentData[[#This Row],[Discharge '[mmm-yyyy']]]),TRUE,(Tbl_ResidentData[[#This Row],[Discharge '[mmm-yyyy']]]&gt;=U$4)))))</f>
        <v>-</v>
      </c>
      <c r="V194" s="121" t="str">
        <f ca="1">IF(V$4&gt;NOW(),"-",IF(ISBLANK(Tbl_ResidentData[[#This Row],[Enrollment '[mmm-yyyy']]]),"-",AND((Tbl_ResidentData[[#This Row],[Enrollment '[mmm-yyyy']]]&lt;=V$4),IF(ISBLANK(Tbl_ResidentData[[#This Row],[Discharge '[mmm-yyyy']]]),TRUE,(Tbl_ResidentData[[#This Row],[Discharge '[mmm-yyyy']]]&gt;=V$4)))))</f>
        <v>-</v>
      </c>
      <c r="W194" s="121" t="str">
        <f ca="1">IF(W$4&gt;NOW(),"-",IF(ISBLANK(Tbl_ResidentData[[#This Row],[Enrollment '[mmm-yyyy']]]),"-",AND((Tbl_ResidentData[[#This Row],[Enrollment '[mmm-yyyy']]]&lt;=W$4),IF(ISBLANK(Tbl_ResidentData[[#This Row],[Discharge '[mmm-yyyy']]]),TRUE,(Tbl_ResidentData[[#This Row],[Discharge '[mmm-yyyy']]]&gt;=W$4)))))</f>
        <v>-</v>
      </c>
      <c r="X194" s="121" t="str">
        <f ca="1">IF(X$4&gt;NOW(),"-",IF(ISBLANK(Tbl_ResidentData[[#This Row],[Enrollment '[mmm-yyyy']]]),"-",AND((Tbl_ResidentData[[#This Row],[Enrollment '[mmm-yyyy']]]&lt;=X$4),IF(ISBLANK(Tbl_ResidentData[[#This Row],[Discharge '[mmm-yyyy']]]),TRUE,(Tbl_ResidentData[[#This Row],[Discharge '[mmm-yyyy']]]&gt;=X$4)))))</f>
        <v>-</v>
      </c>
      <c r="Y194" s="121" t="str">
        <f ca="1">IF(Y$4&gt;NOW(),"-",IF(ISBLANK(Tbl_ResidentData[[#This Row],[Enrollment '[mmm-yyyy']]]),"-",AND((Tbl_ResidentData[[#This Row],[Enrollment '[mmm-yyyy']]]&lt;=Y$4),IF(ISBLANK(Tbl_ResidentData[[#This Row],[Discharge '[mmm-yyyy']]]),TRUE,(Tbl_ResidentData[[#This Row],[Discharge '[mmm-yyyy']]]&gt;=Y$4)))))</f>
        <v>-</v>
      </c>
      <c r="Z194" s="121" t="str">
        <f ca="1">IF(Z$4&gt;NOW(),"-",IF(ISBLANK(Tbl_ResidentData[[#This Row],[Enrollment '[mmm-yyyy']]]),"-",AND((Tbl_ResidentData[[#This Row],[Enrollment '[mmm-yyyy']]]&lt;=Z$4),IF(ISBLANK(Tbl_ResidentData[[#This Row],[Discharge '[mmm-yyyy']]]),TRUE,(Tbl_ResidentData[[#This Row],[Discharge '[mmm-yyyy']]]&gt;=Z$4)))))</f>
        <v>-</v>
      </c>
      <c r="AA194" s="121" t="str">
        <f ca="1">IF(AA$4&gt;NOW(),"-",IF(ISBLANK(Tbl_ResidentData[[#This Row],[Enrollment '[mmm-yyyy']]]),"-",AND((Tbl_ResidentData[[#This Row],[Enrollment '[mmm-yyyy']]]&lt;=AA$4),IF(ISBLANK(Tbl_ResidentData[[#This Row],[Discharge '[mmm-yyyy']]]),TRUE,(Tbl_ResidentData[[#This Row],[Discharge '[mmm-yyyy']]]&gt;=AA$4)))))</f>
        <v>-</v>
      </c>
      <c r="AB194" s="121" t="str">
        <f ca="1">IF(AB$4&gt;NOW(),"-",IF(ISBLANK(Tbl_ResidentData[[#This Row],[Enrollment '[mmm-yyyy']]]),"-",AND((Tbl_ResidentData[[#This Row],[Enrollment '[mmm-yyyy']]]&lt;=AB$4),IF(ISBLANK(Tbl_ResidentData[[#This Row],[Discharge '[mmm-yyyy']]]),TRUE,(Tbl_ResidentData[[#This Row],[Discharge '[mmm-yyyy']]]&gt;=AB$4)))))</f>
        <v>-</v>
      </c>
      <c r="AC194" s="121" t="str">
        <f ca="1">IF(AC$4&gt;NOW(),"-",IF(ISBLANK(Tbl_ResidentData[[#This Row],[Enrollment '[mmm-yyyy']]]),"-",AND((Tbl_ResidentData[[#This Row],[Enrollment '[mmm-yyyy']]]&lt;=AC$4),IF(ISBLANK(Tbl_ResidentData[[#This Row],[Discharge '[mmm-yyyy']]]),TRUE,(Tbl_ResidentData[[#This Row],[Discharge '[mmm-yyyy']]]&gt;=AC$4)))))</f>
        <v>-</v>
      </c>
      <c r="AD194" s="121" t="str">
        <f ca="1">IF(AD$4&gt;NOW(),"-",IF(ISBLANK(Tbl_ResidentData[[#This Row],[Enrollment '[mmm-yyyy']]]),"-",AND((Tbl_ResidentData[[#This Row],[Enrollment '[mmm-yyyy']]]&lt;=AD$4),IF(ISBLANK(Tbl_ResidentData[[#This Row],[Discharge '[mmm-yyyy']]]),TRUE,(Tbl_ResidentData[[#This Row],[Discharge '[mmm-yyyy']]]&gt;=AD$4)))))</f>
        <v>-</v>
      </c>
      <c r="AE194" s="121" t="str">
        <f ca="1">IF(AE$4&gt;NOW(),"-",IF(ISBLANK(Tbl_ResidentData[[#This Row],[Enrollment '[mmm-yyyy']]]),"-",AND((Tbl_ResidentData[[#This Row],[Enrollment '[mmm-yyyy']]]&lt;=AE$4),IF(ISBLANK(Tbl_ResidentData[[#This Row],[Discharge '[mmm-yyyy']]]),TRUE,(Tbl_ResidentData[[#This Row],[Discharge '[mmm-yyyy']]]&gt;=AE$4)))))</f>
        <v>-</v>
      </c>
      <c r="AF194" s="121" t="str">
        <f ca="1">IF(AF$4&gt;NOW(),"-",IF(ISBLANK(Tbl_ResidentData[[#This Row],[Enrollment '[mmm-yyyy']]]),"-",AND((Tbl_ResidentData[[#This Row],[Enrollment '[mmm-yyyy']]]&lt;=AF$4),IF(ISBLANK(Tbl_ResidentData[[#This Row],[Discharge '[mmm-yyyy']]]),TRUE,(Tbl_ResidentData[[#This Row],[Discharge '[mmm-yyyy']]]&gt;=AF$4)))))</f>
        <v>-</v>
      </c>
      <c r="AG194" s="121" t="str">
        <f ca="1">IF(AG$4&gt;NOW(),"-",IF(ISBLANK(Tbl_ResidentData[[#This Row],[Enrollment '[mmm-yyyy']]]),"-",AND((Tbl_ResidentData[[#This Row],[Enrollment '[mmm-yyyy']]]&lt;=AG$4),IF(ISBLANK(Tbl_ResidentData[[#This Row],[Discharge '[mmm-yyyy']]]),TRUE,(Tbl_ResidentData[[#This Row],[Discharge '[mmm-yyyy']]]&gt;=AG$4)))))</f>
        <v>-</v>
      </c>
      <c r="AH194" s="121" t="str">
        <f ca="1">IF(AH$4&gt;NOW(),"-",IF(ISBLANK(Tbl_ResidentData[[#This Row],[Enrollment '[mmm-yyyy']]]),"-",AND((Tbl_ResidentData[[#This Row],[Enrollment '[mmm-yyyy']]]&lt;=AH$4),IF(ISBLANK(Tbl_ResidentData[[#This Row],[Discharge '[mmm-yyyy']]]),TRUE,(Tbl_ResidentData[[#This Row],[Discharge '[mmm-yyyy']]]&gt;=AH$4)))))</f>
        <v>-</v>
      </c>
      <c r="AI194" s="121" t="str">
        <f ca="1">IF(AI$4&gt;NOW(),"-",IF(ISBLANK(Tbl_ResidentData[[#This Row],[Enrollment '[mmm-yyyy']]]),"-",AND((Tbl_ResidentData[[#This Row],[Enrollment '[mmm-yyyy']]]&lt;=AI$4),IF(ISBLANK(Tbl_ResidentData[[#This Row],[Discharge '[mmm-yyyy']]]),TRUE,(Tbl_ResidentData[[#This Row],[Discharge '[mmm-yyyy']]]&gt;=AI$4)))))</f>
        <v>-</v>
      </c>
      <c r="AJ194" s="121" t="str">
        <f ca="1">IF(AJ$4&gt;NOW(),"-",IF(ISBLANK(Tbl_ResidentData[[#This Row],[Enrollment '[mmm-yyyy']]]),"-",AND((Tbl_ResidentData[[#This Row],[Enrollment '[mmm-yyyy']]]&lt;=AJ$4),IF(ISBLANK(Tbl_ResidentData[[#This Row],[Discharge '[mmm-yyyy']]]),TRUE,(Tbl_ResidentData[[#This Row],[Discharge '[mmm-yyyy']]]&gt;=AJ$4)))))</f>
        <v>-</v>
      </c>
      <c r="AK194" s="121" t="str">
        <f ca="1">IF(AK$4&gt;NOW(),"-",IF(ISBLANK(Tbl_ResidentData[[#This Row],[Enrollment '[mmm-yyyy']]]),"-",AND((Tbl_ResidentData[[#This Row],[Enrollment '[mmm-yyyy']]]&lt;=AK$4),IF(ISBLANK(Tbl_ResidentData[[#This Row],[Discharge '[mmm-yyyy']]]),TRUE,(Tbl_ResidentData[[#This Row],[Discharge '[mmm-yyyy']]]&gt;=AK$4)))))</f>
        <v>-</v>
      </c>
      <c r="AL194" s="121" t="str">
        <f ca="1">IF(AL$4&gt;NOW(),"-",IF(ISBLANK(Tbl_ResidentData[[#This Row],[Enrollment '[mmm-yyyy']]]),"-",AND((Tbl_ResidentData[[#This Row],[Enrollment '[mmm-yyyy']]]&lt;=AL$4),IF(ISBLANK(Tbl_ResidentData[[#This Row],[Discharge '[mmm-yyyy']]]),TRUE,(Tbl_ResidentData[[#This Row],[Discharge '[mmm-yyyy']]]&gt;=AL$4)))))</f>
        <v>-</v>
      </c>
      <c r="AM194" s="121" t="str">
        <f ca="1">IF(AM$4&gt;NOW(),"-",IF(ISBLANK(Tbl_ResidentData[[#This Row],[Enrollment '[mmm-yyyy']]]),"-",AND((Tbl_ResidentData[[#This Row],[Enrollment '[mmm-yyyy']]]&lt;=AM$4),IF(ISBLANK(Tbl_ResidentData[[#This Row],[Discharge '[mmm-yyyy']]]),TRUE,(Tbl_ResidentData[[#This Row],[Discharge '[mmm-yyyy']]]&gt;=AM$4)))))</f>
        <v>-</v>
      </c>
      <c r="AN194" s="121" t="str">
        <f ca="1">IF(AN$4&gt;NOW(),"-",IF(ISBLANK(Tbl_ResidentData[[#This Row],[Enrollment '[mmm-yyyy']]]),"-",AND((Tbl_ResidentData[[#This Row],[Enrollment '[mmm-yyyy']]]&lt;=AN$4),IF(ISBLANK(Tbl_ResidentData[[#This Row],[Discharge '[mmm-yyyy']]]),TRUE,(Tbl_ResidentData[[#This Row],[Discharge '[mmm-yyyy']]]&gt;=AN$4)))))</f>
        <v>-</v>
      </c>
      <c r="AO194" s="121" t="str">
        <f ca="1">IF(AO$4&gt;NOW(),"-",IF(ISBLANK(Tbl_ResidentData[[#This Row],[Enrollment '[mmm-yyyy']]]),"-",AND((Tbl_ResidentData[[#This Row],[Enrollment '[mmm-yyyy']]]&lt;=AO$4),IF(ISBLANK(Tbl_ResidentData[[#This Row],[Discharge '[mmm-yyyy']]]),TRUE,(Tbl_ResidentData[[#This Row],[Discharge '[mmm-yyyy']]]&gt;=AO$4)))))</f>
        <v>-</v>
      </c>
      <c r="AP194" s="121" t="str">
        <f ca="1">IF(AP$4&gt;NOW(),"-",IF(ISBLANK(Tbl_ResidentData[[#This Row],[Enrollment '[mmm-yyyy']]]),"-",AND((Tbl_ResidentData[[#This Row],[Enrollment '[mmm-yyyy']]]&lt;=AP$4),IF(ISBLANK(Tbl_ResidentData[[#This Row],[Discharge '[mmm-yyyy']]]),TRUE,(Tbl_ResidentData[[#This Row],[Discharge '[mmm-yyyy']]]&gt;=AP$4)))))</f>
        <v>-</v>
      </c>
      <c r="AQ194" s="121" t="str">
        <f ca="1">IF(AQ$4&gt;NOW(),"-",IF(ISBLANK(Tbl_ResidentData[[#This Row],[Enrollment '[mmm-yyyy']]]),"-",AND((Tbl_ResidentData[[#This Row],[Enrollment '[mmm-yyyy']]]&lt;=AQ$4),IF(ISBLANK(Tbl_ResidentData[[#This Row],[Discharge '[mmm-yyyy']]]),TRUE,(Tbl_ResidentData[[#This Row],[Discharge '[mmm-yyyy']]]&gt;=AQ$4)))))</f>
        <v>-</v>
      </c>
      <c r="AR194" s="122" t="str">
        <f ca="1">IF(AR$4&gt;NOW(),"-",IF(ISBLANK(Tbl_ResidentData[[#This Row],[Enrollment '[mmm-yyyy']]]),"-",AND((Tbl_ResidentData[[#This Row],[Enrollment '[mmm-yyyy']]]&lt;=AR$4),IF(ISBLANK(Tbl_ResidentData[[#This Row],[Discharge '[mmm-yyyy']]]),TRUE,(Tbl_ResidentData[[#This Row],[Discharge '[mmm-yyyy']]]&gt;=AR$4)))))</f>
        <v>-</v>
      </c>
      <c r="AS19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4" s="120" t="b">
        <f ca="1">AND(Tbl_ResidentData[[#This Row],[PRN Med Started]]&lt;&gt;"",Tbl_ResidentData[[#This Row],[PRN Med Started]]&lt;=NOW(),Tbl_ResidentData[[#This Row],[PRN Med Started]]&lt;=AS$4,OR(Tbl_ResidentData[[#This Row],[PRN Med Discontinued]]&gt;AS$4,ISBLANK(Tbl_ResidentData[[#This Row],[PRN Med Discontinued]])))</f>
        <v>0</v>
      </c>
      <c r="BR194" s="121" t="b">
        <f ca="1">AND(Tbl_ResidentData[[#This Row],[PRN Med Started]]&lt;&gt;"",Tbl_ResidentData[[#This Row],[PRN Med Started]]&lt;=NOW(),Tbl_ResidentData[[#This Row],[PRN Med Started]]&lt;=AT$4,OR(Tbl_ResidentData[[#This Row],[PRN Med Discontinued]]&gt;AT$4,ISBLANK(Tbl_ResidentData[[#This Row],[PRN Med Discontinued]])))</f>
        <v>0</v>
      </c>
      <c r="BS194" s="121" t="b">
        <f ca="1">AND(Tbl_ResidentData[[#This Row],[PRN Med Started]]&lt;&gt;"",Tbl_ResidentData[[#This Row],[PRN Med Started]]&lt;=NOW(),Tbl_ResidentData[[#This Row],[PRN Med Started]]&lt;=AU$4,OR(Tbl_ResidentData[[#This Row],[PRN Med Discontinued]]&gt;AU$4,ISBLANK(Tbl_ResidentData[[#This Row],[PRN Med Discontinued]])))</f>
        <v>0</v>
      </c>
      <c r="BT194" s="121" t="b">
        <f ca="1">AND(Tbl_ResidentData[[#This Row],[PRN Med Started]]&lt;&gt;"",Tbl_ResidentData[[#This Row],[PRN Med Started]]&lt;=NOW(),Tbl_ResidentData[[#This Row],[PRN Med Started]]&lt;=AV$4,OR(Tbl_ResidentData[[#This Row],[PRN Med Discontinued]]&gt;AV$4,ISBLANK(Tbl_ResidentData[[#This Row],[PRN Med Discontinued]])))</f>
        <v>0</v>
      </c>
      <c r="BU194" s="121" t="b">
        <f ca="1">AND(Tbl_ResidentData[[#This Row],[PRN Med Started]]&lt;&gt;"",Tbl_ResidentData[[#This Row],[PRN Med Started]]&lt;=NOW(),Tbl_ResidentData[[#This Row],[PRN Med Started]]&lt;=AW$4,OR(Tbl_ResidentData[[#This Row],[PRN Med Discontinued]]&gt;AW$4,ISBLANK(Tbl_ResidentData[[#This Row],[PRN Med Discontinued]])))</f>
        <v>0</v>
      </c>
      <c r="BV194" s="121" t="b">
        <f ca="1">AND(Tbl_ResidentData[[#This Row],[PRN Med Started]]&lt;&gt;"",Tbl_ResidentData[[#This Row],[PRN Med Started]]&lt;=NOW(),Tbl_ResidentData[[#This Row],[PRN Med Started]]&lt;=AX$4,OR(Tbl_ResidentData[[#This Row],[PRN Med Discontinued]]&gt;AX$4,ISBLANK(Tbl_ResidentData[[#This Row],[PRN Med Discontinued]])))</f>
        <v>0</v>
      </c>
      <c r="BW194" s="121" t="b">
        <f ca="1">AND(Tbl_ResidentData[[#This Row],[PRN Med Started]]&lt;&gt;"",Tbl_ResidentData[[#This Row],[PRN Med Started]]&lt;=NOW(),Tbl_ResidentData[[#This Row],[PRN Med Started]]&lt;=AY$4,OR(Tbl_ResidentData[[#This Row],[PRN Med Discontinued]]&gt;AY$4,ISBLANK(Tbl_ResidentData[[#This Row],[PRN Med Discontinued]])))</f>
        <v>0</v>
      </c>
      <c r="BX194" s="121" t="b">
        <f ca="1">AND(Tbl_ResidentData[[#This Row],[PRN Med Started]]&lt;&gt;"",Tbl_ResidentData[[#This Row],[PRN Med Started]]&lt;=NOW(),Tbl_ResidentData[[#This Row],[PRN Med Started]]&lt;=AZ$4,OR(Tbl_ResidentData[[#This Row],[PRN Med Discontinued]]&gt;AZ$4,ISBLANK(Tbl_ResidentData[[#This Row],[PRN Med Discontinued]])))</f>
        <v>0</v>
      </c>
      <c r="BY194" s="121" t="b">
        <f ca="1">AND(Tbl_ResidentData[[#This Row],[PRN Med Started]]&lt;&gt;"",Tbl_ResidentData[[#This Row],[PRN Med Started]]&lt;=NOW(),Tbl_ResidentData[[#This Row],[PRN Med Started]]&lt;=BA$4,OR(Tbl_ResidentData[[#This Row],[PRN Med Discontinued]]&gt;BA$4,ISBLANK(Tbl_ResidentData[[#This Row],[PRN Med Discontinued]])))</f>
        <v>0</v>
      </c>
      <c r="BZ194" s="121" t="b">
        <f ca="1">AND(Tbl_ResidentData[[#This Row],[PRN Med Started]]&lt;&gt;"",Tbl_ResidentData[[#This Row],[PRN Med Started]]&lt;=NOW(),Tbl_ResidentData[[#This Row],[PRN Med Started]]&lt;=BB$4,OR(Tbl_ResidentData[[#This Row],[PRN Med Discontinued]]&gt;BB$4,ISBLANK(Tbl_ResidentData[[#This Row],[PRN Med Discontinued]])))</f>
        <v>0</v>
      </c>
      <c r="CA194" s="121" t="b">
        <f ca="1">AND(Tbl_ResidentData[[#This Row],[PRN Med Started]]&lt;&gt;"",Tbl_ResidentData[[#This Row],[PRN Med Started]]&lt;=NOW(),Tbl_ResidentData[[#This Row],[PRN Med Started]]&lt;=BC$4,OR(Tbl_ResidentData[[#This Row],[PRN Med Discontinued]]&gt;BC$4,ISBLANK(Tbl_ResidentData[[#This Row],[PRN Med Discontinued]])))</f>
        <v>0</v>
      </c>
      <c r="CB194" s="121" t="b">
        <f ca="1">AND(Tbl_ResidentData[[#This Row],[PRN Med Started]]&lt;&gt;"",Tbl_ResidentData[[#This Row],[PRN Med Started]]&lt;=NOW(),Tbl_ResidentData[[#This Row],[PRN Med Started]]&lt;=BD$4,OR(Tbl_ResidentData[[#This Row],[PRN Med Discontinued]]&gt;BD$4,ISBLANK(Tbl_ResidentData[[#This Row],[PRN Med Discontinued]])))</f>
        <v>0</v>
      </c>
      <c r="CC194" s="121" t="b">
        <f ca="1">AND(Tbl_ResidentData[[#This Row],[PRN Med Started]]&lt;&gt;"",Tbl_ResidentData[[#This Row],[PRN Med Started]]&lt;=NOW(),Tbl_ResidentData[[#This Row],[PRN Med Started]]&lt;=BE$4,OR(Tbl_ResidentData[[#This Row],[PRN Med Discontinued]]&gt;BE$4,ISBLANK(Tbl_ResidentData[[#This Row],[PRN Med Discontinued]])))</f>
        <v>0</v>
      </c>
      <c r="CD194" s="121" t="b">
        <f ca="1">AND(Tbl_ResidentData[[#This Row],[PRN Med Started]]&lt;&gt;"",Tbl_ResidentData[[#This Row],[PRN Med Started]]&lt;=NOW(),Tbl_ResidentData[[#This Row],[PRN Med Started]]&lt;=BF$4,OR(Tbl_ResidentData[[#This Row],[PRN Med Discontinued]]&gt;BF$4,ISBLANK(Tbl_ResidentData[[#This Row],[PRN Med Discontinued]])))</f>
        <v>0</v>
      </c>
      <c r="CE194" s="121" t="b">
        <f ca="1">AND(Tbl_ResidentData[[#This Row],[PRN Med Started]]&lt;&gt;"",Tbl_ResidentData[[#This Row],[PRN Med Started]]&lt;=NOW(),Tbl_ResidentData[[#This Row],[PRN Med Started]]&lt;=BG$4,OR(Tbl_ResidentData[[#This Row],[PRN Med Discontinued]]&gt;BG$4,ISBLANK(Tbl_ResidentData[[#This Row],[PRN Med Discontinued]])))</f>
        <v>0</v>
      </c>
      <c r="CF194" s="121" t="b">
        <f ca="1">AND(Tbl_ResidentData[[#This Row],[PRN Med Started]]&lt;&gt;"",Tbl_ResidentData[[#This Row],[PRN Med Started]]&lt;=NOW(),Tbl_ResidentData[[#This Row],[PRN Med Started]]&lt;=BH$4,OR(Tbl_ResidentData[[#This Row],[PRN Med Discontinued]]&gt;BH$4,ISBLANK(Tbl_ResidentData[[#This Row],[PRN Med Discontinued]])))</f>
        <v>0</v>
      </c>
      <c r="CG194" s="121" t="b">
        <f ca="1">AND(Tbl_ResidentData[[#This Row],[PRN Med Started]]&lt;&gt;"",Tbl_ResidentData[[#This Row],[PRN Med Started]]&lt;=NOW(),Tbl_ResidentData[[#This Row],[PRN Med Started]]&lt;=BI$4,OR(Tbl_ResidentData[[#This Row],[PRN Med Discontinued]]&gt;BI$4,ISBLANK(Tbl_ResidentData[[#This Row],[PRN Med Discontinued]])))</f>
        <v>0</v>
      </c>
      <c r="CH194" s="121" t="b">
        <f ca="1">AND(Tbl_ResidentData[[#This Row],[PRN Med Started]]&lt;&gt;"",Tbl_ResidentData[[#This Row],[PRN Med Started]]&lt;=NOW(),Tbl_ResidentData[[#This Row],[PRN Med Started]]&lt;=BJ$4,OR(Tbl_ResidentData[[#This Row],[PRN Med Discontinued]]&gt;BJ$4,ISBLANK(Tbl_ResidentData[[#This Row],[PRN Med Discontinued]])))</f>
        <v>0</v>
      </c>
      <c r="CI194" s="121" t="b">
        <f ca="1">AND(Tbl_ResidentData[[#This Row],[PRN Med Started]]&lt;&gt;"",Tbl_ResidentData[[#This Row],[PRN Med Started]]&lt;=NOW(),Tbl_ResidentData[[#This Row],[PRN Med Started]]&lt;=BK$4,OR(Tbl_ResidentData[[#This Row],[PRN Med Discontinued]]&gt;BK$4,ISBLANK(Tbl_ResidentData[[#This Row],[PRN Med Discontinued]])))</f>
        <v>0</v>
      </c>
      <c r="CJ194" s="121" t="b">
        <f ca="1">AND(Tbl_ResidentData[[#This Row],[PRN Med Started]]&lt;&gt;"",Tbl_ResidentData[[#This Row],[PRN Med Started]]&lt;=NOW(),Tbl_ResidentData[[#This Row],[PRN Med Started]]&lt;=BL$4,OR(Tbl_ResidentData[[#This Row],[PRN Med Discontinued]]&gt;BL$4,ISBLANK(Tbl_ResidentData[[#This Row],[PRN Med Discontinued]])))</f>
        <v>0</v>
      </c>
      <c r="CK194" s="121" t="b">
        <f ca="1">AND(Tbl_ResidentData[[#This Row],[PRN Med Started]]&lt;&gt;"",Tbl_ResidentData[[#This Row],[PRN Med Started]]&lt;=NOW(),Tbl_ResidentData[[#This Row],[PRN Med Started]]&lt;=BM$4,OR(Tbl_ResidentData[[#This Row],[PRN Med Discontinued]]&gt;BM$4,ISBLANK(Tbl_ResidentData[[#This Row],[PRN Med Discontinued]])))</f>
        <v>0</v>
      </c>
      <c r="CL194" s="121" t="b">
        <f ca="1">AND(Tbl_ResidentData[[#This Row],[PRN Med Started]]&lt;&gt;"",Tbl_ResidentData[[#This Row],[PRN Med Started]]&lt;=NOW(),Tbl_ResidentData[[#This Row],[PRN Med Started]]&lt;=BN$4,OR(Tbl_ResidentData[[#This Row],[PRN Med Discontinued]]&gt;BN$4,ISBLANK(Tbl_ResidentData[[#This Row],[PRN Med Discontinued]])))</f>
        <v>0</v>
      </c>
      <c r="CM194" s="121" t="b">
        <f ca="1">AND(Tbl_ResidentData[[#This Row],[PRN Med Started]]&lt;&gt;"",Tbl_ResidentData[[#This Row],[PRN Med Started]]&lt;=NOW(),Tbl_ResidentData[[#This Row],[PRN Med Started]]&lt;=BO$4,OR(Tbl_ResidentData[[#This Row],[PRN Med Discontinued]]&gt;BO$4,ISBLANK(Tbl_ResidentData[[#This Row],[PRN Med Discontinued]])))</f>
        <v>0</v>
      </c>
      <c r="CN194" s="122" t="b">
        <f ca="1">AND(Tbl_ResidentData[[#This Row],[PRN Med Started]]&lt;&gt;"",Tbl_ResidentData[[#This Row],[PRN Med Started]]&lt;=NOW(),Tbl_ResidentData[[#This Row],[PRN Med Started]]&lt;=BP$4,OR(Tbl_ResidentData[[#This Row],[PRN Med Discontinued]]&gt;BP$4,ISBLANK(Tbl_ResidentData[[#This Row],[PRN Med Discontinued]])))</f>
        <v>0</v>
      </c>
      <c r="CO194" s="120">
        <f ca="1">IF(OR(Tbl_ResidentData[[#This Row],[S1]]=TRUE,Tbl_ResidentData[[#This Row],[P1]]=TRUE),1,0)</f>
        <v>0</v>
      </c>
      <c r="CP194" s="121">
        <f ca="1">IF(OR(Tbl_ResidentData[[#This Row],[S2]]=TRUE,Tbl_ResidentData[[#This Row],[P2]]=TRUE),1,0)</f>
        <v>0</v>
      </c>
      <c r="CQ194" s="121">
        <f ca="1">IF(OR(Tbl_ResidentData[[#This Row],[S3]]=TRUE,Tbl_ResidentData[[#This Row],[P3]]=TRUE),1,0)</f>
        <v>0</v>
      </c>
      <c r="CR194" s="120">
        <f ca="1">IF(OR(Tbl_ResidentData[[#This Row],[S4]]=TRUE,Tbl_ResidentData[[#This Row],[P4]]=TRUE),1,0)</f>
        <v>0</v>
      </c>
      <c r="CS194" s="120">
        <f ca="1">IF(OR(Tbl_ResidentData[[#This Row],[S5]]=TRUE,Tbl_ResidentData[[#This Row],[P5]]=TRUE),1,0)</f>
        <v>0</v>
      </c>
      <c r="CT194" s="120">
        <f ca="1">IF(OR(Tbl_ResidentData[[#This Row],[S6]]=TRUE,Tbl_ResidentData[[#This Row],[P6]]=TRUE),1,0)</f>
        <v>0</v>
      </c>
      <c r="CU194" s="120">
        <f ca="1">IF(OR(Tbl_ResidentData[[#This Row],[S7]]=TRUE,Tbl_ResidentData[[#This Row],[P7]]=TRUE),1,0)</f>
        <v>0</v>
      </c>
      <c r="CV194" s="120">
        <f ca="1">IF(OR(Tbl_ResidentData[[#This Row],[S8]]=TRUE,Tbl_ResidentData[[#This Row],[P8]]=TRUE),1,0)</f>
        <v>0</v>
      </c>
      <c r="CW194" s="120">
        <f ca="1">IF(OR(Tbl_ResidentData[[#This Row],[S9]]=TRUE,Tbl_ResidentData[[#This Row],[P9]]=TRUE),1,0)</f>
        <v>0</v>
      </c>
      <c r="CX194" s="120">
        <f ca="1">IF(OR(Tbl_ResidentData[[#This Row],[S10]]=TRUE,Tbl_ResidentData[[#This Row],[P10]]=TRUE),1,0)</f>
        <v>0</v>
      </c>
      <c r="CY194" s="120">
        <f ca="1">IF(OR(Tbl_ResidentData[[#This Row],[S11]]=TRUE,Tbl_ResidentData[[#This Row],[P11]]=TRUE),1,0)</f>
        <v>0</v>
      </c>
      <c r="CZ194" s="120">
        <f ca="1">IF(OR(Tbl_ResidentData[[#This Row],[S12]]=TRUE,Tbl_ResidentData[[#This Row],[P12]]=TRUE),1,0)</f>
        <v>0</v>
      </c>
      <c r="DA194" s="120">
        <f ca="1">IF(OR(Tbl_ResidentData[[#This Row],[S13]]=TRUE,Tbl_ResidentData[[#This Row],[P13]]=TRUE),1,0)</f>
        <v>0</v>
      </c>
      <c r="DB194" s="120">
        <f ca="1">IF(OR(Tbl_ResidentData[[#This Row],[S14]]=TRUE,Tbl_ResidentData[[#This Row],[P14]]=TRUE),1,0)</f>
        <v>0</v>
      </c>
      <c r="DC194" s="120">
        <f ca="1">IF(OR(Tbl_ResidentData[[#This Row],[S15]]=TRUE,Tbl_ResidentData[[#This Row],[P15]]=TRUE),1,0)</f>
        <v>0</v>
      </c>
      <c r="DD194" s="120">
        <f ca="1">IF(OR(Tbl_ResidentData[[#This Row],[S16]]=TRUE,Tbl_ResidentData[[#This Row],[P16]]=TRUE),1,0)</f>
        <v>0</v>
      </c>
      <c r="DE194" s="120">
        <f ca="1">IF(OR(Tbl_ResidentData[[#This Row],[S17]]=TRUE,Tbl_ResidentData[[#This Row],[P17]]=TRUE),1,0)</f>
        <v>0</v>
      </c>
      <c r="DF194" s="120">
        <f ca="1">IF(OR(Tbl_ResidentData[[#This Row],[S18]]=TRUE,Tbl_ResidentData[[#This Row],[P18]]=TRUE),1,0)</f>
        <v>0</v>
      </c>
      <c r="DG194" s="120">
        <f ca="1">IF(OR(Tbl_ResidentData[[#This Row],[S19]]=TRUE,Tbl_ResidentData[[#This Row],[P19]]=TRUE),1,0)</f>
        <v>0</v>
      </c>
      <c r="DH194" s="120">
        <f ca="1">IF(OR(Tbl_ResidentData[[#This Row],[S20]]=TRUE,Tbl_ResidentData[[#This Row],[P20]]=TRUE),1,0)</f>
        <v>0</v>
      </c>
      <c r="DI194" s="120">
        <f ca="1">IF(OR(Tbl_ResidentData[[#This Row],[S21]]=TRUE,Tbl_ResidentData[[#This Row],[P21]]=TRUE),1,0)</f>
        <v>0</v>
      </c>
      <c r="DJ194" s="120">
        <f ca="1">IF(OR(Tbl_ResidentData[[#This Row],[S22]]=TRUE,Tbl_ResidentData[[#This Row],[P22]]=TRUE),1,0)</f>
        <v>0</v>
      </c>
      <c r="DK194" s="120">
        <f ca="1">IF(OR(Tbl_ResidentData[[#This Row],[S23]]=TRUE,Tbl_ResidentData[[#This Row],[P23]]=TRUE),1,0)</f>
        <v>0</v>
      </c>
      <c r="DL194" s="120">
        <f ca="1">IF(OR(Tbl_ResidentData[[#This Row],[S24]]=TRUE,Tbl_ResidentData[[#This Row],[P24]]=TRUE),1,0)</f>
        <v>0</v>
      </c>
      <c r="DM194" s="123" t="str">
        <f ca="1">IFERROR(INDEX($CO$4:$DL$4,MATCH(TRUE,INDEX((Tbl_ResidentData[[#This Row],[Over1]:[Over24]]&lt;&gt;0),0),0)),"")</f>
        <v/>
      </c>
      <c r="DN194" s="133" t="str">
        <f>IFERROR(INDEX(Tbl_PDSAData[Last DRT],MATCH(Tbl_ResidentData[Resident Name '[last, first']],Tbl_PDSAData[Resident Name (last, first)],0)),"")</f>
        <v/>
      </c>
      <c r="DO194" s="222" t="str">
        <f>IFERROR(INDEX(Tbl_PDSAData[Last MR],MATCH(Tbl_ResidentData[Resident Name '[last, first']],Tbl_PDSAData[Resident Name (last, first)],0)),"")</f>
        <v/>
      </c>
    </row>
    <row r="195" spans="1:119" x14ac:dyDescent="0.25">
      <c r="A195" s="179"/>
      <c r="B195" s="180"/>
      <c r="C195" s="180"/>
      <c r="D195" s="218"/>
      <c r="E195" s="179"/>
      <c r="F195" s="179"/>
      <c r="G195" s="181"/>
      <c r="H195" s="182"/>
      <c r="I195" s="185"/>
      <c r="J195" s="387"/>
      <c r="K195" s="178"/>
      <c r="L195" s="388"/>
      <c r="M195" s="185"/>
      <c r="N195" s="386"/>
      <c r="O195" s="178"/>
      <c r="P195" s="388"/>
      <c r="Q195" s="395"/>
      <c r="R195" s="396"/>
      <c r="S195" s="131" t="str">
        <f>IF(ISBLANK(Tbl_ResidentData[[#This Row],[Discharge '[mmm-yyyy']]]),IF(ISBLANK(Tbl_ResidentData[[#This Row],[Enrollment '[mmm-yyyy']]]),"","In Care Home"),"Discharged")</f>
        <v/>
      </c>
      <c r="T195" s="119" t="str">
        <f>IF(ISBLANK(Tbl_ResidentData[[#This Row],[Diagnosis (RAI)]]),IF(ISBLANK(Tbl_ResidentData[[#This Row],[Resident Name '[last, first']]]),"",0),IF(Tbl_ResidentData[[#This Row],[Diagnosis (RAI)]]="Other (see clinical notes)",0,1))</f>
        <v/>
      </c>
      <c r="U195" s="120" t="str">
        <f ca="1">IF(U$4&gt;NOW(),"-",IF(ISBLANK(Tbl_ResidentData[[#This Row],[Enrollment '[mmm-yyyy']]]),"-",AND((Tbl_ResidentData[[#This Row],[Enrollment '[mmm-yyyy']]]&lt;=U$4),IF(ISBLANK(Tbl_ResidentData[[#This Row],[Discharge '[mmm-yyyy']]]),TRUE,(Tbl_ResidentData[[#This Row],[Discharge '[mmm-yyyy']]]&gt;=U$4)))))</f>
        <v>-</v>
      </c>
      <c r="V195" s="121" t="str">
        <f ca="1">IF(V$4&gt;NOW(),"-",IF(ISBLANK(Tbl_ResidentData[[#This Row],[Enrollment '[mmm-yyyy']]]),"-",AND((Tbl_ResidentData[[#This Row],[Enrollment '[mmm-yyyy']]]&lt;=V$4),IF(ISBLANK(Tbl_ResidentData[[#This Row],[Discharge '[mmm-yyyy']]]),TRUE,(Tbl_ResidentData[[#This Row],[Discharge '[mmm-yyyy']]]&gt;=V$4)))))</f>
        <v>-</v>
      </c>
      <c r="W195" s="121" t="str">
        <f ca="1">IF(W$4&gt;NOW(),"-",IF(ISBLANK(Tbl_ResidentData[[#This Row],[Enrollment '[mmm-yyyy']]]),"-",AND((Tbl_ResidentData[[#This Row],[Enrollment '[mmm-yyyy']]]&lt;=W$4),IF(ISBLANK(Tbl_ResidentData[[#This Row],[Discharge '[mmm-yyyy']]]),TRUE,(Tbl_ResidentData[[#This Row],[Discharge '[mmm-yyyy']]]&gt;=W$4)))))</f>
        <v>-</v>
      </c>
      <c r="X195" s="121" t="str">
        <f ca="1">IF(X$4&gt;NOW(),"-",IF(ISBLANK(Tbl_ResidentData[[#This Row],[Enrollment '[mmm-yyyy']]]),"-",AND((Tbl_ResidentData[[#This Row],[Enrollment '[mmm-yyyy']]]&lt;=X$4),IF(ISBLANK(Tbl_ResidentData[[#This Row],[Discharge '[mmm-yyyy']]]),TRUE,(Tbl_ResidentData[[#This Row],[Discharge '[mmm-yyyy']]]&gt;=X$4)))))</f>
        <v>-</v>
      </c>
      <c r="Y195" s="121" t="str">
        <f ca="1">IF(Y$4&gt;NOW(),"-",IF(ISBLANK(Tbl_ResidentData[[#This Row],[Enrollment '[mmm-yyyy']]]),"-",AND((Tbl_ResidentData[[#This Row],[Enrollment '[mmm-yyyy']]]&lt;=Y$4),IF(ISBLANK(Tbl_ResidentData[[#This Row],[Discharge '[mmm-yyyy']]]),TRUE,(Tbl_ResidentData[[#This Row],[Discharge '[mmm-yyyy']]]&gt;=Y$4)))))</f>
        <v>-</v>
      </c>
      <c r="Z195" s="121" t="str">
        <f ca="1">IF(Z$4&gt;NOW(),"-",IF(ISBLANK(Tbl_ResidentData[[#This Row],[Enrollment '[mmm-yyyy']]]),"-",AND((Tbl_ResidentData[[#This Row],[Enrollment '[mmm-yyyy']]]&lt;=Z$4),IF(ISBLANK(Tbl_ResidentData[[#This Row],[Discharge '[mmm-yyyy']]]),TRUE,(Tbl_ResidentData[[#This Row],[Discharge '[mmm-yyyy']]]&gt;=Z$4)))))</f>
        <v>-</v>
      </c>
      <c r="AA195" s="121" t="str">
        <f ca="1">IF(AA$4&gt;NOW(),"-",IF(ISBLANK(Tbl_ResidentData[[#This Row],[Enrollment '[mmm-yyyy']]]),"-",AND((Tbl_ResidentData[[#This Row],[Enrollment '[mmm-yyyy']]]&lt;=AA$4),IF(ISBLANK(Tbl_ResidentData[[#This Row],[Discharge '[mmm-yyyy']]]),TRUE,(Tbl_ResidentData[[#This Row],[Discharge '[mmm-yyyy']]]&gt;=AA$4)))))</f>
        <v>-</v>
      </c>
      <c r="AB195" s="121" t="str">
        <f ca="1">IF(AB$4&gt;NOW(),"-",IF(ISBLANK(Tbl_ResidentData[[#This Row],[Enrollment '[mmm-yyyy']]]),"-",AND((Tbl_ResidentData[[#This Row],[Enrollment '[mmm-yyyy']]]&lt;=AB$4),IF(ISBLANK(Tbl_ResidentData[[#This Row],[Discharge '[mmm-yyyy']]]),TRUE,(Tbl_ResidentData[[#This Row],[Discharge '[mmm-yyyy']]]&gt;=AB$4)))))</f>
        <v>-</v>
      </c>
      <c r="AC195" s="121" t="str">
        <f ca="1">IF(AC$4&gt;NOW(),"-",IF(ISBLANK(Tbl_ResidentData[[#This Row],[Enrollment '[mmm-yyyy']]]),"-",AND((Tbl_ResidentData[[#This Row],[Enrollment '[mmm-yyyy']]]&lt;=AC$4),IF(ISBLANK(Tbl_ResidentData[[#This Row],[Discharge '[mmm-yyyy']]]),TRUE,(Tbl_ResidentData[[#This Row],[Discharge '[mmm-yyyy']]]&gt;=AC$4)))))</f>
        <v>-</v>
      </c>
      <c r="AD195" s="121" t="str">
        <f ca="1">IF(AD$4&gt;NOW(),"-",IF(ISBLANK(Tbl_ResidentData[[#This Row],[Enrollment '[mmm-yyyy']]]),"-",AND((Tbl_ResidentData[[#This Row],[Enrollment '[mmm-yyyy']]]&lt;=AD$4),IF(ISBLANK(Tbl_ResidentData[[#This Row],[Discharge '[mmm-yyyy']]]),TRUE,(Tbl_ResidentData[[#This Row],[Discharge '[mmm-yyyy']]]&gt;=AD$4)))))</f>
        <v>-</v>
      </c>
      <c r="AE195" s="121" t="str">
        <f ca="1">IF(AE$4&gt;NOW(),"-",IF(ISBLANK(Tbl_ResidentData[[#This Row],[Enrollment '[mmm-yyyy']]]),"-",AND((Tbl_ResidentData[[#This Row],[Enrollment '[mmm-yyyy']]]&lt;=AE$4),IF(ISBLANK(Tbl_ResidentData[[#This Row],[Discharge '[mmm-yyyy']]]),TRUE,(Tbl_ResidentData[[#This Row],[Discharge '[mmm-yyyy']]]&gt;=AE$4)))))</f>
        <v>-</v>
      </c>
      <c r="AF195" s="121" t="str">
        <f ca="1">IF(AF$4&gt;NOW(),"-",IF(ISBLANK(Tbl_ResidentData[[#This Row],[Enrollment '[mmm-yyyy']]]),"-",AND((Tbl_ResidentData[[#This Row],[Enrollment '[mmm-yyyy']]]&lt;=AF$4),IF(ISBLANK(Tbl_ResidentData[[#This Row],[Discharge '[mmm-yyyy']]]),TRUE,(Tbl_ResidentData[[#This Row],[Discharge '[mmm-yyyy']]]&gt;=AF$4)))))</f>
        <v>-</v>
      </c>
      <c r="AG195" s="121" t="str">
        <f ca="1">IF(AG$4&gt;NOW(),"-",IF(ISBLANK(Tbl_ResidentData[[#This Row],[Enrollment '[mmm-yyyy']]]),"-",AND((Tbl_ResidentData[[#This Row],[Enrollment '[mmm-yyyy']]]&lt;=AG$4),IF(ISBLANK(Tbl_ResidentData[[#This Row],[Discharge '[mmm-yyyy']]]),TRUE,(Tbl_ResidentData[[#This Row],[Discharge '[mmm-yyyy']]]&gt;=AG$4)))))</f>
        <v>-</v>
      </c>
      <c r="AH195" s="121" t="str">
        <f ca="1">IF(AH$4&gt;NOW(),"-",IF(ISBLANK(Tbl_ResidentData[[#This Row],[Enrollment '[mmm-yyyy']]]),"-",AND((Tbl_ResidentData[[#This Row],[Enrollment '[mmm-yyyy']]]&lt;=AH$4),IF(ISBLANK(Tbl_ResidentData[[#This Row],[Discharge '[mmm-yyyy']]]),TRUE,(Tbl_ResidentData[[#This Row],[Discharge '[mmm-yyyy']]]&gt;=AH$4)))))</f>
        <v>-</v>
      </c>
      <c r="AI195" s="121" t="str">
        <f ca="1">IF(AI$4&gt;NOW(),"-",IF(ISBLANK(Tbl_ResidentData[[#This Row],[Enrollment '[mmm-yyyy']]]),"-",AND((Tbl_ResidentData[[#This Row],[Enrollment '[mmm-yyyy']]]&lt;=AI$4),IF(ISBLANK(Tbl_ResidentData[[#This Row],[Discharge '[mmm-yyyy']]]),TRUE,(Tbl_ResidentData[[#This Row],[Discharge '[mmm-yyyy']]]&gt;=AI$4)))))</f>
        <v>-</v>
      </c>
      <c r="AJ195" s="121" t="str">
        <f ca="1">IF(AJ$4&gt;NOW(),"-",IF(ISBLANK(Tbl_ResidentData[[#This Row],[Enrollment '[mmm-yyyy']]]),"-",AND((Tbl_ResidentData[[#This Row],[Enrollment '[mmm-yyyy']]]&lt;=AJ$4),IF(ISBLANK(Tbl_ResidentData[[#This Row],[Discharge '[mmm-yyyy']]]),TRUE,(Tbl_ResidentData[[#This Row],[Discharge '[mmm-yyyy']]]&gt;=AJ$4)))))</f>
        <v>-</v>
      </c>
      <c r="AK195" s="121" t="str">
        <f ca="1">IF(AK$4&gt;NOW(),"-",IF(ISBLANK(Tbl_ResidentData[[#This Row],[Enrollment '[mmm-yyyy']]]),"-",AND((Tbl_ResidentData[[#This Row],[Enrollment '[mmm-yyyy']]]&lt;=AK$4),IF(ISBLANK(Tbl_ResidentData[[#This Row],[Discharge '[mmm-yyyy']]]),TRUE,(Tbl_ResidentData[[#This Row],[Discharge '[mmm-yyyy']]]&gt;=AK$4)))))</f>
        <v>-</v>
      </c>
      <c r="AL195" s="121" t="str">
        <f ca="1">IF(AL$4&gt;NOW(),"-",IF(ISBLANK(Tbl_ResidentData[[#This Row],[Enrollment '[mmm-yyyy']]]),"-",AND((Tbl_ResidentData[[#This Row],[Enrollment '[mmm-yyyy']]]&lt;=AL$4),IF(ISBLANK(Tbl_ResidentData[[#This Row],[Discharge '[mmm-yyyy']]]),TRUE,(Tbl_ResidentData[[#This Row],[Discharge '[mmm-yyyy']]]&gt;=AL$4)))))</f>
        <v>-</v>
      </c>
      <c r="AM195" s="121" t="str">
        <f ca="1">IF(AM$4&gt;NOW(),"-",IF(ISBLANK(Tbl_ResidentData[[#This Row],[Enrollment '[mmm-yyyy']]]),"-",AND((Tbl_ResidentData[[#This Row],[Enrollment '[mmm-yyyy']]]&lt;=AM$4),IF(ISBLANK(Tbl_ResidentData[[#This Row],[Discharge '[mmm-yyyy']]]),TRUE,(Tbl_ResidentData[[#This Row],[Discharge '[mmm-yyyy']]]&gt;=AM$4)))))</f>
        <v>-</v>
      </c>
      <c r="AN195" s="121" t="str">
        <f ca="1">IF(AN$4&gt;NOW(),"-",IF(ISBLANK(Tbl_ResidentData[[#This Row],[Enrollment '[mmm-yyyy']]]),"-",AND((Tbl_ResidentData[[#This Row],[Enrollment '[mmm-yyyy']]]&lt;=AN$4),IF(ISBLANK(Tbl_ResidentData[[#This Row],[Discharge '[mmm-yyyy']]]),TRUE,(Tbl_ResidentData[[#This Row],[Discharge '[mmm-yyyy']]]&gt;=AN$4)))))</f>
        <v>-</v>
      </c>
      <c r="AO195" s="121" t="str">
        <f ca="1">IF(AO$4&gt;NOW(),"-",IF(ISBLANK(Tbl_ResidentData[[#This Row],[Enrollment '[mmm-yyyy']]]),"-",AND((Tbl_ResidentData[[#This Row],[Enrollment '[mmm-yyyy']]]&lt;=AO$4),IF(ISBLANK(Tbl_ResidentData[[#This Row],[Discharge '[mmm-yyyy']]]),TRUE,(Tbl_ResidentData[[#This Row],[Discharge '[mmm-yyyy']]]&gt;=AO$4)))))</f>
        <v>-</v>
      </c>
      <c r="AP195" s="121" t="str">
        <f ca="1">IF(AP$4&gt;NOW(),"-",IF(ISBLANK(Tbl_ResidentData[[#This Row],[Enrollment '[mmm-yyyy']]]),"-",AND((Tbl_ResidentData[[#This Row],[Enrollment '[mmm-yyyy']]]&lt;=AP$4),IF(ISBLANK(Tbl_ResidentData[[#This Row],[Discharge '[mmm-yyyy']]]),TRUE,(Tbl_ResidentData[[#This Row],[Discharge '[mmm-yyyy']]]&gt;=AP$4)))))</f>
        <v>-</v>
      </c>
      <c r="AQ195" s="121" t="str">
        <f ca="1">IF(AQ$4&gt;NOW(),"-",IF(ISBLANK(Tbl_ResidentData[[#This Row],[Enrollment '[mmm-yyyy']]]),"-",AND((Tbl_ResidentData[[#This Row],[Enrollment '[mmm-yyyy']]]&lt;=AQ$4),IF(ISBLANK(Tbl_ResidentData[[#This Row],[Discharge '[mmm-yyyy']]]),TRUE,(Tbl_ResidentData[[#This Row],[Discharge '[mmm-yyyy']]]&gt;=AQ$4)))))</f>
        <v>-</v>
      </c>
      <c r="AR195" s="122" t="str">
        <f ca="1">IF(AR$4&gt;NOW(),"-",IF(ISBLANK(Tbl_ResidentData[[#This Row],[Enrollment '[mmm-yyyy']]]),"-",AND((Tbl_ResidentData[[#This Row],[Enrollment '[mmm-yyyy']]]&lt;=AR$4),IF(ISBLANK(Tbl_ResidentData[[#This Row],[Discharge '[mmm-yyyy']]]),TRUE,(Tbl_ResidentData[[#This Row],[Discharge '[mmm-yyyy']]]&gt;=AR$4)))))</f>
        <v>-</v>
      </c>
      <c r="AS19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5" s="120" t="b">
        <f ca="1">AND(Tbl_ResidentData[[#This Row],[PRN Med Started]]&lt;&gt;"",Tbl_ResidentData[[#This Row],[PRN Med Started]]&lt;=NOW(),Tbl_ResidentData[[#This Row],[PRN Med Started]]&lt;=AS$4,OR(Tbl_ResidentData[[#This Row],[PRN Med Discontinued]]&gt;AS$4,ISBLANK(Tbl_ResidentData[[#This Row],[PRN Med Discontinued]])))</f>
        <v>0</v>
      </c>
      <c r="BR195" s="121" t="b">
        <f ca="1">AND(Tbl_ResidentData[[#This Row],[PRN Med Started]]&lt;&gt;"",Tbl_ResidentData[[#This Row],[PRN Med Started]]&lt;=NOW(),Tbl_ResidentData[[#This Row],[PRN Med Started]]&lt;=AT$4,OR(Tbl_ResidentData[[#This Row],[PRN Med Discontinued]]&gt;AT$4,ISBLANK(Tbl_ResidentData[[#This Row],[PRN Med Discontinued]])))</f>
        <v>0</v>
      </c>
      <c r="BS195" s="121" t="b">
        <f ca="1">AND(Tbl_ResidentData[[#This Row],[PRN Med Started]]&lt;&gt;"",Tbl_ResidentData[[#This Row],[PRN Med Started]]&lt;=NOW(),Tbl_ResidentData[[#This Row],[PRN Med Started]]&lt;=AU$4,OR(Tbl_ResidentData[[#This Row],[PRN Med Discontinued]]&gt;AU$4,ISBLANK(Tbl_ResidentData[[#This Row],[PRN Med Discontinued]])))</f>
        <v>0</v>
      </c>
      <c r="BT195" s="121" t="b">
        <f ca="1">AND(Tbl_ResidentData[[#This Row],[PRN Med Started]]&lt;&gt;"",Tbl_ResidentData[[#This Row],[PRN Med Started]]&lt;=NOW(),Tbl_ResidentData[[#This Row],[PRN Med Started]]&lt;=AV$4,OR(Tbl_ResidentData[[#This Row],[PRN Med Discontinued]]&gt;AV$4,ISBLANK(Tbl_ResidentData[[#This Row],[PRN Med Discontinued]])))</f>
        <v>0</v>
      </c>
      <c r="BU195" s="121" t="b">
        <f ca="1">AND(Tbl_ResidentData[[#This Row],[PRN Med Started]]&lt;&gt;"",Tbl_ResidentData[[#This Row],[PRN Med Started]]&lt;=NOW(),Tbl_ResidentData[[#This Row],[PRN Med Started]]&lt;=AW$4,OR(Tbl_ResidentData[[#This Row],[PRN Med Discontinued]]&gt;AW$4,ISBLANK(Tbl_ResidentData[[#This Row],[PRN Med Discontinued]])))</f>
        <v>0</v>
      </c>
      <c r="BV195" s="121" t="b">
        <f ca="1">AND(Tbl_ResidentData[[#This Row],[PRN Med Started]]&lt;&gt;"",Tbl_ResidentData[[#This Row],[PRN Med Started]]&lt;=NOW(),Tbl_ResidentData[[#This Row],[PRN Med Started]]&lt;=AX$4,OR(Tbl_ResidentData[[#This Row],[PRN Med Discontinued]]&gt;AX$4,ISBLANK(Tbl_ResidentData[[#This Row],[PRN Med Discontinued]])))</f>
        <v>0</v>
      </c>
      <c r="BW195" s="121" t="b">
        <f ca="1">AND(Tbl_ResidentData[[#This Row],[PRN Med Started]]&lt;&gt;"",Tbl_ResidentData[[#This Row],[PRN Med Started]]&lt;=NOW(),Tbl_ResidentData[[#This Row],[PRN Med Started]]&lt;=AY$4,OR(Tbl_ResidentData[[#This Row],[PRN Med Discontinued]]&gt;AY$4,ISBLANK(Tbl_ResidentData[[#This Row],[PRN Med Discontinued]])))</f>
        <v>0</v>
      </c>
      <c r="BX195" s="121" t="b">
        <f ca="1">AND(Tbl_ResidentData[[#This Row],[PRN Med Started]]&lt;&gt;"",Tbl_ResidentData[[#This Row],[PRN Med Started]]&lt;=NOW(),Tbl_ResidentData[[#This Row],[PRN Med Started]]&lt;=AZ$4,OR(Tbl_ResidentData[[#This Row],[PRN Med Discontinued]]&gt;AZ$4,ISBLANK(Tbl_ResidentData[[#This Row],[PRN Med Discontinued]])))</f>
        <v>0</v>
      </c>
      <c r="BY195" s="121" t="b">
        <f ca="1">AND(Tbl_ResidentData[[#This Row],[PRN Med Started]]&lt;&gt;"",Tbl_ResidentData[[#This Row],[PRN Med Started]]&lt;=NOW(),Tbl_ResidentData[[#This Row],[PRN Med Started]]&lt;=BA$4,OR(Tbl_ResidentData[[#This Row],[PRN Med Discontinued]]&gt;BA$4,ISBLANK(Tbl_ResidentData[[#This Row],[PRN Med Discontinued]])))</f>
        <v>0</v>
      </c>
      <c r="BZ195" s="121" t="b">
        <f ca="1">AND(Tbl_ResidentData[[#This Row],[PRN Med Started]]&lt;&gt;"",Tbl_ResidentData[[#This Row],[PRN Med Started]]&lt;=NOW(),Tbl_ResidentData[[#This Row],[PRN Med Started]]&lt;=BB$4,OR(Tbl_ResidentData[[#This Row],[PRN Med Discontinued]]&gt;BB$4,ISBLANK(Tbl_ResidentData[[#This Row],[PRN Med Discontinued]])))</f>
        <v>0</v>
      </c>
      <c r="CA195" s="121" t="b">
        <f ca="1">AND(Tbl_ResidentData[[#This Row],[PRN Med Started]]&lt;&gt;"",Tbl_ResidentData[[#This Row],[PRN Med Started]]&lt;=NOW(),Tbl_ResidentData[[#This Row],[PRN Med Started]]&lt;=BC$4,OR(Tbl_ResidentData[[#This Row],[PRN Med Discontinued]]&gt;BC$4,ISBLANK(Tbl_ResidentData[[#This Row],[PRN Med Discontinued]])))</f>
        <v>0</v>
      </c>
      <c r="CB195" s="121" t="b">
        <f ca="1">AND(Tbl_ResidentData[[#This Row],[PRN Med Started]]&lt;&gt;"",Tbl_ResidentData[[#This Row],[PRN Med Started]]&lt;=NOW(),Tbl_ResidentData[[#This Row],[PRN Med Started]]&lt;=BD$4,OR(Tbl_ResidentData[[#This Row],[PRN Med Discontinued]]&gt;BD$4,ISBLANK(Tbl_ResidentData[[#This Row],[PRN Med Discontinued]])))</f>
        <v>0</v>
      </c>
      <c r="CC195" s="121" t="b">
        <f ca="1">AND(Tbl_ResidentData[[#This Row],[PRN Med Started]]&lt;&gt;"",Tbl_ResidentData[[#This Row],[PRN Med Started]]&lt;=NOW(),Tbl_ResidentData[[#This Row],[PRN Med Started]]&lt;=BE$4,OR(Tbl_ResidentData[[#This Row],[PRN Med Discontinued]]&gt;BE$4,ISBLANK(Tbl_ResidentData[[#This Row],[PRN Med Discontinued]])))</f>
        <v>0</v>
      </c>
      <c r="CD195" s="121" t="b">
        <f ca="1">AND(Tbl_ResidentData[[#This Row],[PRN Med Started]]&lt;&gt;"",Tbl_ResidentData[[#This Row],[PRN Med Started]]&lt;=NOW(),Tbl_ResidentData[[#This Row],[PRN Med Started]]&lt;=BF$4,OR(Tbl_ResidentData[[#This Row],[PRN Med Discontinued]]&gt;BF$4,ISBLANK(Tbl_ResidentData[[#This Row],[PRN Med Discontinued]])))</f>
        <v>0</v>
      </c>
      <c r="CE195" s="121" t="b">
        <f ca="1">AND(Tbl_ResidentData[[#This Row],[PRN Med Started]]&lt;&gt;"",Tbl_ResidentData[[#This Row],[PRN Med Started]]&lt;=NOW(),Tbl_ResidentData[[#This Row],[PRN Med Started]]&lt;=BG$4,OR(Tbl_ResidentData[[#This Row],[PRN Med Discontinued]]&gt;BG$4,ISBLANK(Tbl_ResidentData[[#This Row],[PRN Med Discontinued]])))</f>
        <v>0</v>
      </c>
      <c r="CF195" s="121" t="b">
        <f ca="1">AND(Tbl_ResidentData[[#This Row],[PRN Med Started]]&lt;&gt;"",Tbl_ResidentData[[#This Row],[PRN Med Started]]&lt;=NOW(),Tbl_ResidentData[[#This Row],[PRN Med Started]]&lt;=BH$4,OR(Tbl_ResidentData[[#This Row],[PRN Med Discontinued]]&gt;BH$4,ISBLANK(Tbl_ResidentData[[#This Row],[PRN Med Discontinued]])))</f>
        <v>0</v>
      </c>
      <c r="CG195" s="121" t="b">
        <f ca="1">AND(Tbl_ResidentData[[#This Row],[PRN Med Started]]&lt;&gt;"",Tbl_ResidentData[[#This Row],[PRN Med Started]]&lt;=NOW(),Tbl_ResidentData[[#This Row],[PRN Med Started]]&lt;=BI$4,OR(Tbl_ResidentData[[#This Row],[PRN Med Discontinued]]&gt;BI$4,ISBLANK(Tbl_ResidentData[[#This Row],[PRN Med Discontinued]])))</f>
        <v>0</v>
      </c>
      <c r="CH195" s="121" t="b">
        <f ca="1">AND(Tbl_ResidentData[[#This Row],[PRN Med Started]]&lt;&gt;"",Tbl_ResidentData[[#This Row],[PRN Med Started]]&lt;=NOW(),Tbl_ResidentData[[#This Row],[PRN Med Started]]&lt;=BJ$4,OR(Tbl_ResidentData[[#This Row],[PRN Med Discontinued]]&gt;BJ$4,ISBLANK(Tbl_ResidentData[[#This Row],[PRN Med Discontinued]])))</f>
        <v>0</v>
      </c>
      <c r="CI195" s="121" t="b">
        <f ca="1">AND(Tbl_ResidentData[[#This Row],[PRN Med Started]]&lt;&gt;"",Tbl_ResidentData[[#This Row],[PRN Med Started]]&lt;=NOW(),Tbl_ResidentData[[#This Row],[PRN Med Started]]&lt;=BK$4,OR(Tbl_ResidentData[[#This Row],[PRN Med Discontinued]]&gt;BK$4,ISBLANK(Tbl_ResidentData[[#This Row],[PRN Med Discontinued]])))</f>
        <v>0</v>
      </c>
      <c r="CJ195" s="121" t="b">
        <f ca="1">AND(Tbl_ResidentData[[#This Row],[PRN Med Started]]&lt;&gt;"",Tbl_ResidentData[[#This Row],[PRN Med Started]]&lt;=NOW(),Tbl_ResidentData[[#This Row],[PRN Med Started]]&lt;=BL$4,OR(Tbl_ResidentData[[#This Row],[PRN Med Discontinued]]&gt;BL$4,ISBLANK(Tbl_ResidentData[[#This Row],[PRN Med Discontinued]])))</f>
        <v>0</v>
      </c>
      <c r="CK195" s="121" t="b">
        <f ca="1">AND(Tbl_ResidentData[[#This Row],[PRN Med Started]]&lt;&gt;"",Tbl_ResidentData[[#This Row],[PRN Med Started]]&lt;=NOW(),Tbl_ResidentData[[#This Row],[PRN Med Started]]&lt;=BM$4,OR(Tbl_ResidentData[[#This Row],[PRN Med Discontinued]]&gt;BM$4,ISBLANK(Tbl_ResidentData[[#This Row],[PRN Med Discontinued]])))</f>
        <v>0</v>
      </c>
      <c r="CL195" s="121" t="b">
        <f ca="1">AND(Tbl_ResidentData[[#This Row],[PRN Med Started]]&lt;&gt;"",Tbl_ResidentData[[#This Row],[PRN Med Started]]&lt;=NOW(),Tbl_ResidentData[[#This Row],[PRN Med Started]]&lt;=BN$4,OR(Tbl_ResidentData[[#This Row],[PRN Med Discontinued]]&gt;BN$4,ISBLANK(Tbl_ResidentData[[#This Row],[PRN Med Discontinued]])))</f>
        <v>0</v>
      </c>
      <c r="CM195" s="121" t="b">
        <f ca="1">AND(Tbl_ResidentData[[#This Row],[PRN Med Started]]&lt;&gt;"",Tbl_ResidentData[[#This Row],[PRN Med Started]]&lt;=NOW(),Tbl_ResidentData[[#This Row],[PRN Med Started]]&lt;=BO$4,OR(Tbl_ResidentData[[#This Row],[PRN Med Discontinued]]&gt;BO$4,ISBLANK(Tbl_ResidentData[[#This Row],[PRN Med Discontinued]])))</f>
        <v>0</v>
      </c>
      <c r="CN195" s="122" t="b">
        <f ca="1">AND(Tbl_ResidentData[[#This Row],[PRN Med Started]]&lt;&gt;"",Tbl_ResidentData[[#This Row],[PRN Med Started]]&lt;=NOW(),Tbl_ResidentData[[#This Row],[PRN Med Started]]&lt;=BP$4,OR(Tbl_ResidentData[[#This Row],[PRN Med Discontinued]]&gt;BP$4,ISBLANK(Tbl_ResidentData[[#This Row],[PRN Med Discontinued]])))</f>
        <v>0</v>
      </c>
      <c r="CO195" s="120">
        <f ca="1">IF(OR(Tbl_ResidentData[[#This Row],[S1]]=TRUE,Tbl_ResidentData[[#This Row],[P1]]=TRUE),1,0)</f>
        <v>0</v>
      </c>
      <c r="CP195" s="121">
        <f ca="1">IF(OR(Tbl_ResidentData[[#This Row],[S2]]=TRUE,Tbl_ResidentData[[#This Row],[P2]]=TRUE),1,0)</f>
        <v>0</v>
      </c>
      <c r="CQ195" s="121">
        <f ca="1">IF(OR(Tbl_ResidentData[[#This Row],[S3]]=TRUE,Tbl_ResidentData[[#This Row],[P3]]=TRUE),1,0)</f>
        <v>0</v>
      </c>
      <c r="CR195" s="120">
        <f ca="1">IF(OR(Tbl_ResidentData[[#This Row],[S4]]=TRUE,Tbl_ResidentData[[#This Row],[P4]]=TRUE),1,0)</f>
        <v>0</v>
      </c>
      <c r="CS195" s="120">
        <f ca="1">IF(OR(Tbl_ResidentData[[#This Row],[S5]]=TRUE,Tbl_ResidentData[[#This Row],[P5]]=TRUE),1,0)</f>
        <v>0</v>
      </c>
      <c r="CT195" s="120">
        <f ca="1">IF(OR(Tbl_ResidentData[[#This Row],[S6]]=TRUE,Tbl_ResidentData[[#This Row],[P6]]=TRUE),1,0)</f>
        <v>0</v>
      </c>
      <c r="CU195" s="120">
        <f ca="1">IF(OR(Tbl_ResidentData[[#This Row],[S7]]=TRUE,Tbl_ResidentData[[#This Row],[P7]]=TRUE),1,0)</f>
        <v>0</v>
      </c>
      <c r="CV195" s="120">
        <f ca="1">IF(OR(Tbl_ResidentData[[#This Row],[S8]]=TRUE,Tbl_ResidentData[[#This Row],[P8]]=TRUE),1,0)</f>
        <v>0</v>
      </c>
      <c r="CW195" s="120">
        <f ca="1">IF(OR(Tbl_ResidentData[[#This Row],[S9]]=TRUE,Tbl_ResidentData[[#This Row],[P9]]=TRUE),1,0)</f>
        <v>0</v>
      </c>
      <c r="CX195" s="120">
        <f ca="1">IF(OR(Tbl_ResidentData[[#This Row],[S10]]=TRUE,Tbl_ResidentData[[#This Row],[P10]]=TRUE),1,0)</f>
        <v>0</v>
      </c>
      <c r="CY195" s="120">
        <f ca="1">IF(OR(Tbl_ResidentData[[#This Row],[S11]]=TRUE,Tbl_ResidentData[[#This Row],[P11]]=TRUE),1,0)</f>
        <v>0</v>
      </c>
      <c r="CZ195" s="120">
        <f ca="1">IF(OR(Tbl_ResidentData[[#This Row],[S12]]=TRUE,Tbl_ResidentData[[#This Row],[P12]]=TRUE),1,0)</f>
        <v>0</v>
      </c>
      <c r="DA195" s="120">
        <f ca="1">IF(OR(Tbl_ResidentData[[#This Row],[S13]]=TRUE,Tbl_ResidentData[[#This Row],[P13]]=TRUE),1,0)</f>
        <v>0</v>
      </c>
      <c r="DB195" s="120">
        <f ca="1">IF(OR(Tbl_ResidentData[[#This Row],[S14]]=TRUE,Tbl_ResidentData[[#This Row],[P14]]=TRUE),1,0)</f>
        <v>0</v>
      </c>
      <c r="DC195" s="120">
        <f ca="1">IF(OR(Tbl_ResidentData[[#This Row],[S15]]=TRUE,Tbl_ResidentData[[#This Row],[P15]]=TRUE),1,0)</f>
        <v>0</v>
      </c>
      <c r="DD195" s="120">
        <f ca="1">IF(OR(Tbl_ResidentData[[#This Row],[S16]]=TRUE,Tbl_ResidentData[[#This Row],[P16]]=TRUE),1,0)</f>
        <v>0</v>
      </c>
      <c r="DE195" s="120">
        <f ca="1">IF(OR(Tbl_ResidentData[[#This Row],[S17]]=TRUE,Tbl_ResidentData[[#This Row],[P17]]=TRUE),1,0)</f>
        <v>0</v>
      </c>
      <c r="DF195" s="120">
        <f ca="1">IF(OR(Tbl_ResidentData[[#This Row],[S18]]=TRUE,Tbl_ResidentData[[#This Row],[P18]]=TRUE),1,0)</f>
        <v>0</v>
      </c>
      <c r="DG195" s="120">
        <f ca="1">IF(OR(Tbl_ResidentData[[#This Row],[S19]]=TRUE,Tbl_ResidentData[[#This Row],[P19]]=TRUE),1,0)</f>
        <v>0</v>
      </c>
      <c r="DH195" s="120">
        <f ca="1">IF(OR(Tbl_ResidentData[[#This Row],[S20]]=TRUE,Tbl_ResidentData[[#This Row],[P20]]=TRUE),1,0)</f>
        <v>0</v>
      </c>
      <c r="DI195" s="120">
        <f ca="1">IF(OR(Tbl_ResidentData[[#This Row],[S21]]=TRUE,Tbl_ResidentData[[#This Row],[P21]]=TRUE),1,0)</f>
        <v>0</v>
      </c>
      <c r="DJ195" s="120">
        <f ca="1">IF(OR(Tbl_ResidentData[[#This Row],[S22]]=TRUE,Tbl_ResidentData[[#This Row],[P22]]=TRUE),1,0)</f>
        <v>0</v>
      </c>
      <c r="DK195" s="120">
        <f ca="1">IF(OR(Tbl_ResidentData[[#This Row],[S23]]=TRUE,Tbl_ResidentData[[#This Row],[P23]]=TRUE),1,0)</f>
        <v>0</v>
      </c>
      <c r="DL195" s="120">
        <f ca="1">IF(OR(Tbl_ResidentData[[#This Row],[S24]]=TRUE,Tbl_ResidentData[[#This Row],[P24]]=TRUE),1,0)</f>
        <v>0</v>
      </c>
      <c r="DM195" s="123" t="str">
        <f ca="1">IFERROR(INDEX($CO$4:$DL$4,MATCH(TRUE,INDEX((Tbl_ResidentData[[#This Row],[Over1]:[Over24]]&lt;&gt;0),0),0)),"")</f>
        <v/>
      </c>
      <c r="DN195" s="133" t="str">
        <f>IFERROR(INDEX(Tbl_PDSAData[Last DRT],MATCH(Tbl_ResidentData[Resident Name '[last, first']],Tbl_PDSAData[Resident Name (last, first)],0)),"")</f>
        <v/>
      </c>
      <c r="DO195" s="222" t="str">
        <f>IFERROR(INDEX(Tbl_PDSAData[Last MR],MATCH(Tbl_ResidentData[Resident Name '[last, first']],Tbl_PDSAData[Resident Name (last, first)],0)),"")</f>
        <v/>
      </c>
    </row>
    <row r="196" spans="1:119" x14ac:dyDescent="0.25">
      <c r="A196" s="179"/>
      <c r="B196" s="180"/>
      <c r="C196" s="180"/>
      <c r="D196" s="218"/>
      <c r="E196" s="179"/>
      <c r="F196" s="179"/>
      <c r="G196" s="181"/>
      <c r="H196" s="375"/>
      <c r="I196" s="185"/>
      <c r="J196" s="387"/>
      <c r="K196" s="178"/>
      <c r="L196" s="388"/>
      <c r="M196" s="185"/>
      <c r="N196" s="386"/>
      <c r="O196" s="178"/>
      <c r="P196" s="388"/>
      <c r="Q196" s="394"/>
      <c r="R196" s="388"/>
      <c r="S196" s="131" t="str">
        <f>IF(ISBLANK(Tbl_ResidentData[[#This Row],[Discharge '[mmm-yyyy']]]),IF(ISBLANK(Tbl_ResidentData[[#This Row],[Enrollment '[mmm-yyyy']]]),"","In Care Home"),"Discharged")</f>
        <v/>
      </c>
      <c r="T196" s="119" t="str">
        <f>IF(ISBLANK(Tbl_ResidentData[[#This Row],[Diagnosis (RAI)]]),IF(ISBLANK(Tbl_ResidentData[[#This Row],[Resident Name '[last, first']]]),"",0),IF(Tbl_ResidentData[[#This Row],[Diagnosis (RAI)]]="Other (see clinical notes)",0,1))</f>
        <v/>
      </c>
      <c r="U196" s="120" t="str">
        <f ca="1">IF(U$4&gt;NOW(),"-",IF(ISBLANK(Tbl_ResidentData[[#This Row],[Enrollment '[mmm-yyyy']]]),"-",AND((Tbl_ResidentData[[#This Row],[Enrollment '[mmm-yyyy']]]&lt;=U$4),IF(ISBLANK(Tbl_ResidentData[[#This Row],[Discharge '[mmm-yyyy']]]),TRUE,(Tbl_ResidentData[[#This Row],[Discharge '[mmm-yyyy']]]&gt;=U$4)))))</f>
        <v>-</v>
      </c>
      <c r="V196" s="121" t="str">
        <f ca="1">IF(V$4&gt;NOW(),"-",IF(ISBLANK(Tbl_ResidentData[[#This Row],[Enrollment '[mmm-yyyy']]]),"-",AND((Tbl_ResidentData[[#This Row],[Enrollment '[mmm-yyyy']]]&lt;=V$4),IF(ISBLANK(Tbl_ResidentData[[#This Row],[Discharge '[mmm-yyyy']]]),TRUE,(Tbl_ResidentData[[#This Row],[Discharge '[mmm-yyyy']]]&gt;=V$4)))))</f>
        <v>-</v>
      </c>
      <c r="W196" s="121" t="str">
        <f ca="1">IF(W$4&gt;NOW(),"-",IF(ISBLANK(Tbl_ResidentData[[#This Row],[Enrollment '[mmm-yyyy']]]),"-",AND((Tbl_ResidentData[[#This Row],[Enrollment '[mmm-yyyy']]]&lt;=W$4),IF(ISBLANK(Tbl_ResidentData[[#This Row],[Discharge '[mmm-yyyy']]]),TRUE,(Tbl_ResidentData[[#This Row],[Discharge '[mmm-yyyy']]]&gt;=W$4)))))</f>
        <v>-</v>
      </c>
      <c r="X196" s="121" t="str">
        <f ca="1">IF(X$4&gt;NOW(),"-",IF(ISBLANK(Tbl_ResidentData[[#This Row],[Enrollment '[mmm-yyyy']]]),"-",AND((Tbl_ResidentData[[#This Row],[Enrollment '[mmm-yyyy']]]&lt;=X$4),IF(ISBLANK(Tbl_ResidentData[[#This Row],[Discharge '[mmm-yyyy']]]),TRUE,(Tbl_ResidentData[[#This Row],[Discharge '[mmm-yyyy']]]&gt;=X$4)))))</f>
        <v>-</v>
      </c>
      <c r="Y196" s="121" t="str">
        <f ca="1">IF(Y$4&gt;NOW(),"-",IF(ISBLANK(Tbl_ResidentData[[#This Row],[Enrollment '[mmm-yyyy']]]),"-",AND((Tbl_ResidentData[[#This Row],[Enrollment '[mmm-yyyy']]]&lt;=Y$4),IF(ISBLANK(Tbl_ResidentData[[#This Row],[Discharge '[mmm-yyyy']]]),TRUE,(Tbl_ResidentData[[#This Row],[Discharge '[mmm-yyyy']]]&gt;=Y$4)))))</f>
        <v>-</v>
      </c>
      <c r="Z196" s="121" t="str">
        <f ca="1">IF(Z$4&gt;NOW(),"-",IF(ISBLANK(Tbl_ResidentData[[#This Row],[Enrollment '[mmm-yyyy']]]),"-",AND((Tbl_ResidentData[[#This Row],[Enrollment '[mmm-yyyy']]]&lt;=Z$4),IF(ISBLANK(Tbl_ResidentData[[#This Row],[Discharge '[mmm-yyyy']]]),TRUE,(Tbl_ResidentData[[#This Row],[Discharge '[mmm-yyyy']]]&gt;=Z$4)))))</f>
        <v>-</v>
      </c>
      <c r="AA196" s="121" t="str">
        <f ca="1">IF(AA$4&gt;NOW(),"-",IF(ISBLANK(Tbl_ResidentData[[#This Row],[Enrollment '[mmm-yyyy']]]),"-",AND((Tbl_ResidentData[[#This Row],[Enrollment '[mmm-yyyy']]]&lt;=AA$4),IF(ISBLANK(Tbl_ResidentData[[#This Row],[Discharge '[mmm-yyyy']]]),TRUE,(Tbl_ResidentData[[#This Row],[Discharge '[mmm-yyyy']]]&gt;=AA$4)))))</f>
        <v>-</v>
      </c>
      <c r="AB196" s="121" t="str">
        <f ca="1">IF(AB$4&gt;NOW(),"-",IF(ISBLANK(Tbl_ResidentData[[#This Row],[Enrollment '[mmm-yyyy']]]),"-",AND((Tbl_ResidentData[[#This Row],[Enrollment '[mmm-yyyy']]]&lt;=AB$4),IF(ISBLANK(Tbl_ResidentData[[#This Row],[Discharge '[mmm-yyyy']]]),TRUE,(Tbl_ResidentData[[#This Row],[Discharge '[mmm-yyyy']]]&gt;=AB$4)))))</f>
        <v>-</v>
      </c>
      <c r="AC196" s="121" t="str">
        <f ca="1">IF(AC$4&gt;NOW(),"-",IF(ISBLANK(Tbl_ResidentData[[#This Row],[Enrollment '[mmm-yyyy']]]),"-",AND((Tbl_ResidentData[[#This Row],[Enrollment '[mmm-yyyy']]]&lt;=AC$4),IF(ISBLANK(Tbl_ResidentData[[#This Row],[Discharge '[mmm-yyyy']]]),TRUE,(Tbl_ResidentData[[#This Row],[Discharge '[mmm-yyyy']]]&gt;=AC$4)))))</f>
        <v>-</v>
      </c>
      <c r="AD196" s="121" t="str">
        <f ca="1">IF(AD$4&gt;NOW(),"-",IF(ISBLANK(Tbl_ResidentData[[#This Row],[Enrollment '[mmm-yyyy']]]),"-",AND((Tbl_ResidentData[[#This Row],[Enrollment '[mmm-yyyy']]]&lt;=AD$4),IF(ISBLANK(Tbl_ResidentData[[#This Row],[Discharge '[mmm-yyyy']]]),TRUE,(Tbl_ResidentData[[#This Row],[Discharge '[mmm-yyyy']]]&gt;=AD$4)))))</f>
        <v>-</v>
      </c>
      <c r="AE196" s="121" t="str">
        <f ca="1">IF(AE$4&gt;NOW(),"-",IF(ISBLANK(Tbl_ResidentData[[#This Row],[Enrollment '[mmm-yyyy']]]),"-",AND((Tbl_ResidentData[[#This Row],[Enrollment '[mmm-yyyy']]]&lt;=AE$4),IF(ISBLANK(Tbl_ResidentData[[#This Row],[Discharge '[mmm-yyyy']]]),TRUE,(Tbl_ResidentData[[#This Row],[Discharge '[mmm-yyyy']]]&gt;=AE$4)))))</f>
        <v>-</v>
      </c>
      <c r="AF196" s="121" t="str">
        <f ca="1">IF(AF$4&gt;NOW(),"-",IF(ISBLANK(Tbl_ResidentData[[#This Row],[Enrollment '[mmm-yyyy']]]),"-",AND((Tbl_ResidentData[[#This Row],[Enrollment '[mmm-yyyy']]]&lt;=AF$4),IF(ISBLANK(Tbl_ResidentData[[#This Row],[Discharge '[mmm-yyyy']]]),TRUE,(Tbl_ResidentData[[#This Row],[Discharge '[mmm-yyyy']]]&gt;=AF$4)))))</f>
        <v>-</v>
      </c>
      <c r="AG196" s="121" t="str">
        <f ca="1">IF(AG$4&gt;NOW(),"-",IF(ISBLANK(Tbl_ResidentData[[#This Row],[Enrollment '[mmm-yyyy']]]),"-",AND((Tbl_ResidentData[[#This Row],[Enrollment '[mmm-yyyy']]]&lt;=AG$4),IF(ISBLANK(Tbl_ResidentData[[#This Row],[Discharge '[mmm-yyyy']]]),TRUE,(Tbl_ResidentData[[#This Row],[Discharge '[mmm-yyyy']]]&gt;=AG$4)))))</f>
        <v>-</v>
      </c>
      <c r="AH196" s="121" t="str">
        <f ca="1">IF(AH$4&gt;NOW(),"-",IF(ISBLANK(Tbl_ResidentData[[#This Row],[Enrollment '[mmm-yyyy']]]),"-",AND((Tbl_ResidentData[[#This Row],[Enrollment '[mmm-yyyy']]]&lt;=AH$4),IF(ISBLANK(Tbl_ResidentData[[#This Row],[Discharge '[mmm-yyyy']]]),TRUE,(Tbl_ResidentData[[#This Row],[Discharge '[mmm-yyyy']]]&gt;=AH$4)))))</f>
        <v>-</v>
      </c>
      <c r="AI196" s="121" t="str">
        <f ca="1">IF(AI$4&gt;NOW(),"-",IF(ISBLANK(Tbl_ResidentData[[#This Row],[Enrollment '[mmm-yyyy']]]),"-",AND((Tbl_ResidentData[[#This Row],[Enrollment '[mmm-yyyy']]]&lt;=AI$4),IF(ISBLANK(Tbl_ResidentData[[#This Row],[Discharge '[mmm-yyyy']]]),TRUE,(Tbl_ResidentData[[#This Row],[Discharge '[mmm-yyyy']]]&gt;=AI$4)))))</f>
        <v>-</v>
      </c>
      <c r="AJ196" s="121" t="str">
        <f ca="1">IF(AJ$4&gt;NOW(),"-",IF(ISBLANK(Tbl_ResidentData[[#This Row],[Enrollment '[mmm-yyyy']]]),"-",AND((Tbl_ResidentData[[#This Row],[Enrollment '[mmm-yyyy']]]&lt;=AJ$4),IF(ISBLANK(Tbl_ResidentData[[#This Row],[Discharge '[mmm-yyyy']]]),TRUE,(Tbl_ResidentData[[#This Row],[Discharge '[mmm-yyyy']]]&gt;=AJ$4)))))</f>
        <v>-</v>
      </c>
      <c r="AK196" s="121" t="str">
        <f ca="1">IF(AK$4&gt;NOW(),"-",IF(ISBLANK(Tbl_ResidentData[[#This Row],[Enrollment '[mmm-yyyy']]]),"-",AND((Tbl_ResidentData[[#This Row],[Enrollment '[mmm-yyyy']]]&lt;=AK$4),IF(ISBLANK(Tbl_ResidentData[[#This Row],[Discharge '[mmm-yyyy']]]),TRUE,(Tbl_ResidentData[[#This Row],[Discharge '[mmm-yyyy']]]&gt;=AK$4)))))</f>
        <v>-</v>
      </c>
      <c r="AL196" s="121" t="str">
        <f ca="1">IF(AL$4&gt;NOW(),"-",IF(ISBLANK(Tbl_ResidentData[[#This Row],[Enrollment '[mmm-yyyy']]]),"-",AND((Tbl_ResidentData[[#This Row],[Enrollment '[mmm-yyyy']]]&lt;=AL$4),IF(ISBLANK(Tbl_ResidentData[[#This Row],[Discharge '[mmm-yyyy']]]),TRUE,(Tbl_ResidentData[[#This Row],[Discharge '[mmm-yyyy']]]&gt;=AL$4)))))</f>
        <v>-</v>
      </c>
      <c r="AM196" s="121" t="str">
        <f ca="1">IF(AM$4&gt;NOW(),"-",IF(ISBLANK(Tbl_ResidentData[[#This Row],[Enrollment '[mmm-yyyy']]]),"-",AND((Tbl_ResidentData[[#This Row],[Enrollment '[mmm-yyyy']]]&lt;=AM$4),IF(ISBLANK(Tbl_ResidentData[[#This Row],[Discharge '[mmm-yyyy']]]),TRUE,(Tbl_ResidentData[[#This Row],[Discharge '[mmm-yyyy']]]&gt;=AM$4)))))</f>
        <v>-</v>
      </c>
      <c r="AN196" s="121" t="str">
        <f ca="1">IF(AN$4&gt;NOW(),"-",IF(ISBLANK(Tbl_ResidentData[[#This Row],[Enrollment '[mmm-yyyy']]]),"-",AND((Tbl_ResidentData[[#This Row],[Enrollment '[mmm-yyyy']]]&lt;=AN$4),IF(ISBLANK(Tbl_ResidentData[[#This Row],[Discharge '[mmm-yyyy']]]),TRUE,(Tbl_ResidentData[[#This Row],[Discharge '[mmm-yyyy']]]&gt;=AN$4)))))</f>
        <v>-</v>
      </c>
      <c r="AO196" s="121" t="str">
        <f ca="1">IF(AO$4&gt;NOW(),"-",IF(ISBLANK(Tbl_ResidentData[[#This Row],[Enrollment '[mmm-yyyy']]]),"-",AND((Tbl_ResidentData[[#This Row],[Enrollment '[mmm-yyyy']]]&lt;=AO$4),IF(ISBLANK(Tbl_ResidentData[[#This Row],[Discharge '[mmm-yyyy']]]),TRUE,(Tbl_ResidentData[[#This Row],[Discharge '[mmm-yyyy']]]&gt;=AO$4)))))</f>
        <v>-</v>
      </c>
      <c r="AP196" s="121" t="str">
        <f ca="1">IF(AP$4&gt;NOW(),"-",IF(ISBLANK(Tbl_ResidentData[[#This Row],[Enrollment '[mmm-yyyy']]]),"-",AND((Tbl_ResidentData[[#This Row],[Enrollment '[mmm-yyyy']]]&lt;=AP$4),IF(ISBLANK(Tbl_ResidentData[[#This Row],[Discharge '[mmm-yyyy']]]),TRUE,(Tbl_ResidentData[[#This Row],[Discharge '[mmm-yyyy']]]&gt;=AP$4)))))</f>
        <v>-</v>
      </c>
      <c r="AQ196" s="121" t="str">
        <f ca="1">IF(AQ$4&gt;NOW(),"-",IF(ISBLANK(Tbl_ResidentData[[#This Row],[Enrollment '[mmm-yyyy']]]),"-",AND((Tbl_ResidentData[[#This Row],[Enrollment '[mmm-yyyy']]]&lt;=AQ$4),IF(ISBLANK(Tbl_ResidentData[[#This Row],[Discharge '[mmm-yyyy']]]),TRUE,(Tbl_ResidentData[[#This Row],[Discharge '[mmm-yyyy']]]&gt;=AQ$4)))))</f>
        <v>-</v>
      </c>
      <c r="AR196" s="122" t="str">
        <f ca="1">IF(AR$4&gt;NOW(),"-",IF(ISBLANK(Tbl_ResidentData[[#This Row],[Enrollment '[mmm-yyyy']]]),"-",AND((Tbl_ResidentData[[#This Row],[Enrollment '[mmm-yyyy']]]&lt;=AR$4),IF(ISBLANK(Tbl_ResidentData[[#This Row],[Discharge '[mmm-yyyy']]]),TRUE,(Tbl_ResidentData[[#This Row],[Discharge '[mmm-yyyy']]]&gt;=AR$4)))))</f>
        <v>-</v>
      </c>
      <c r="AS19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6" s="120" t="b">
        <f ca="1">AND(Tbl_ResidentData[[#This Row],[PRN Med Started]]&lt;&gt;"",Tbl_ResidentData[[#This Row],[PRN Med Started]]&lt;=NOW(),Tbl_ResidentData[[#This Row],[PRN Med Started]]&lt;=AS$4,OR(Tbl_ResidentData[[#This Row],[PRN Med Discontinued]]&gt;AS$4,ISBLANK(Tbl_ResidentData[[#This Row],[PRN Med Discontinued]])))</f>
        <v>0</v>
      </c>
      <c r="BR196" s="121" t="b">
        <f ca="1">AND(Tbl_ResidentData[[#This Row],[PRN Med Started]]&lt;&gt;"",Tbl_ResidentData[[#This Row],[PRN Med Started]]&lt;=NOW(),Tbl_ResidentData[[#This Row],[PRN Med Started]]&lt;=AT$4,OR(Tbl_ResidentData[[#This Row],[PRN Med Discontinued]]&gt;AT$4,ISBLANK(Tbl_ResidentData[[#This Row],[PRN Med Discontinued]])))</f>
        <v>0</v>
      </c>
      <c r="BS196" s="121" t="b">
        <f ca="1">AND(Tbl_ResidentData[[#This Row],[PRN Med Started]]&lt;&gt;"",Tbl_ResidentData[[#This Row],[PRN Med Started]]&lt;=NOW(),Tbl_ResidentData[[#This Row],[PRN Med Started]]&lt;=AU$4,OR(Tbl_ResidentData[[#This Row],[PRN Med Discontinued]]&gt;AU$4,ISBLANK(Tbl_ResidentData[[#This Row],[PRN Med Discontinued]])))</f>
        <v>0</v>
      </c>
      <c r="BT196" s="121" t="b">
        <f ca="1">AND(Tbl_ResidentData[[#This Row],[PRN Med Started]]&lt;&gt;"",Tbl_ResidentData[[#This Row],[PRN Med Started]]&lt;=NOW(),Tbl_ResidentData[[#This Row],[PRN Med Started]]&lt;=AV$4,OR(Tbl_ResidentData[[#This Row],[PRN Med Discontinued]]&gt;AV$4,ISBLANK(Tbl_ResidentData[[#This Row],[PRN Med Discontinued]])))</f>
        <v>0</v>
      </c>
      <c r="BU196" s="121" t="b">
        <f ca="1">AND(Tbl_ResidentData[[#This Row],[PRN Med Started]]&lt;&gt;"",Tbl_ResidentData[[#This Row],[PRN Med Started]]&lt;=NOW(),Tbl_ResidentData[[#This Row],[PRN Med Started]]&lt;=AW$4,OR(Tbl_ResidentData[[#This Row],[PRN Med Discontinued]]&gt;AW$4,ISBLANK(Tbl_ResidentData[[#This Row],[PRN Med Discontinued]])))</f>
        <v>0</v>
      </c>
      <c r="BV196" s="121" t="b">
        <f ca="1">AND(Tbl_ResidentData[[#This Row],[PRN Med Started]]&lt;&gt;"",Tbl_ResidentData[[#This Row],[PRN Med Started]]&lt;=NOW(),Tbl_ResidentData[[#This Row],[PRN Med Started]]&lt;=AX$4,OR(Tbl_ResidentData[[#This Row],[PRN Med Discontinued]]&gt;AX$4,ISBLANK(Tbl_ResidentData[[#This Row],[PRN Med Discontinued]])))</f>
        <v>0</v>
      </c>
      <c r="BW196" s="121" t="b">
        <f ca="1">AND(Tbl_ResidentData[[#This Row],[PRN Med Started]]&lt;&gt;"",Tbl_ResidentData[[#This Row],[PRN Med Started]]&lt;=NOW(),Tbl_ResidentData[[#This Row],[PRN Med Started]]&lt;=AY$4,OR(Tbl_ResidentData[[#This Row],[PRN Med Discontinued]]&gt;AY$4,ISBLANK(Tbl_ResidentData[[#This Row],[PRN Med Discontinued]])))</f>
        <v>0</v>
      </c>
      <c r="BX196" s="121" t="b">
        <f ca="1">AND(Tbl_ResidentData[[#This Row],[PRN Med Started]]&lt;&gt;"",Tbl_ResidentData[[#This Row],[PRN Med Started]]&lt;=NOW(),Tbl_ResidentData[[#This Row],[PRN Med Started]]&lt;=AZ$4,OR(Tbl_ResidentData[[#This Row],[PRN Med Discontinued]]&gt;AZ$4,ISBLANK(Tbl_ResidentData[[#This Row],[PRN Med Discontinued]])))</f>
        <v>0</v>
      </c>
      <c r="BY196" s="121" t="b">
        <f ca="1">AND(Tbl_ResidentData[[#This Row],[PRN Med Started]]&lt;&gt;"",Tbl_ResidentData[[#This Row],[PRN Med Started]]&lt;=NOW(),Tbl_ResidentData[[#This Row],[PRN Med Started]]&lt;=BA$4,OR(Tbl_ResidentData[[#This Row],[PRN Med Discontinued]]&gt;BA$4,ISBLANK(Tbl_ResidentData[[#This Row],[PRN Med Discontinued]])))</f>
        <v>0</v>
      </c>
      <c r="BZ196" s="121" t="b">
        <f ca="1">AND(Tbl_ResidentData[[#This Row],[PRN Med Started]]&lt;&gt;"",Tbl_ResidentData[[#This Row],[PRN Med Started]]&lt;=NOW(),Tbl_ResidentData[[#This Row],[PRN Med Started]]&lt;=BB$4,OR(Tbl_ResidentData[[#This Row],[PRN Med Discontinued]]&gt;BB$4,ISBLANK(Tbl_ResidentData[[#This Row],[PRN Med Discontinued]])))</f>
        <v>0</v>
      </c>
      <c r="CA196" s="121" t="b">
        <f ca="1">AND(Tbl_ResidentData[[#This Row],[PRN Med Started]]&lt;&gt;"",Tbl_ResidentData[[#This Row],[PRN Med Started]]&lt;=NOW(),Tbl_ResidentData[[#This Row],[PRN Med Started]]&lt;=BC$4,OR(Tbl_ResidentData[[#This Row],[PRN Med Discontinued]]&gt;BC$4,ISBLANK(Tbl_ResidentData[[#This Row],[PRN Med Discontinued]])))</f>
        <v>0</v>
      </c>
      <c r="CB196" s="121" t="b">
        <f ca="1">AND(Tbl_ResidentData[[#This Row],[PRN Med Started]]&lt;&gt;"",Tbl_ResidentData[[#This Row],[PRN Med Started]]&lt;=NOW(),Tbl_ResidentData[[#This Row],[PRN Med Started]]&lt;=BD$4,OR(Tbl_ResidentData[[#This Row],[PRN Med Discontinued]]&gt;BD$4,ISBLANK(Tbl_ResidentData[[#This Row],[PRN Med Discontinued]])))</f>
        <v>0</v>
      </c>
      <c r="CC196" s="121" t="b">
        <f ca="1">AND(Tbl_ResidentData[[#This Row],[PRN Med Started]]&lt;&gt;"",Tbl_ResidentData[[#This Row],[PRN Med Started]]&lt;=NOW(),Tbl_ResidentData[[#This Row],[PRN Med Started]]&lt;=BE$4,OR(Tbl_ResidentData[[#This Row],[PRN Med Discontinued]]&gt;BE$4,ISBLANK(Tbl_ResidentData[[#This Row],[PRN Med Discontinued]])))</f>
        <v>0</v>
      </c>
      <c r="CD196" s="121" t="b">
        <f ca="1">AND(Tbl_ResidentData[[#This Row],[PRN Med Started]]&lt;&gt;"",Tbl_ResidentData[[#This Row],[PRN Med Started]]&lt;=NOW(),Tbl_ResidentData[[#This Row],[PRN Med Started]]&lt;=BF$4,OR(Tbl_ResidentData[[#This Row],[PRN Med Discontinued]]&gt;BF$4,ISBLANK(Tbl_ResidentData[[#This Row],[PRN Med Discontinued]])))</f>
        <v>0</v>
      </c>
      <c r="CE196" s="121" t="b">
        <f ca="1">AND(Tbl_ResidentData[[#This Row],[PRN Med Started]]&lt;&gt;"",Tbl_ResidentData[[#This Row],[PRN Med Started]]&lt;=NOW(),Tbl_ResidentData[[#This Row],[PRN Med Started]]&lt;=BG$4,OR(Tbl_ResidentData[[#This Row],[PRN Med Discontinued]]&gt;BG$4,ISBLANK(Tbl_ResidentData[[#This Row],[PRN Med Discontinued]])))</f>
        <v>0</v>
      </c>
      <c r="CF196" s="121" t="b">
        <f ca="1">AND(Tbl_ResidentData[[#This Row],[PRN Med Started]]&lt;&gt;"",Tbl_ResidentData[[#This Row],[PRN Med Started]]&lt;=NOW(),Tbl_ResidentData[[#This Row],[PRN Med Started]]&lt;=BH$4,OR(Tbl_ResidentData[[#This Row],[PRN Med Discontinued]]&gt;BH$4,ISBLANK(Tbl_ResidentData[[#This Row],[PRN Med Discontinued]])))</f>
        <v>0</v>
      </c>
      <c r="CG196" s="121" t="b">
        <f ca="1">AND(Tbl_ResidentData[[#This Row],[PRN Med Started]]&lt;&gt;"",Tbl_ResidentData[[#This Row],[PRN Med Started]]&lt;=NOW(),Tbl_ResidentData[[#This Row],[PRN Med Started]]&lt;=BI$4,OR(Tbl_ResidentData[[#This Row],[PRN Med Discontinued]]&gt;BI$4,ISBLANK(Tbl_ResidentData[[#This Row],[PRN Med Discontinued]])))</f>
        <v>0</v>
      </c>
      <c r="CH196" s="121" t="b">
        <f ca="1">AND(Tbl_ResidentData[[#This Row],[PRN Med Started]]&lt;&gt;"",Tbl_ResidentData[[#This Row],[PRN Med Started]]&lt;=NOW(),Tbl_ResidentData[[#This Row],[PRN Med Started]]&lt;=BJ$4,OR(Tbl_ResidentData[[#This Row],[PRN Med Discontinued]]&gt;BJ$4,ISBLANK(Tbl_ResidentData[[#This Row],[PRN Med Discontinued]])))</f>
        <v>0</v>
      </c>
      <c r="CI196" s="121" t="b">
        <f ca="1">AND(Tbl_ResidentData[[#This Row],[PRN Med Started]]&lt;&gt;"",Tbl_ResidentData[[#This Row],[PRN Med Started]]&lt;=NOW(),Tbl_ResidentData[[#This Row],[PRN Med Started]]&lt;=BK$4,OR(Tbl_ResidentData[[#This Row],[PRN Med Discontinued]]&gt;BK$4,ISBLANK(Tbl_ResidentData[[#This Row],[PRN Med Discontinued]])))</f>
        <v>0</v>
      </c>
      <c r="CJ196" s="121" t="b">
        <f ca="1">AND(Tbl_ResidentData[[#This Row],[PRN Med Started]]&lt;&gt;"",Tbl_ResidentData[[#This Row],[PRN Med Started]]&lt;=NOW(),Tbl_ResidentData[[#This Row],[PRN Med Started]]&lt;=BL$4,OR(Tbl_ResidentData[[#This Row],[PRN Med Discontinued]]&gt;BL$4,ISBLANK(Tbl_ResidentData[[#This Row],[PRN Med Discontinued]])))</f>
        <v>0</v>
      </c>
      <c r="CK196" s="121" t="b">
        <f ca="1">AND(Tbl_ResidentData[[#This Row],[PRN Med Started]]&lt;&gt;"",Tbl_ResidentData[[#This Row],[PRN Med Started]]&lt;=NOW(),Tbl_ResidentData[[#This Row],[PRN Med Started]]&lt;=BM$4,OR(Tbl_ResidentData[[#This Row],[PRN Med Discontinued]]&gt;BM$4,ISBLANK(Tbl_ResidentData[[#This Row],[PRN Med Discontinued]])))</f>
        <v>0</v>
      </c>
      <c r="CL196" s="121" t="b">
        <f ca="1">AND(Tbl_ResidentData[[#This Row],[PRN Med Started]]&lt;&gt;"",Tbl_ResidentData[[#This Row],[PRN Med Started]]&lt;=NOW(),Tbl_ResidentData[[#This Row],[PRN Med Started]]&lt;=BN$4,OR(Tbl_ResidentData[[#This Row],[PRN Med Discontinued]]&gt;BN$4,ISBLANK(Tbl_ResidentData[[#This Row],[PRN Med Discontinued]])))</f>
        <v>0</v>
      </c>
      <c r="CM196" s="121" t="b">
        <f ca="1">AND(Tbl_ResidentData[[#This Row],[PRN Med Started]]&lt;&gt;"",Tbl_ResidentData[[#This Row],[PRN Med Started]]&lt;=NOW(),Tbl_ResidentData[[#This Row],[PRN Med Started]]&lt;=BO$4,OR(Tbl_ResidentData[[#This Row],[PRN Med Discontinued]]&gt;BO$4,ISBLANK(Tbl_ResidentData[[#This Row],[PRN Med Discontinued]])))</f>
        <v>0</v>
      </c>
      <c r="CN196" s="122" t="b">
        <f ca="1">AND(Tbl_ResidentData[[#This Row],[PRN Med Started]]&lt;&gt;"",Tbl_ResidentData[[#This Row],[PRN Med Started]]&lt;=NOW(),Tbl_ResidentData[[#This Row],[PRN Med Started]]&lt;=BP$4,OR(Tbl_ResidentData[[#This Row],[PRN Med Discontinued]]&gt;BP$4,ISBLANK(Tbl_ResidentData[[#This Row],[PRN Med Discontinued]])))</f>
        <v>0</v>
      </c>
      <c r="CO196" s="120">
        <f ca="1">IF(OR(Tbl_ResidentData[[#This Row],[S1]]=TRUE,Tbl_ResidentData[[#This Row],[P1]]=TRUE),1,0)</f>
        <v>0</v>
      </c>
      <c r="CP196" s="121">
        <f ca="1">IF(OR(Tbl_ResidentData[[#This Row],[S2]]=TRUE,Tbl_ResidentData[[#This Row],[P2]]=TRUE),1,0)</f>
        <v>0</v>
      </c>
      <c r="CQ196" s="121">
        <f ca="1">IF(OR(Tbl_ResidentData[[#This Row],[S3]]=TRUE,Tbl_ResidentData[[#This Row],[P3]]=TRUE),1,0)</f>
        <v>0</v>
      </c>
      <c r="CR196" s="120">
        <f ca="1">IF(OR(Tbl_ResidentData[[#This Row],[S4]]=TRUE,Tbl_ResidentData[[#This Row],[P4]]=TRUE),1,0)</f>
        <v>0</v>
      </c>
      <c r="CS196" s="120">
        <f ca="1">IF(OR(Tbl_ResidentData[[#This Row],[S5]]=TRUE,Tbl_ResidentData[[#This Row],[P5]]=TRUE),1,0)</f>
        <v>0</v>
      </c>
      <c r="CT196" s="120">
        <f ca="1">IF(OR(Tbl_ResidentData[[#This Row],[S6]]=TRUE,Tbl_ResidentData[[#This Row],[P6]]=TRUE),1,0)</f>
        <v>0</v>
      </c>
      <c r="CU196" s="120">
        <f ca="1">IF(OR(Tbl_ResidentData[[#This Row],[S7]]=TRUE,Tbl_ResidentData[[#This Row],[P7]]=TRUE),1,0)</f>
        <v>0</v>
      </c>
      <c r="CV196" s="120">
        <f ca="1">IF(OR(Tbl_ResidentData[[#This Row],[S8]]=TRUE,Tbl_ResidentData[[#This Row],[P8]]=TRUE),1,0)</f>
        <v>0</v>
      </c>
      <c r="CW196" s="120">
        <f ca="1">IF(OR(Tbl_ResidentData[[#This Row],[S9]]=TRUE,Tbl_ResidentData[[#This Row],[P9]]=TRUE),1,0)</f>
        <v>0</v>
      </c>
      <c r="CX196" s="120">
        <f ca="1">IF(OR(Tbl_ResidentData[[#This Row],[S10]]=TRUE,Tbl_ResidentData[[#This Row],[P10]]=TRUE),1,0)</f>
        <v>0</v>
      </c>
      <c r="CY196" s="120">
        <f ca="1">IF(OR(Tbl_ResidentData[[#This Row],[S11]]=TRUE,Tbl_ResidentData[[#This Row],[P11]]=TRUE),1,0)</f>
        <v>0</v>
      </c>
      <c r="CZ196" s="120">
        <f ca="1">IF(OR(Tbl_ResidentData[[#This Row],[S12]]=TRUE,Tbl_ResidentData[[#This Row],[P12]]=TRUE),1,0)</f>
        <v>0</v>
      </c>
      <c r="DA196" s="120">
        <f ca="1">IF(OR(Tbl_ResidentData[[#This Row],[S13]]=TRUE,Tbl_ResidentData[[#This Row],[P13]]=TRUE),1,0)</f>
        <v>0</v>
      </c>
      <c r="DB196" s="120">
        <f ca="1">IF(OR(Tbl_ResidentData[[#This Row],[S14]]=TRUE,Tbl_ResidentData[[#This Row],[P14]]=TRUE),1,0)</f>
        <v>0</v>
      </c>
      <c r="DC196" s="120">
        <f ca="1">IF(OR(Tbl_ResidentData[[#This Row],[S15]]=TRUE,Tbl_ResidentData[[#This Row],[P15]]=TRUE),1,0)</f>
        <v>0</v>
      </c>
      <c r="DD196" s="120">
        <f ca="1">IF(OR(Tbl_ResidentData[[#This Row],[S16]]=TRUE,Tbl_ResidentData[[#This Row],[P16]]=TRUE),1,0)</f>
        <v>0</v>
      </c>
      <c r="DE196" s="120">
        <f ca="1">IF(OR(Tbl_ResidentData[[#This Row],[S17]]=TRUE,Tbl_ResidentData[[#This Row],[P17]]=TRUE),1,0)</f>
        <v>0</v>
      </c>
      <c r="DF196" s="120">
        <f ca="1">IF(OR(Tbl_ResidentData[[#This Row],[S18]]=TRUE,Tbl_ResidentData[[#This Row],[P18]]=TRUE),1,0)</f>
        <v>0</v>
      </c>
      <c r="DG196" s="120">
        <f ca="1">IF(OR(Tbl_ResidentData[[#This Row],[S19]]=TRUE,Tbl_ResidentData[[#This Row],[P19]]=TRUE),1,0)</f>
        <v>0</v>
      </c>
      <c r="DH196" s="120">
        <f ca="1">IF(OR(Tbl_ResidentData[[#This Row],[S20]]=TRUE,Tbl_ResidentData[[#This Row],[P20]]=TRUE),1,0)</f>
        <v>0</v>
      </c>
      <c r="DI196" s="120">
        <f ca="1">IF(OR(Tbl_ResidentData[[#This Row],[S21]]=TRUE,Tbl_ResidentData[[#This Row],[P21]]=TRUE),1,0)</f>
        <v>0</v>
      </c>
      <c r="DJ196" s="120">
        <f ca="1">IF(OR(Tbl_ResidentData[[#This Row],[S22]]=TRUE,Tbl_ResidentData[[#This Row],[P22]]=TRUE),1,0)</f>
        <v>0</v>
      </c>
      <c r="DK196" s="120">
        <f ca="1">IF(OR(Tbl_ResidentData[[#This Row],[S23]]=TRUE,Tbl_ResidentData[[#This Row],[P23]]=TRUE),1,0)</f>
        <v>0</v>
      </c>
      <c r="DL196" s="120">
        <f ca="1">IF(OR(Tbl_ResidentData[[#This Row],[S24]]=TRUE,Tbl_ResidentData[[#This Row],[P24]]=TRUE),1,0)</f>
        <v>0</v>
      </c>
      <c r="DM196" s="123" t="str">
        <f ca="1">IFERROR(INDEX($CO$4:$DL$4,MATCH(TRUE,INDEX((Tbl_ResidentData[[#This Row],[Over1]:[Over24]]&lt;&gt;0),0),0)),"")</f>
        <v/>
      </c>
      <c r="DN196" s="133" t="str">
        <f>IFERROR(INDEX(Tbl_PDSAData[Last DRT],MATCH(Tbl_ResidentData[Resident Name '[last, first']],Tbl_PDSAData[Resident Name (last, first)],0)),"")</f>
        <v/>
      </c>
      <c r="DO196" s="222" t="str">
        <f>IFERROR(INDEX(Tbl_PDSAData[Last MR],MATCH(Tbl_ResidentData[Resident Name '[last, first']],Tbl_PDSAData[Resident Name (last, first)],0)),"")</f>
        <v/>
      </c>
    </row>
    <row r="197" spans="1:119" x14ac:dyDescent="0.25">
      <c r="A197" s="179"/>
      <c r="B197" s="180"/>
      <c r="C197" s="180"/>
      <c r="D197" s="218"/>
      <c r="E197" s="179"/>
      <c r="F197" s="179"/>
      <c r="G197" s="181"/>
      <c r="H197" s="375"/>
      <c r="I197" s="185"/>
      <c r="J197" s="387"/>
      <c r="K197" s="178"/>
      <c r="L197" s="388"/>
      <c r="M197" s="185"/>
      <c r="N197" s="386"/>
      <c r="O197" s="178"/>
      <c r="P197" s="388"/>
      <c r="Q197" s="395"/>
      <c r="R197" s="396"/>
      <c r="S197" s="131" t="str">
        <f>IF(ISBLANK(Tbl_ResidentData[[#This Row],[Discharge '[mmm-yyyy']]]),IF(ISBLANK(Tbl_ResidentData[[#This Row],[Enrollment '[mmm-yyyy']]]),"","In Care Home"),"Discharged")</f>
        <v/>
      </c>
      <c r="T197" s="119" t="str">
        <f>IF(ISBLANK(Tbl_ResidentData[[#This Row],[Diagnosis (RAI)]]),IF(ISBLANK(Tbl_ResidentData[[#This Row],[Resident Name '[last, first']]]),"",0),IF(Tbl_ResidentData[[#This Row],[Diagnosis (RAI)]]="Other (see clinical notes)",0,1))</f>
        <v/>
      </c>
      <c r="U197" s="120" t="str">
        <f ca="1">IF(U$4&gt;NOW(),"-",IF(ISBLANK(Tbl_ResidentData[[#This Row],[Enrollment '[mmm-yyyy']]]),"-",AND((Tbl_ResidentData[[#This Row],[Enrollment '[mmm-yyyy']]]&lt;=U$4),IF(ISBLANK(Tbl_ResidentData[[#This Row],[Discharge '[mmm-yyyy']]]),TRUE,(Tbl_ResidentData[[#This Row],[Discharge '[mmm-yyyy']]]&gt;=U$4)))))</f>
        <v>-</v>
      </c>
      <c r="V197" s="121" t="str">
        <f ca="1">IF(V$4&gt;NOW(),"-",IF(ISBLANK(Tbl_ResidentData[[#This Row],[Enrollment '[mmm-yyyy']]]),"-",AND((Tbl_ResidentData[[#This Row],[Enrollment '[mmm-yyyy']]]&lt;=V$4),IF(ISBLANK(Tbl_ResidentData[[#This Row],[Discharge '[mmm-yyyy']]]),TRUE,(Tbl_ResidentData[[#This Row],[Discharge '[mmm-yyyy']]]&gt;=V$4)))))</f>
        <v>-</v>
      </c>
      <c r="W197" s="121" t="str">
        <f ca="1">IF(W$4&gt;NOW(),"-",IF(ISBLANK(Tbl_ResidentData[[#This Row],[Enrollment '[mmm-yyyy']]]),"-",AND((Tbl_ResidentData[[#This Row],[Enrollment '[mmm-yyyy']]]&lt;=W$4),IF(ISBLANK(Tbl_ResidentData[[#This Row],[Discharge '[mmm-yyyy']]]),TRUE,(Tbl_ResidentData[[#This Row],[Discharge '[mmm-yyyy']]]&gt;=W$4)))))</f>
        <v>-</v>
      </c>
      <c r="X197" s="121" t="str">
        <f ca="1">IF(X$4&gt;NOW(),"-",IF(ISBLANK(Tbl_ResidentData[[#This Row],[Enrollment '[mmm-yyyy']]]),"-",AND((Tbl_ResidentData[[#This Row],[Enrollment '[mmm-yyyy']]]&lt;=X$4),IF(ISBLANK(Tbl_ResidentData[[#This Row],[Discharge '[mmm-yyyy']]]),TRUE,(Tbl_ResidentData[[#This Row],[Discharge '[mmm-yyyy']]]&gt;=X$4)))))</f>
        <v>-</v>
      </c>
      <c r="Y197" s="121" t="str">
        <f ca="1">IF(Y$4&gt;NOW(),"-",IF(ISBLANK(Tbl_ResidentData[[#This Row],[Enrollment '[mmm-yyyy']]]),"-",AND((Tbl_ResidentData[[#This Row],[Enrollment '[mmm-yyyy']]]&lt;=Y$4),IF(ISBLANK(Tbl_ResidentData[[#This Row],[Discharge '[mmm-yyyy']]]),TRUE,(Tbl_ResidentData[[#This Row],[Discharge '[mmm-yyyy']]]&gt;=Y$4)))))</f>
        <v>-</v>
      </c>
      <c r="Z197" s="121" t="str">
        <f ca="1">IF(Z$4&gt;NOW(),"-",IF(ISBLANK(Tbl_ResidentData[[#This Row],[Enrollment '[mmm-yyyy']]]),"-",AND((Tbl_ResidentData[[#This Row],[Enrollment '[mmm-yyyy']]]&lt;=Z$4),IF(ISBLANK(Tbl_ResidentData[[#This Row],[Discharge '[mmm-yyyy']]]),TRUE,(Tbl_ResidentData[[#This Row],[Discharge '[mmm-yyyy']]]&gt;=Z$4)))))</f>
        <v>-</v>
      </c>
      <c r="AA197" s="121" t="str">
        <f ca="1">IF(AA$4&gt;NOW(),"-",IF(ISBLANK(Tbl_ResidentData[[#This Row],[Enrollment '[mmm-yyyy']]]),"-",AND((Tbl_ResidentData[[#This Row],[Enrollment '[mmm-yyyy']]]&lt;=AA$4),IF(ISBLANK(Tbl_ResidentData[[#This Row],[Discharge '[mmm-yyyy']]]),TRUE,(Tbl_ResidentData[[#This Row],[Discharge '[mmm-yyyy']]]&gt;=AA$4)))))</f>
        <v>-</v>
      </c>
      <c r="AB197" s="121" t="str">
        <f ca="1">IF(AB$4&gt;NOW(),"-",IF(ISBLANK(Tbl_ResidentData[[#This Row],[Enrollment '[mmm-yyyy']]]),"-",AND((Tbl_ResidentData[[#This Row],[Enrollment '[mmm-yyyy']]]&lt;=AB$4),IF(ISBLANK(Tbl_ResidentData[[#This Row],[Discharge '[mmm-yyyy']]]),TRUE,(Tbl_ResidentData[[#This Row],[Discharge '[mmm-yyyy']]]&gt;=AB$4)))))</f>
        <v>-</v>
      </c>
      <c r="AC197" s="121" t="str">
        <f ca="1">IF(AC$4&gt;NOW(),"-",IF(ISBLANK(Tbl_ResidentData[[#This Row],[Enrollment '[mmm-yyyy']]]),"-",AND((Tbl_ResidentData[[#This Row],[Enrollment '[mmm-yyyy']]]&lt;=AC$4),IF(ISBLANK(Tbl_ResidentData[[#This Row],[Discharge '[mmm-yyyy']]]),TRUE,(Tbl_ResidentData[[#This Row],[Discharge '[mmm-yyyy']]]&gt;=AC$4)))))</f>
        <v>-</v>
      </c>
      <c r="AD197" s="121" t="str">
        <f ca="1">IF(AD$4&gt;NOW(),"-",IF(ISBLANK(Tbl_ResidentData[[#This Row],[Enrollment '[mmm-yyyy']]]),"-",AND((Tbl_ResidentData[[#This Row],[Enrollment '[mmm-yyyy']]]&lt;=AD$4),IF(ISBLANK(Tbl_ResidentData[[#This Row],[Discharge '[mmm-yyyy']]]),TRUE,(Tbl_ResidentData[[#This Row],[Discharge '[mmm-yyyy']]]&gt;=AD$4)))))</f>
        <v>-</v>
      </c>
      <c r="AE197" s="121" t="str">
        <f ca="1">IF(AE$4&gt;NOW(),"-",IF(ISBLANK(Tbl_ResidentData[[#This Row],[Enrollment '[mmm-yyyy']]]),"-",AND((Tbl_ResidentData[[#This Row],[Enrollment '[mmm-yyyy']]]&lt;=AE$4),IF(ISBLANK(Tbl_ResidentData[[#This Row],[Discharge '[mmm-yyyy']]]),TRUE,(Tbl_ResidentData[[#This Row],[Discharge '[mmm-yyyy']]]&gt;=AE$4)))))</f>
        <v>-</v>
      </c>
      <c r="AF197" s="121" t="str">
        <f ca="1">IF(AF$4&gt;NOW(),"-",IF(ISBLANK(Tbl_ResidentData[[#This Row],[Enrollment '[mmm-yyyy']]]),"-",AND((Tbl_ResidentData[[#This Row],[Enrollment '[mmm-yyyy']]]&lt;=AF$4),IF(ISBLANK(Tbl_ResidentData[[#This Row],[Discharge '[mmm-yyyy']]]),TRUE,(Tbl_ResidentData[[#This Row],[Discharge '[mmm-yyyy']]]&gt;=AF$4)))))</f>
        <v>-</v>
      </c>
      <c r="AG197" s="121" t="str">
        <f ca="1">IF(AG$4&gt;NOW(),"-",IF(ISBLANK(Tbl_ResidentData[[#This Row],[Enrollment '[mmm-yyyy']]]),"-",AND((Tbl_ResidentData[[#This Row],[Enrollment '[mmm-yyyy']]]&lt;=AG$4),IF(ISBLANK(Tbl_ResidentData[[#This Row],[Discharge '[mmm-yyyy']]]),TRUE,(Tbl_ResidentData[[#This Row],[Discharge '[mmm-yyyy']]]&gt;=AG$4)))))</f>
        <v>-</v>
      </c>
      <c r="AH197" s="121" t="str">
        <f ca="1">IF(AH$4&gt;NOW(),"-",IF(ISBLANK(Tbl_ResidentData[[#This Row],[Enrollment '[mmm-yyyy']]]),"-",AND((Tbl_ResidentData[[#This Row],[Enrollment '[mmm-yyyy']]]&lt;=AH$4),IF(ISBLANK(Tbl_ResidentData[[#This Row],[Discharge '[mmm-yyyy']]]),TRUE,(Tbl_ResidentData[[#This Row],[Discharge '[mmm-yyyy']]]&gt;=AH$4)))))</f>
        <v>-</v>
      </c>
      <c r="AI197" s="121" t="str">
        <f ca="1">IF(AI$4&gt;NOW(),"-",IF(ISBLANK(Tbl_ResidentData[[#This Row],[Enrollment '[mmm-yyyy']]]),"-",AND((Tbl_ResidentData[[#This Row],[Enrollment '[mmm-yyyy']]]&lt;=AI$4),IF(ISBLANK(Tbl_ResidentData[[#This Row],[Discharge '[mmm-yyyy']]]),TRUE,(Tbl_ResidentData[[#This Row],[Discharge '[mmm-yyyy']]]&gt;=AI$4)))))</f>
        <v>-</v>
      </c>
      <c r="AJ197" s="121" t="str">
        <f ca="1">IF(AJ$4&gt;NOW(),"-",IF(ISBLANK(Tbl_ResidentData[[#This Row],[Enrollment '[mmm-yyyy']]]),"-",AND((Tbl_ResidentData[[#This Row],[Enrollment '[mmm-yyyy']]]&lt;=AJ$4),IF(ISBLANK(Tbl_ResidentData[[#This Row],[Discharge '[mmm-yyyy']]]),TRUE,(Tbl_ResidentData[[#This Row],[Discharge '[mmm-yyyy']]]&gt;=AJ$4)))))</f>
        <v>-</v>
      </c>
      <c r="AK197" s="121" t="str">
        <f ca="1">IF(AK$4&gt;NOW(),"-",IF(ISBLANK(Tbl_ResidentData[[#This Row],[Enrollment '[mmm-yyyy']]]),"-",AND((Tbl_ResidentData[[#This Row],[Enrollment '[mmm-yyyy']]]&lt;=AK$4),IF(ISBLANK(Tbl_ResidentData[[#This Row],[Discharge '[mmm-yyyy']]]),TRUE,(Tbl_ResidentData[[#This Row],[Discharge '[mmm-yyyy']]]&gt;=AK$4)))))</f>
        <v>-</v>
      </c>
      <c r="AL197" s="121" t="str">
        <f ca="1">IF(AL$4&gt;NOW(),"-",IF(ISBLANK(Tbl_ResidentData[[#This Row],[Enrollment '[mmm-yyyy']]]),"-",AND((Tbl_ResidentData[[#This Row],[Enrollment '[mmm-yyyy']]]&lt;=AL$4),IF(ISBLANK(Tbl_ResidentData[[#This Row],[Discharge '[mmm-yyyy']]]),TRUE,(Tbl_ResidentData[[#This Row],[Discharge '[mmm-yyyy']]]&gt;=AL$4)))))</f>
        <v>-</v>
      </c>
      <c r="AM197" s="121" t="str">
        <f ca="1">IF(AM$4&gt;NOW(),"-",IF(ISBLANK(Tbl_ResidentData[[#This Row],[Enrollment '[mmm-yyyy']]]),"-",AND((Tbl_ResidentData[[#This Row],[Enrollment '[mmm-yyyy']]]&lt;=AM$4),IF(ISBLANK(Tbl_ResidentData[[#This Row],[Discharge '[mmm-yyyy']]]),TRUE,(Tbl_ResidentData[[#This Row],[Discharge '[mmm-yyyy']]]&gt;=AM$4)))))</f>
        <v>-</v>
      </c>
      <c r="AN197" s="121" t="str">
        <f ca="1">IF(AN$4&gt;NOW(),"-",IF(ISBLANK(Tbl_ResidentData[[#This Row],[Enrollment '[mmm-yyyy']]]),"-",AND((Tbl_ResidentData[[#This Row],[Enrollment '[mmm-yyyy']]]&lt;=AN$4),IF(ISBLANK(Tbl_ResidentData[[#This Row],[Discharge '[mmm-yyyy']]]),TRUE,(Tbl_ResidentData[[#This Row],[Discharge '[mmm-yyyy']]]&gt;=AN$4)))))</f>
        <v>-</v>
      </c>
      <c r="AO197" s="121" t="str">
        <f ca="1">IF(AO$4&gt;NOW(),"-",IF(ISBLANK(Tbl_ResidentData[[#This Row],[Enrollment '[mmm-yyyy']]]),"-",AND((Tbl_ResidentData[[#This Row],[Enrollment '[mmm-yyyy']]]&lt;=AO$4),IF(ISBLANK(Tbl_ResidentData[[#This Row],[Discharge '[mmm-yyyy']]]),TRUE,(Tbl_ResidentData[[#This Row],[Discharge '[mmm-yyyy']]]&gt;=AO$4)))))</f>
        <v>-</v>
      </c>
      <c r="AP197" s="121" t="str">
        <f ca="1">IF(AP$4&gt;NOW(),"-",IF(ISBLANK(Tbl_ResidentData[[#This Row],[Enrollment '[mmm-yyyy']]]),"-",AND((Tbl_ResidentData[[#This Row],[Enrollment '[mmm-yyyy']]]&lt;=AP$4),IF(ISBLANK(Tbl_ResidentData[[#This Row],[Discharge '[mmm-yyyy']]]),TRUE,(Tbl_ResidentData[[#This Row],[Discharge '[mmm-yyyy']]]&gt;=AP$4)))))</f>
        <v>-</v>
      </c>
      <c r="AQ197" s="121" t="str">
        <f ca="1">IF(AQ$4&gt;NOW(),"-",IF(ISBLANK(Tbl_ResidentData[[#This Row],[Enrollment '[mmm-yyyy']]]),"-",AND((Tbl_ResidentData[[#This Row],[Enrollment '[mmm-yyyy']]]&lt;=AQ$4),IF(ISBLANK(Tbl_ResidentData[[#This Row],[Discharge '[mmm-yyyy']]]),TRUE,(Tbl_ResidentData[[#This Row],[Discharge '[mmm-yyyy']]]&gt;=AQ$4)))))</f>
        <v>-</v>
      </c>
      <c r="AR197" s="122" t="str">
        <f ca="1">IF(AR$4&gt;NOW(),"-",IF(ISBLANK(Tbl_ResidentData[[#This Row],[Enrollment '[mmm-yyyy']]]),"-",AND((Tbl_ResidentData[[#This Row],[Enrollment '[mmm-yyyy']]]&lt;=AR$4),IF(ISBLANK(Tbl_ResidentData[[#This Row],[Discharge '[mmm-yyyy']]]),TRUE,(Tbl_ResidentData[[#This Row],[Discharge '[mmm-yyyy']]]&gt;=AR$4)))))</f>
        <v>-</v>
      </c>
      <c r="AS19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7" s="120" t="b">
        <f ca="1">AND(Tbl_ResidentData[[#This Row],[PRN Med Started]]&lt;&gt;"",Tbl_ResidentData[[#This Row],[PRN Med Started]]&lt;=NOW(),Tbl_ResidentData[[#This Row],[PRN Med Started]]&lt;=AS$4,OR(Tbl_ResidentData[[#This Row],[PRN Med Discontinued]]&gt;AS$4,ISBLANK(Tbl_ResidentData[[#This Row],[PRN Med Discontinued]])))</f>
        <v>0</v>
      </c>
      <c r="BR197" s="121" t="b">
        <f ca="1">AND(Tbl_ResidentData[[#This Row],[PRN Med Started]]&lt;&gt;"",Tbl_ResidentData[[#This Row],[PRN Med Started]]&lt;=NOW(),Tbl_ResidentData[[#This Row],[PRN Med Started]]&lt;=AT$4,OR(Tbl_ResidentData[[#This Row],[PRN Med Discontinued]]&gt;AT$4,ISBLANK(Tbl_ResidentData[[#This Row],[PRN Med Discontinued]])))</f>
        <v>0</v>
      </c>
      <c r="BS197" s="121" t="b">
        <f ca="1">AND(Tbl_ResidentData[[#This Row],[PRN Med Started]]&lt;&gt;"",Tbl_ResidentData[[#This Row],[PRN Med Started]]&lt;=NOW(),Tbl_ResidentData[[#This Row],[PRN Med Started]]&lt;=AU$4,OR(Tbl_ResidentData[[#This Row],[PRN Med Discontinued]]&gt;AU$4,ISBLANK(Tbl_ResidentData[[#This Row],[PRN Med Discontinued]])))</f>
        <v>0</v>
      </c>
      <c r="BT197" s="121" t="b">
        <f ca="1">AND(Tbl_ResidentData[[#This Row],[PRN Med Started]]&lt;&gt;"",Tbl_ResidentData[[#This Row],[PRN Med Started]]&lt;=NOW(),Tbl_ResidentData[[#This Row],[PRN Med Started]]&lt;=AV$4,OR(Tbl_ResidentData[[#This Row],[PRN Med Discontinued]]&gt;AV$4,ISBLANK(Tbl_ResidentData[[#This Row],[PRN Med Discontinued]])))</f>
        <v>0</v>
      </c>
      <c r="BU197" s="121" t="b">
        <f ca="1">AND(Tbl_ResidentData[[#This Row],[PRN Med Started]]&lt;&gt;"",Tbl_ResidentData[[#This Row],[PRN Med Started]]&lt;=NOW(),Tbl_ResidentData[[#This Row],[PRN Med Started]]&lt;=AW$4,OR(Tbl_ResidentData[[#This Row],[PRN Med Discontinued]]&gt;AW$4,ISBLANK(Tbl_ResidentData[[#This Row],[PRN Med Discontinued]])))</f>
        <v>0</v>
      </c>
      <c r="BV197" s="121" t="b">
        <f ca="1">AND(Tbl_ResidentData[[#This Row],[PRN Med Started]]&lt;&gt;"",Tbl_ResidentData[[#This Row],[PRN Med Started]]&lt;=NOW(),Tbl_ResidentData[[#This Row],[PRN Med Started]]&lt;=AX$4,OR(Tbl_ResidentData[[#This Row],[PRN Med Discontinued]]&gt;AX$4,ISBLANK(Tbl_ResidentData[[#This Row],[PRN Med Discontinued]])))</f>
        <v>0</v>
      </c>
      <c r="BW197" s="121" t="b">
        <f ca="1">AND(Tbl_ResidentData[[#This Row],[PRN Med Started]]&lt;&gt;"",Tbl_ResidentData[[#This Row],[PRN Med Started]]&lt;=NOW(),Tbl_ResidentData[[#This Row],[PRN Med Started]]&lt;=AY$4,OR(Tbl_ResidentData[[#This Row],[PRN Med Discontinued]]&gt;AY$4,ISBLANK(Tbl_ResidentData[[#This Row],[PRN Med Discontinued]])))</f>
        <v>0</v>
      </c>
      <c r="BX197" s="121" t="b">
        <f ca="1">AND(Tbl_ResidentData[[#This Row],[PRN Med Started]]&lt;&gt;"",Tbl_ResidentData[[#This Row],[PRN Med Started]]&lt;=NOW(),Tbl_ResidentData[[#This Row],[PRN Med Started]]&lt;=AZ$4,OR(Tbl_ResidentData[[#This Row],[PRN Med Discontinued]]&gt;AZ$4,ISBLANK(Tbl_ResidentData[[#This Row],[PRN Med Discontinued]])))</f>
        <v>0</v>
      </c>
      <c r="BY197" s="121" t="b">
        <f ca="1">AND(Tbl_ResidentData[[#This Row],[PRN Med Started]]&lt;&gt;"",Tbl_ResidentData[[#This Row],[PRN Med Started]]&lt;=NOW(),Tbl_ResidentData[[#This Row],[PRN Med Started]]&lt;=BA$4,OR(Tbl_ResidentData[[#This Row],[PRN Med Discontinued]]&gt;BA$4,ISBLANK(Tbl_ResidentData[[#This Row],[PRN Med Discontinued]])))</f>
        <v>0</v>
      </c>
      <c r="BZ197" s="121" t="b">
        <f ca="1">AND(Tbl_ResidentData[[#This Row],[PRN Med Started]]&lt;&gt;"",Tbl_ResidentData[[#This Row],[PRN Med Started]]&lt;=NOW(),Tbl_ResidentData[[#This Row],[PRN Med Started]]&lt;=BB$4,OR(Tbl_ResidentData[[#This Row],[PRN Med Discontinued]]&gt;BB$4,ISBLANK(Tbl_ResidentData[[#This Row],[PRN Med Discontinued]])))</f>
        <v>0</v>
      </c>
      <c r="CA197" s="121" t="b">
        <f ca="1">AND(Tbl_ResidentData[[#This Row],[PRN Med Started]]&lt;&gt;"",Tbl_ResidentData[[#This Row],[PRN Med Started]]&lt;=NOW(),Tbl_ResidentData[[#This Row],[PRN Med Started]]&lt;=BC$4,OR(Tbl_ResidentData[[#This Row],[PRN Med Discontinued]]&gt;BC$4,ISBLANK(Tbl_ResidentData[[#This Row],[PRN Med Discontinued]])))</f>
        <v>0</v>
      </c>
      <c r="CB197" s="121" t="b">
        <f ca="1">AND(Tbl_ResidentData[[#This Row],[PRN Med Started]]&lt;&gt;"",Tbl_ResidentData[[#This Row],[PRN Med Started]]&lt;=NOW(),Tbl_ResidentData[[#This Row],[PRN Med Started]]&lt;=BD$4,OR(Tbl_ResidentData[[#This Row],[PRN Med Discontinued]]&gt;BD$4,ISBLANK(Tbl_ResidentData[[#This Row],[PRN Med Discontinued]])))</f>
        <v>0</v>
      </c>
      <c r="CC197" s="121" t="b">
        <f ca="1">AND(Tbl_ResidentData[[#This Row],[PRN Med Started]]&lt;&gt;"",Tbl_ResidentData[[#This Row],[PRN Med Started]]&lt;=NOW(),Tbl_ResidentData[[#This Row],[PRN Med Started]]&lt;=BE$4,OR(Tbl_ResidentData[[#This Row],[PRN Med Discontinued]]&gt;BE$4,ISBLANK(Tbl_ResidentData[[#This Row],[PRN Med Discontinued]])))</f>
        <v>0</v>
      </c>
      <c r="CD197" s="121" t="b">
        <f ca="1">AND(Tbl_ResidentData[[#This Row],[PRN Med Started]]&lt;&gt;"",Tbl_ResidentData[[#This Row],[PRN Med Started]]&lt;=NOW(),Tbl_ResidentData[[#This Row],[PRN Med Started]]&lt;=BF$4,OR(Tbl_ResidentData[[#This Row],[PRN Med Discontinued]]&gt;BF$4,ISBLANK(Tbl_ResidentData[[#This Row],[PRN Med Discontinued]])))</f>
        <v>0</v>
      </c>
      <c r="CE197" s="121" t="b">
        <f ca="1">AND(Tbl_ResidentData[[#This Row],[PRN Med Started]]&lt;&gt;"",Tbl_ResidentData[[#This Row],[PRN Med Started]]&lt;=NOW(),Tbl_ResidentData[[#This Row],[PRN Med Started]]&lt;=BG$4,OR(Tbl_ResidentData[[#This Row],[PRN Med Discontinued]]&gt;BG$4,ISBLANK(Tbl_ResidentData[[#This Row],[PRN Med Discontinued]])))</f>
        <v>0</v>
      </c>
      <c r="CF197" s="121" t="b">
        <f ca="1">AND(Tbl_ResidentData[[#This Row],[PRN Med Started]]&lt;&gt;"",Tbl_ResidentData[[#This Row],[PRN Med Started]]&lt;=NOW(),Tbl_ResidentData[[#This Row],[PRN Med Started]]&lt;=BH$4,OR(Tbl_ResidentData[[#This Row],[PRN Med Discontinued]]&gt;BH$4,ISBLANK(Tbl_ResidentData[[#This Row],[PRN Med Discontinued]])))</f>
        <v>0</v>
      </c>
      <c r="CG197" s="121" t="b">
        <f ca="1">AND(Tbl_ResidentData[[#This Row],[PRN Med Started]]&lt;&gt;"",Tbl_ResidentData[[#This Row],[PRN Med Started]]&lt;=NOW(),Tbl_ResidentData[[#This Row],[PRN Med Started]]&lt;=BI$4,OR(Tbl_ResidentData[[#This Row],[PRN Med Discontinued]]&gt;BI$4,ISBLANK(Tbl_ResidentData[[#This Row],[PRN Med Discontinued]])))</f>
        <v>0</v>
      </c>
      <c r="CH197" s="121" t="b">
        <f ca="1">AND(Tbl_ResidentData[[#This Row],[PRN Med Started]]&lt;&gt;"",Tbl_ResidentData[[#This Row],[PRN Med Started]]&lt;=NOW(),Tbl_ResidentData[[#This Row],[PRN Med Started]]&lt;=BJ$4,OR(Tbl_ResidentData[[#This Row],[PRN Med Discontinued]]&gt;BJ$4,ISBLANK(Tbl_ResidentData[[#This Row],[PRN Med Discontinued]])))</f>
        <v>0</v>
      </c>
      <c r="CI197" s="121" t="b">
        <f ca="1">AND(Tbl_ResidentData[[#This Row],[PRN Med Started]]&lt;&gt;"",Tbl_ResidentData[[#This Row],[PRN Med Started]]&lt;=NOW(),Tbl_ResidentData[[#This Row],[PRN Med Started]]&lt;=BK$4,OR(Tbl_ResidentData[[#This Row],[PRN Med Discontinued]]&gt;BK$4,ISBLANK(Tbl_ResidentData[[#This Row],[PRN Med Discontinued]])))</f>
        <v>0</v>
      </c>
      <c r="CJ197" s="121" t="b">
        <f ca="1">AND(Tbl_ResidentData[[#This Row],[PRN Med Started]]&lt;&gt;"",Tbl_ResidentData[[#This Row],[PRN Med Started]]&lt;=NOW(),Tbl_ResidentData[[#This Row],[PRN Med Started]]&lt;=BL$4,OR(Tbl_ResidentData[[#This Row],[PRN Med Discontinued]]&gt;BL$4,ISBLANK(Tbl_ResidentData[[#This Row],[PRN Med Discontinued]])))</f>
        <v>0</v>
      </c>
      <c r="CK197" s="121" t="b">
        <f ca="1">AND(Tbl_ResidentData[[#This Row],[PRN Med Started]]&lt;&gt;"",Tbl_ResidentData[[#This Row],[PRN Med Started]]&lt;=NOW(),Tbl_ResidentData[[#This Row],[PRN Med Started]]&lt;=BM$4,OR(Tbl_ResidentData[[#This Row],[PRN Med Discontinued]]&gt;BM$4,ISBLANK(Tbl_ResidentData[[#This Row],[PRN Med Discontinued]])))</f>
        <v>0</v>
      </c>
      <c r="CL197" s="121" t="b">
        <f ca="1">AND(Tbl_ResidentData[[#This Row],[PRN Med Started]]&lt;&gt;"",Tbl_ResidentData[[#This Row],[PRN Med Started]]&lt;=NOW(),Tbl_ResidentData[[#This Row],[PRN Med Started]]&lt;=BN$4,OR(Tbl_ResidentData[[#This Row],[PRN Med Discontinued]]&gt;BN$4,ISBLANK(Tbl_ResidentData[[#This Row],[PRN Med Discontinued]])))</f>
        <v>0</v>
      </c>
      <c r="CM197" s="121" t="b">
        <f ca="1">AND(Tbl_ResidentData[[#This Row],[PRN Med Started]]&lt;&gt;"",Tbl_ResidentData[[#This Row],[PRN Med Started]]&lt;=NOW(),Tbl_ResidentData[[#This Row],[PRN Med Started]]&lt;=BO$4,OR(Tbl_ResidentData[[#This Row],[PRN Med Discontinued]]&gt;BO$4,ISBLANK(Tbl_ResidentData[[#This Row],[PRN Med Discontinued]])))</f>
        <v>0</v>
      </c>
      <c r="CN197" s="122" t="b">
        <f ca="1">AND(Tbl_ResidentData[[#This Row],[PRN Med Started]]&lt;&gt;"",Tbl_ResidentData[[#This Row],[PRN Med Started]]&lt;=NOW(),Tbl_ResidentData[[#This Row],[PRN Med Started]]&lt;=BP$4,OR(Tbl_ResidentData[[#This Row],[PRN Med Discontinued]]&gt;BP$4,ISBLANK(Tbl_ResidentData[[#This Row],[PRN Med Discontinued]])))</f>
        <v>0</v>
      </c>
      <c r="CO197" s="120">
        <f ca="1">IF(OR(Tbl_ResidentData[[#This Row],[S1]]=TRUE,Tbl_ResidentData[[#This Row],[P1]]=TRUE),1,0)</f>
        <v>0</v>
      </c>
      <c r="CP197" s="121">
        <f ca="1">IF(OR(Tbl_ResidentData[[#This Row],[S2]]=TRUE,Tbl_ResidentData[[#This Row],[P2]]=TRUE),1,0)</f>
        <v>0</v>
      </c>
      <c r="CQ197" s="121">
        <f ca="1">IF(OR(Tbl_ResidentData[[#This Row],[S3]]=TRUE,Tbl_ResidentData[[#This Row],[P3]]=TRUE),1,0)</f>
        <v>0</v>
      </c>
      <c r="CR197" s="120">
        <f ca="1">IF(OR(Tbl_ResidentData[[#This Row],[S4]]=TRUE,Tbl_ResidentData[[#This Row],[P4]]=TRUE),1,0)</f>
        <v>0</v>
      </c>
      <c r="CS197" s="120">
        <f ca="1">IF(OR(Tbl_ResidentData[[#This Row],[S5]]=TRUE,Tbl_ResidentData[[#This Row],[P5]]=TRUE),1,0)</f>
        <v>0</v>
      </c>
      <c r="CT197" s="120">
        <f ca="1">IF(OR(Tbl_ResidentData[[#This Row],[S6]]=TRUE,Tbl_ResidentData[[#This Row],[P6]]=TRUE),1,0)</f>
        <v>0</v>
      </c>
      <c r="CU197" s="120">
        <f ca="1">IF(OR(Tbl_ResidentData[[#This Row],[S7]]=TRUE,Tbl_ResidentData[[#This Row],[P7]]=TRUE),1,0)</f>
        <v>0</v>
      </c>
      <c r="CV197" s="120">
        <f ca="1">IF(OR(Tbl_ResidentData[[#This Row],[S8]]=TRUE,Tbl_ResidentData[[#This Row],[P8]]=TRUE),1,0)</f>
        <v>0</v>
      </c>
      <c r="CW197" s="120">
        <f ca="1">IF(OR(Tbl_ResidentData[[#This Row],[S9]]=TRUE,Tbl_ResidentData[[#This Row],[P9]]=TRUE),1,0)</f>
        <v>0</v>
      </c>
      <c r="CX197" s="120">
        <f ca="1">IF(OR(Tbl_ResidentData[[#This Row],[S10]]=TRUE,Tbl_ResidentData[[#This Row],[P10]]=TRUE),1,0)</f>
        <v>0</v>
      </c>
      <c r="CY197" s="120">
        <f ca="1">IF(OR(Tbl_ResidentData[[#This Row],[S11]]=TRUE,Tbl_ResidentData[[#This Row],[P11]]=TRUE),1,0)</f>
        <v>0</v>
      </c>
      <c r="CZ197" s="120">
        <f ca="1">IF(OR(Tbl_ResidentData[[#This Row],[S12]]=TRUE,Tbl_ResidentData[[#This Row],[P12]]=TRUE),1,0)</f>
        <v>0</v>
      </c>
      <c r="DA197" s="120">
        <f ca="1">IF(OR(Tbl_ResidentData[[#This Row],[S13]]=TRUE,Tbl_ResidentData[[#This Row],[P13]]=TRUE),1,0)</f>
        <v>0</v>
      </c>
      <c r="DB197" s="120">
        <f ca="1">IF(OR(Tbl_ResidentData[[#This Row],[S14]]=TRUE,Tbl_ResidentData[[#This Row],[P14]]=TRUE),1,0)</f>
        <v>0</v>
      </c>
      <c r="DC197" s="120">
        <f ca="1">IF(OR(Tbl_ResidentData[[#This Row],[S15]]=TRUE,Tbl_ResidentData[[#This Row],[P15]]=TRUE),1,0)</f>
        <v>0</v>
      </c>
      <c r="DD197" s="120">
        <f ca="1">IF(OR(Tbl_ResidentData[[#This Row],[S16]]=TRUE,Tbl_ResidentData[[#This Row],[P16]]=TRUE),1,0)</f>
        <v>0</v>
      </c>
      <c r="DE197" s="120">
        <f ca="1">IF(OR(Tbl_ResidentData[[#This Row],[S17]]=TRUE,Tbl_ResidentData[[#This Row],[P17]]=TRUE),1,0)</f>
        <v>0</v>
      </c>
      <c r="DF197" s="120">
        <f ca="1">IF(OR(Tbl_ResidentData[[#This Row],[S18]]=TRUE,Tbl_ResidentData[[#This Row],[P18]]=TRUE),1,0)</f>
        <v>0</v>
      </c>
      <c r="DG197" s="120">
        <f ca="1">IF(OR(Tbl_ResidentData[[#This Row],[S19]]=TRUE,Tbl_ResidentData[[#This Row],[P19]]=TRUE),1,0)</f>
        <v>0</v>
      </c>
      <c r="DH197" s="120">
        <f ca="1">IF(OR(Tbl_ResidentData[[#This Row],[S20]]=TRUE,Tbl_ResidentData[[#This Row],[P20]]=TRUE),1,0)</f>
        <v>0</v>
      </c>
      <c r="DI197" s="120">
        <f ca="1">IF(OR(Tbl_ResidentData[[#This Row],[S21]]=TRUE,Tbl_ResidentData[[#This Row],[P21]]=TRUE),1,0)</f>
        <v>0</v>
      </c>
      <c r="DJ197" s="120">
        <f ca="1">IF(OR(Tbl_ResidentData[[#This Row],[S22]]=TRUE,Tbl_ResidentData[[#This Row],[P22]]=TRUE),1,0)</f>
        <v>0</v>
      </c>
      <c r="DK197" s="120">
        <f ca="1">IF(OR(Tbl_ResidentData[[#This Row],[S23]]=TRUE,Tbl_ResidentData[[#This Row],[P23]]=TRUE),1,0)</f>
        <v>0</v>
      </c>
      <c r="DL197" s="120">
        <f ca="1">IF(OR(Tbl_ResidentData[[#This Row],[S24]]=TRUE,Tbl_ResidentData[[#This Row],[P24]]=TRUE),1,0)</f>
        <v>0</v>
      </c>
      <c r="DM197" s="123" t="str">
        <f ca="1">IFERROR(INDEX($CO$4:$DL$4,MATCH(TRUE,INDEX((Tbl_ResidentData[[#This Row],[Over1]:[Over24]]&lt;&gt;0),0),0)),"")</f>
        <v/>
      </c>
      <c r="DN197" s="133" t="str">
        <f>IFERROR(INDEX(Tbl_PDSAData[Last DRT],MATCH(Tbl_ResidentData[Resident Name '[last, first']],Tbl_PDSAData[Resident Name (last, first)],0)),"")</f>
        <v/>
      </c>
      <c r="DO197" s="222" t="str">
        <f>IFERROR(INDEX(Tbl_PDSAData[Last MR],MATCH(Tbl_ResidentData[Resident Name '[last, first']],Tbl_PDSAData[Resident Name (last, first)],0)),"")</f>
        <v/>
      </c>
    </row>
    <row r="198" spans="1:119" x14ac:dyDescent="0.25">
      <c r="A198" s="179"/>
      <c r="B198" s="180"/>
      <c r="C198" s="180"/>
      <c r="D198" s="218"/>
      <c r="E198" s="179"/>
      <c r="F198" s="179"/>
      <c r="G198" s="181"/>
      <c r="H198" s="182"/>
      <c r="I198" s="185"/>
      <c r="J198" s="387"/>
      <c r="K198" s="178"/>
      <c r="L198" s="388"/>
      <c r="M198" s="185"/>
      <c r="N198" s="386"/>
      <c r="O198" s="178"/>
      <c r="P198" s="388"/>
      <c r="Q198" s="394"/>
      <c r="R198" s="388"/>
      <c r="S198" s="131" t="str">
        <f>IF(ISBLANK(Tbl_ResidentData[[#This Row],[Discharge '[mmm-yyyy']]]),IF(ISBLANK(Tbl_ResidentData[[#This Row],[Enrollment '[mmm-yyyy']]]),"","In Care Home"),"Discharged")</f>
        <v/>
      </c>
      <c r="T198" s="119" t="str">
        <f>IF(ISBLANK(Tbl_ResidentData[[#This Row],[Diagnosis (RAI)]]),IF(ISBLANK(Tbl_ResidentData[[#This Row],[Resident Name '[last, first']]]),"",0),IF(Tbl_ResidentData[[#This Row],[Diagnosis (RAI)]]="Other (see clinical notes)",0,1))</f>
        <v/>
      </c>
      <c r="U198" s="120" t="str">
        <f ca="1">IF(U$4&gt;NOW(),"-",IF(ISBLANK(Tbl_ResidentData[[#This Row],[Enrollment '[mmm-yyyy']]]),"-",AND((Tbl_ResidentData[[#This Row],[Enrollment '[mmm-yyyy']]]&lt;=U$4),IF(ISBLANK(Tbl_ResidentData[[#This Row],[Discharge '[mmm-yyyy']]]),TRUE,(Tbl_ResidentData[[#This Row],[Discharge '[mmm-yyyy']]]&gt;=U$4)))))</f>
        <v>-</v>
      </c>
      <c r="V198" s="121" t="str">
        <f ca="1">IF(V$4&gt;NOW(),"-",IF(ISBLANK(Tbl_ResidentData[[#This Row],[Enrollment '[mmm-yyyy']]]),"-",AND((Tbl_ResidentData[[#This Row],[Enrollment '[mmm-yyyy']]]&lt;=V$4),IF(ISBLANK(Tbl_ResidentData[[#This Row],[Discharge '[mmm-yyyy']]]),TRUE,(Tbl_ResidentData[[#This Row],[Discharge '[mmm-yyyy']]]&gt;=V$4)))))</f>
        <v>-</v>
      </c>
      <c r="W198" s="121" t="str">
        <f ca="1">IF(W$4&gt;NOW(),"-",IF(ISBLANK(Tbl_ResidentData[[#This Row],[Enrollment '[mmm-yyyy']]]),"-",AND((Tbl_ResidentData[[#This Row],[Enrollment '[mmm-yyyy']]]&lt;=W$4),IF(ISBLANK(Tbl_ResidentData[[#This Row],[Discharge '[mmm-yyyy']]]),TRUE,(Tbl_ResidentData[[#This Row],[Discharge '[mmm-yyyy']]]&gt;=W$4)))))</f>
        <v>-</v>
      </c>
      <c r="X198" s="121" t="str">
        <f ca="1">IF(X$4&gt;NOW(),"-",IF(ISBLANK(Tbl_ResidentData[[#This Row],[Enrollment '[mmm-yyyy']]]),"-",AND((Tbl_ResidentData[[#This Row],[Enrollment '[mmm-yyyy']]]&lt;=X$4),IF(ISBLANK(Tbl_ResidentData[[#This Row],[Discharge '[mmm-yyyy']]]),TRUE,(Tbl_ResidentData[[#This Row],[Discharge '[mmm-yyyy']]]&gt;=X$4)))))</f>
        <v>-</v>
      </c>
      <c r="Y198" s="121" t="str">
        <f ca="1">IF(Y$4&gt;NOW(),"-",IF(ISBLANK(Tbl_ResidentData[[#This Row],[Enrollment '[mmm-yyyy']]]),"-",AND((Tbl_ResidentData[[#This Row],[Enrollment '[mmm-yyyy']]]&lt;=Y$4),IF(ISBLANK(Tbl_ResidentData[[#This Row],[Discharge '[mmm-yyyy']]]),TRUE,(Tbl_ResidentData[[#This Row],[Discharge '[mmm-yyyy']]]&gt;=Y$4)))))</f>
        <v>-</v>
      </c>
      <c r="Z198" s="121" t="str">
        <f ca="1">IF(Z$4&gt;NOW(),"-",IF(ISBLANK(Tbl_ResidentData[[#This Row],[Enrollment '[mmm-yyyy']]]),"-",AND((Tbl_ResidentData[[#This Row],[Enrollment '[mmm-yyyy']]]&lt;=Z$4),IF(ISBLANK(Tbl_ResidentData[[#This Row],[Discharge '[mmm-yyyy']]]),TRUE,(Tbl_ResidentData[[#This Row],[Discharge '[mmm-yyyy']]]&gt;=Z$4)))))</f>
        <v>-</v>
      </c>
      <c r="AA198" s="121" t="str">
        <f ca="1">IF(AA$4&gt;NOW(),"-",IF(ISBLANK(Tbl_ResidentData[[#This Row],[Enrollment '[mmm-yyyy']]]),"-",AND((Tbl_ResidentData[[#This Row],[Enrollment '[mmm-yyyy']]]&lt;=AA$4),IF(ISBLANK(Tbl_ResidentData[[#This Row],[Discharge '[mmm-yyyy']]]),TRUE,(Tbl_ResidentData[[#This Row],[Discharge '[mmm-yyyy']]]&gt;=AA$4)))))</f>
        <v>-</v>
      </c>
      <c r="AB198" s="121" t="str">
        <f ca="1">IF(AB$4&gt;NOW(),"-",IF(ISBLANK(Tbl_ResidentData[[#This Row],[Enrollment '[mmm-yyyy']]]),"-",AND((Tbl_ResidentData[[#This Row],[Enrollment '[mmm-yyyy']]]&lt;=AB$4),IF(ISBLANK(Tbl_ResidentData[[#This Row],[Discharge '[mmm-yyyy']]]),TRUE,(Tbl_ResidentData[[#This Row],[Discharge '[mmm-yyyy']]]&gt;=AB$4)))))</f>
        <v>-</v>
      </c>
      <c r="AC198" s="121" t="str">
        <f ca="1">IF(AC$4&gt;NOW(),"-",IF(ISBLANK(Tbl_ResidentData[[#This Row],[Enrollment '[mmm-yyyy']]]),"-",AND((Tbl_ResidentData[[#This Row],[Enrollment '[mmm-yyyy']]]&lt;=AC$4),IF(ISBLANK(Tbl_ResidentData[[#This Row],[Discharge '[mmm-yyyy']]]),TRUE,(Tbl_ResidentData[[#This Row],[Discharge '[mmm-yyyy']]]&gt;=AC$4)))))</f>
        <v>-</v>
      </c>
      <c r="AD198" s="121" t="str">
        <f ca="1">IF(AD$4&gt;NOW(),"-",IF(ISBLANK(Tbl_ResidentData[[#This Row],[Enrollment '[mmm-yyyy']]]),"-",AND((Tbl_ResidentData[[#This Row],[Enrollment '[mmm-yyyy']]]&lt;=AD$4),IF(ISBLANK(Tbl_ResidentData[[#This Row],[Discharge '[mmm-yyyy']]]),TRUE,(Tbl_ResidentData[[#This Row],[Discharge '[mmm-yyyy']]]&gt;=AD$4)))))</f>
        <v>-</v>
      </c>
      <c r="AE198" s="121" t="str">
        <f ca="1">IF(AE$4&gt;NOW(),"-",IF(ISBLANK(Tbl_ResidentData[[#This Row],[Enrollment '[mmm-yyyy']]]),"-",AND((Tbl_ResidentData[[#This Row],[Enrollment '[mmm-yyyy']]]&lt;=AE$4),IF(ISBLANK(Tbl_ResidentData[[#This Row],[Discharge '[mmm-yyyy']]]),TRUE,(Tbl_ResidentData[[#This Row],[Discharge '[mmm-yyyy']]]&gt;=AE$4)))))</f>
        <v>-</v>
      </c>
      <c r="AF198" s="121" t="str">
        <f ca="1">IF(AF$4&gt;NOW(),"-",IF(ISBLANK(Tbl_ResidentData[[#This Row],[Enrollment '[mmm-yyyy']]]),"-",AND((Tbl_ResidentData[[#This Row],[Enrollment '[mmm-yyyy']]]&lt;=AF$4),IF(ISBLANK(Tbl_ResidentData[[#This Row],[Discharge '[mmm-yyyy']]]),TRUE,(Tbl_ResidentData[[#This Row],[Discharge '[mmm-yyyy']]]&gt;=AF$4)))))</f>
        <v>-</v>
      </c>
      <c r="AG198" s="121" t="str">
        <f ca="1">IF(AG$4&gt;NOW(),"-",IF(ISBLANK(Tbl_ResidentData[[#This Row],[Enrollment '[mmm-yyyy']]]),"-",AND((Tbl_ResidentData[[#This Row],[Enrollment '[mmm-yyyy']]]&lt;=AG$4),IF(ISBLANK(Tbl_ResidentData[[#This Row],[Discharge '[mmm-yyyy']]]),TRUE,(Tbl_ResidentData[[#This Row],[Discharge '[mmm-yyyy']]]&gt;=AG$4)))))</f>
        <v>-</v>
      </c>
      <c r="AH198" s="121" t="str">
        <f ca="1">IF(AH$4&gt;NOW(),"-",IF(ISBLANK(Tbl_ResidentData[[#This Row],[Enrollment '[mmm-yyyy']]]),"-",AND((Tbl_ResidentData[[#This Row],[Enrollment '[mmm-yyyy']]]&lt;=AH$4),IF(ISBLANK(Tbl_ResidentData[[#This Row],[Discharge '[mmm-yyyy']]]),TRUE,(Tbl_ResidentData[[#This Row],[Discharge '[mmm-yyyy']]]&gt;=AH$4)))))</f>
        <v>-</v>
      </c>
      <c r="AI198" s="121" t="str">
        <f ca="1">IF(AI$4&gt;NOW(),"-",IF(ISBLANK(Tbl_ResidentData[[#This Row],[Enrollment '[mmm-yyyy']]]),"-",AND((Tbl_ResidentData[[#This Row],[Enrollment '[mmm-yyyy']]]&lt;=AI$4),IF(ISBLANK(Tbl_ResidentData[[#This Row],[Discharge '[mmm-yyyy']]]),TRUE,(Tbl_ResidentData[[#This Row],[Discharge '[mmm-yyyy']]]&gt;=AI$4)))))</f>
        <v>-</v>
      </c>
      <c r="AJ198" s="121" t="str">
        <f ca="1">IF(AJ$4&gt;NOW(),"-",IF(ISBLANK(Tbl_ResidentData[[#This Row],[Enrollment '[mmm-yyyy']]]),"-",AND((Tbl_ResidentData[[#This Row],[Enrollment '[mmm-yyyy']]]&lt;=AJ$4),IF(ISBLANK(Tbl_ResidentData[[#This Row],[Discharge '[mmm-yyyy']]]),TRUE,(Tbl_ResidentData[[#This Row],[Discharge '[mmm-yyyy']]]&gt;=AJ$4)))))</f>
        <v>-</v>
      </c>
      <c r="AK198" s="121" t="str">
        <f ca="1">IF(AK$4&gt;NOW(),"-",IF(ISBLANK(Tbl_ResidentData[[#This Row],[Enrollment '[mmm-yyyy']]]),"-",AND((Tbl_ResidentData[[#This Row],[Enrollment '[mmm-yyyy']]]&lt;=AK$4),IF(ISBLANK(Tbl_ResidentData[[#This Row],[Discharge '[mmm-yyyy']]]),TRUE,(Tbl_ResidentData[[#This Row],[Discharge '[mmm-yyyy']]]&gt;=AK$4)))))</f>
        <v>-</v>
      </c>
      <c r="AL198" s="121" t="str">
        <f ca="1">IF(AL$4&gt;NOW(),"-",IF(ISBLANK(Tbl_ResidentData[[#This Row],[Enrollment '[mmm-yyyy']]]),"-",AND((Tbl_ResidentData[[#This Row],[Enrollment '[mmm-yyyy']]]&lt;=AL$4),IF(ISBLANK(Tbl_ResidentData[[#This Row],[Discharge '[mmm-yyyy']]]),TRUE,(Tbl_ResidentData[[#This Row],[Discharge '[mmm-yyyy']]]&gt;=AL$4)))))</f>
        <v>-</v>
      </c>
      <c r="AM198" s="121" t="str">
        <f ca="1">IF(AM$4&gt;NOW(),"-",IF(ISBLANK(Tbl_ResidentData[[#This Row],[Enrollment '[mmm-yyyy']]]),"-",AND((Tbl_ResidentData[[#This Row],[Enrollment '[mmm-yyyy']]]&lt;=AM$4),IF(ISBLANK(Tbl_ResidentData[[#This Row],[Discharge '[mmm-yyyy']]]),TRUE,(Tbl_ResidentData[[#This Row],[Discharge '[mmm-yyyy']]]&gt;=AM$4)))))</f>
        <v>-</v>
      </c>
      <c r="AN198" s="121" t="str">
        <f ca="1">IF(AN$4&gt;NOW(),"-",IF(ISBLANK(Tbl_ResidentData[[#This Row],[Enrollment '[mmm-yyyy']]]),"-",AND((Tbl_ResidentData[[#This Row],[Enrollment '[mmm-yyyy']]]&lt;=AN$4),IF(ISBLANK(Tbl_ResidentData[[#This Row],[Discharge '[mmm-yyyy']]]),TRUE,(Tbl_ResidentData[[#This Row],[Discharge '[mmm-yyyy']]]&gt;=AN$4)))))</f>
        <v>-</v>
      </c>
      <c r="AO198" s="121" t="str">
        <f ca="1">IF(AO$4&gt;NOW(),"-",IF(ISBLANK(Tbl_ResidentData[[#This Row],[Enrollment '[mmm-yyyy']]]),"-",AND((Tbl_ResidentData[[#This Row],[Enrollment '[mmm-yyyy']]]&lt;=AO$4),IF(ISBLANK(Tbl_ResidentData[[#This Row],[Discharge '[mmm-yyyy']]]),TRUE,(Tbl_ResidentData[[#This Row],[Discharge '[mmm-yyyy']]]&gt;=AO$4)))))</f>
        <v>-</v>
      </c>
      <c r="AP198" s="121" t="str">
        <f ca="1">IF(AP$4&gt;NOW(),"-",IF(ISBLANK(Tbl_ResidentData[[#This Row],[Enrollment '[mmm-yyyy']]]),"-",AND((Tbl_ResidentData[[#This Row],[Enrollment '[mmm-yyyy']]]&lt;=AP$4),IF(ISBLANK(Tbl_ResidentData[[#This Row],[Discharge '[mmm-yyyy']]]),TRUE,(Tbl_ResidentData[[#This Row],[Discharge '[mmm-yyyy']]]&gt;=AP$4)))))</f>
        <v>-</v>
      </c>
      <c r="AQ198" s="121" t="str">
        <f ca="1">IF(AQ$4&gt;NOW(),"-",IF(ISBLANK(Tbl_ResidentData[[#This Row],[Enrollment '[mmm-yyyy']]]),"-",AND((Tbl_ResidentData[[#This Row],[Enrollment '[mmm-yyyy']]]&lt;=AQ$4),IF(ISBLANK(Tbl_ResidentData[[#This Row],[Discharge '[mmm-yyyy']]]),TRUE,(Tbl_ResidentData[[#This Row],[Discharge '[mmm-yyyy']]]&gt;=AQ$4)))))</f>
        <v>-</v>
      </c>
      <c r="AR198" s="122" t="str">
        <f ca="1">IF(AR$4&gt;NOW(),"-",IF(ISBLANK(Tbl_ResidentData[[#This Row],[Enrollment '[mmm-yyyy']]]),"-",AND((Tbl_ResidentData[[#This Row],[Enrollment '[mmm-yyyy']]]&lt;=AR$4),IF(ISBLANK(Tbl_ResidentData[[#This Row],[Discharge '[mmm-yyyy']]]),TRUE,(Tbl_ResidentData[[#This Row],[Discharge '[mmm-yyyy']]]&gt;=AR$4)))))</f>
        <v>-</v>
      </c>
      <c r="AS19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8" s="120" t="b">
        <f ca="1">AND(Tbl_ResidentData[[#This Row],[PRN Med Started]]&lt;&gt;"",Tbl_ResidentData[[#This Row],[PRN Med Started]]&lt;=NOW(),Tbl_ResidentData[[#This Row],[PRN Med Started]]&lt;=AS$4,OR(Tbl_ResidentData[[#This Row],[PRN Med Discontinued]]&gt;AS$4,ISBLANK(Tbl_ResidentData[[#This Row],[PRN Med Discontinued]])))</f>
        <v>0</v>
      </c>
      <c r="BR198" s="121" t="b">
        <f ca="1">AND(Tbl_ResidentData[[#This Row],[PRN Med Started]]&lt;&gt;"",Tbl_ResidentData[[#This Row],[PRN Med Started]]&lt;=NOW(),Tbl_ResidentData[[#This Row],[PRN Med Started]]&lt;=AT$4,OR(Tbl_ResidentData[[#This Row],[PRN Med Discontinued]]&gt;AT$4,ISBLANK(Tbl_ResidentData[[#This Row],[PRN Med Discontinued]])))</f>
        <v>0</v>
      </c>
      <c r="BS198" s="121" t="b">
        <f ca="1">AND(Tbl_ResidentData[[#This Row],[PRN Med Started]]&lt;&gt;"",Tbl_ResidentData[[#This Row],[PRN Med Started]]&lt;=NOW(),Tbl_ResidentData[[#This Row],[PRN Med Started]]&lt;=AU$4,OR(Tbl_ResidentData[[#This Row],[PRN Med Discontinued]]&gt;AU$4,ISBLANK(Tbl_ResidentData[[#This Row],[PRN Med Discontinued]])))</f>
        <v>0</v>
      </c>
      <c r="BT198" s="121" t="b">
        <f ca="1">AND(Tbl_ResidentData[[#This Row],[PRN Med Started]]&lt;&gt;"",Tbl_ResidentData[[#This Row],[PRN Med Started]]&lt;=NOW(),Tbl_ResidentData[[#This Row],[PRN Med Started]]&lt;=AV$4,OR(Tbl_ResidentData[[#This Row],[PRN Med Discontinued]]&gt;AV$4,ISBLANK(Tbl_ResidentData[[#This Row],[PRN Med Discontinued]])))</f>
        <v>0</v>
      </c>
      <c r="BU198" s="121" t="b">
        <f ca="1">AND(Tbl_ResidentData[[#This Row],[PRN Med Started]]&lt;&gt;"",Tbl_ResidentData[[#This Row],[PRN Med Started]]&lt;=NOW(),Tbl_ResidentData[[#This Row],[PRN Med Started]]&lt;=AW$4,OR(Tbl_ResidentData[[#This Row],[PRN Med Discontinued]]&gt;AW$4,ISBLANK(Tbl_ResidentData[[#This Row],[PRN Med Discontinued]])))</f>
        <v>0</v>
      </c>
      <c r="BV198" s="121" t="b">
        <f ca="1">AND(Tbl_ResidentData[[#This Row],[PRN Med Started]]&lt;&gt;"",Tbl_ResidentData[[#This Row],[PRN Med Started]]&lt;=NOW(),Tbl_ResidentData[[#This Row],[PRN Med Started]]&lt;=AX$4,OR(Tbl_ResidentData[[#This Row],[PRN Med Discontinued]]&gt;AX$4,ISBLANK(Tbl_ResidentData[[#This Row],[PRN Med Discontinued]])))</f>
        <v>0</v>
      </c>
      <c r="BW198" s="121" t="b">
        <f ca="1">AND(Tbl_ResidentData[[#This Row],[PRN Med Started]]&lt;&gt;"",Tbl_ResidentData[[#This Row],[PRN Med Started]]&lt;=NOW(),Tbl_ResidentData[[#This Row],[PRN Med Started]]&lt;=AY$4,OR(Tbl_ResidentData[[#This Row],[PRN Med Discontinued]]&gt;AY$4,ISBLANK(Tbl_ResidentData[[#This Row],[PRN Med Discontinued]])))</f>
        <v>0</v>
      </c>
      <c r="BX198" s="121" t="b">
        <f ca="1">AND(Tbl_ResidentData[[#This Row],[PRN Med Started]]&lt;&gt;"",Tbl_ResidentData[[#This Row],[PRN Med Started]]&lt;=NOW(),Tbl_ResidentData[[#This Row],[PRN Med Started]]&lt;=AZ$4,OR(Tbl_ResidentData[[#This Row],[PRN Med Discontinued]]&gt;AZ$4,ISBLANK(Tbl_ResidentData[[#This Row],[PRN Med Discontinued]])))</f>
        <v>0</v>
      </c>
      <c r="BY198" s="121" t="b">
        <f ca="1">AND(Tbl_ResidentData[[#This Row],[PRN Med Started]]&lt;&gt;"",Tbl_ResidentData[[#This Row],[PRN Med Started]]&lt;=NOW(),Tbl_ResidentData[[#This Row],[PRN Med Started]]&lt;=BA$4,OR(Tbl_ResidentData[[#This Row],[PRN Med Discontinued]]&gt;BA$4,ISBLANK(Tbl_ResidentData[[#This Row],[PRN Med Discontinued]])))</f>
        <v>0</v>
      </c>
      <c r="BZ198" s="121" t="b">
        <f ca="1">AND(Tbl_ResidentData[[#This Row],[PRN Med Started]]&lt;&gt;"",Tbl_ResidentData[[#This Row],[PRN Med Started]]&lt;=NOW(),Tbl_ResidentData[[#This Row],[PRN Med Started]]&lt;=BB$4,OR(Tbl_ResidentData[[#This Row],[PRN Med Discontinued]]&gt;BB$4,ISBLANK(Tbl_ResidentData[[#This Row],[PRN Med Discontinued]])))</f>
        <v>0</v>
      </c>
      <c r="CA198" s="121" t="b">
        <f ca="1">AND(Tbl_ResidentData[[#This Row],[PRN Med Started]]&lt;&gt;"",Tbl_ResidentData[[#This Row],[PRN Med Started]]&lt;=NOW(),Tbl_ResidentData[[#This Row],[PRN Med Started]]&lt;=BC$4,OR(Tbl_ResidentData[[#This Row],[PRN Med Discontinued]]&gt;BC$4,ISBLANK(Tbl_ResidentData[[#This Row],[PRN Med Discontinued]])))</f>
        <v>0</v>
      </c>
      <c r="CB198" s="121" t="b">
        <f ca="1">AND(Tbl_ResidentData[[#This Row],[PRN Med Started]]&lt;&gt;"",Tbl_ResidentData[[#This Row],[PRN Med Started]]&lt;=NOW(),Tbl_ResidentData[[#This Row],[PRN Med Started]]&lt;=BD$4,OR(Tbl_ResidentData[[#This Row],[PRN Med Discontinued]]&gt;BD$4,ISBLANK(Tbl_ResidentData[[#This Row],[PRN Med Discontinued]])))</f>
        <v>0</v>
      </c>
      <c r="CC198" s="121" t="b">
        <f ca="1">AND(Tbl_ResidentData[[#This Row],[PRN Med Started]]&lt;&gt;"",Tbl_ResidentData[[#This Row],[PRN Med Started]]&lt;=NOW(),Tbl_ResidentData[[#This Row],[PRN Med Started]]&lt;=BE$4,OR(Tbl_ResidentData[[#This Row],[PRN Med Discontinued]]&gt;BE$4,ISBLANK(Tbl_ResidentData[[#This Row],[PRN Med Discontinued]])))</f>
        <v>0</v>
      </c>
      <c r="CD198" s="121" t="b">
        <f ca="1">AND(Tbl_ResidentData[[#This Row],[PRN Med Started]]&lt;&gt;"",Tbl_ResidentData[[#This Row],[PRN Med Started]]&lt;=NOW(),Tbl_ResidentData[[#This Row],[PRN Med Started]]&lt;=BF$4,OR(Tbl_ResidentData[[#This Row],[PRN Med Discontinued]]&gt;BF$4,ISBLANK(Tbl_ResidentData[[#This Row],[PRN Med Discontinued]])))</f>
        <v>0</v>
      </c>
      <c r="CE198" s="121" t="b">
        <f ca="1">AND(Tbl_ResidentData[[#This Row],[PRN Med Started]]&lt;&gt;"",Tbl_ResidentData[[#This Row],[PRN Med Started]]&lt;=NOW(),Tbl_ResidentData[[#This Row],[PRN Med Started]]&lt;=BG$4,OR(Tbl_ResidentData[[#This Row],[PRN Med Discontinued]]&gt;BG$4,ISBLANK(Tbl_ResidentData[[#This Row],[PRN Med Discontinued]])))</f>
        <v>0</v>
      </c>
      <c r="CF198" s="121" t="b">
        <f ca="1">AND(Tbl_ResidentData[[#This Row],[PRN Med Started]]&lt;&gt;"",Tbl_ResidentData[[#This Row],[PRN Med Started]]&lt;=NOW(),Tbl_ResidentData[[#This Row],[PRN Med Started]]&lt;=BH$4,OR(Tbl_ResidentData[[#This Row],[PRN Med Discontinued]]&gt;BH$4,ISBLANK(Tbl_ResidentData[[#This Row],[PRN Med Discontinued]])))</f>
        <v>0</v>
      </c>
      <c r="CG198" s="121" t="b">
        <f ca="1">AND(Tbl_ResidentData[[#This Row],[PRN Med Started]]&lt;&gt;"",Tbl_ResidentData[[#This Row],[PRN Med Started]]&lt;=NOW(),Tbl_ResidentData[[#This Row],[PRN Med Started]]&lt;=BI$4,OR(Tbl_ResidentData[[#This Row],[PRN Med Discontinued]]&gt;BI$4,ISBLANK(Tbl_ResidentData[[#This Row],[PRN Med Discontinued]])))</f>
        <v>0</v>
      </c>
      <c r="CH198" s="121" t="b">
        <f ca="1">AND(Tbl_ResidentData[[#This Row],[PRN Med Started]]&lt;&gt;"",Tbl_ResidentData[[#This Row],[PRN Med Started]]&lt;=NOW(),Tbl_ResidentData[[#This Row],[PRN Med Started]]&lt;=BJ$4,OR(Tbl_ResidentData[[#This Row],[PRN Med Discontinued]]&gt;BJ$4,ISBLANK(Tbl_ResidentData[[#This Row],[PRN Med Discontinued]])))</f>
        <v>0</v>
      </c>
      <c r="CI198" s="121" t="b">
        <f ca="1">AND(Tbl_ResidentData[[#This Row],[PRN Med Started]]&lt;&gt;"",Tbl_ResidentData[[#This Row],[PRN Med Started]]&lt;=NOW(),Tbl_ResidentData[[#This Row],[PRN Med Started]]&lt;=BK$4,OR(Tbl_ResidentData[[#This Row],[PRN Med Discontinued]]&gt;BK$4,ISBLANK(Tbl_ResidentData[[#This Row],[PRN Med Discontinued]])))</f>
        <v>0</v>
      </c>
      <c r="CJ198" s="121" t="b">
        <f ca="1">AND(Tbl_ResidentData[[#This Row],[PRN Med Started]]&lt;&gt;"",Tbl_ResidentData[[#This Row],[PRN Med Started]]&lt;=NOW(),Tbl_ResidentData[[#This Row],[PRN Med Started]]&lt;=BL$4,OR(Tbl_ResidentData[[#This Row],[PRN Med Discontinued]]&gt;BL$4,ISBLANK(Tbl_ResidentData[[#This Row],[PRN Med Discontinued]])))</f>
        <v>0</v>
      </c>
      <c r="CK198" s="121" t="b">
        <f ca="1">AND(Tbl_ResidentData[[#This Row],[PRN Med Started]]&lt;&gt;"",Tbl_ResidentData[[#This Row],[PRN Med Started]]&lt;=NOW(),Tbl_ResidentData[[#This Row],[PRN Med Started]]&lt;=BM$4,OR(Tbl_ResidentData[[#This Row],[PRN Med Discontinued]]&gt;BM$4,ISBLANK(Tbl_ResidentData[[#This Row],[PRN Med Discontinued]])))</f>
        <v>0</v>
      </c>
      <c r="CL198" s="121" t="b">
        <f ca="1">AND(Tbl_ResidentData[[#This Row],[PRN Med Started]]&lt;&gt;"",Tbl_ResidentData[[#This Row],[PRN Med Started]]&lt;=NOW(),Tbl_ResidentData[[#This Row],[PRN Med Started]]&lt;=BN$4,OR(Tbl_ResidentData[[#This Row],[PRN Med Discontinued]]&gt;BN$4,ISBLANK(Tbl_ResidentData[[#This Row],[PRN Med Discontinued]])))</f>
        <v>0</v>
      </c>
      <c r="CM198" s="121" t="b">
        <f ca="1">AND(Tbl_ResidentData[[#This Row],[PRN Med Started]]&lt;&gt;"",Tbl_ResidentData[[#This Row],[PRN Med Started]]&lt;=NOW(),Tbl_ResidentData[[#This Row],[PRN Med Started]]&lt;=BO$4,OR(Tbl_ResidentData[[#This Row],[PRN Med Discontinued]]&gt;BO$4,ISBLANK(Tbl_ResidentData[[#This Row],[PRN Med Discontinued]])))</f>
        <v>0</v>
      </c>
      <c r="CN198" s="122" t="b">
        <f ca="1">AND(Tbl_ResidentData[[#This Row],[PRN Med Started]]&lt;&gt;"",Tbl_ResidentData[[#This Row],[PRN Med Started]]&lt;=NOW(),Tbl_ResidentData[[#This Row],[PRN Med Started]]&lt;=BP$4,OR(Tbl_ResidentData[[#This Row],[PRN Med Discontinued]]&gt;BP$4,ISBLANK(Tbl_ResidentData[[#This Row],[PRN Med Discontinued]])))</f>
        <v>0</v>
      </c>
      <c r="CO198" s="120">
        <f ca="1">IF(OR(Tbl_ResidentData[[#This Row],[S1]]=TRUE,Tbl_ResidentData[[#This Row],[P1]]=TRUE),1,0)</f>
        <v>0</v>
      </c>
      <c r="CP198" s="121">
        <f ca="1">IF(OR(Tbl_ResidentData[[#This Row],[S2]]=TRUE,Tbl_ResidentData[[#This Row],[P2]]=TRUE),1,0)</f>
        <v>0</v>
      </c>
      <c r="CQ198" s="121">
        <f ca="1">IF(OR(Tbl_ResidentData[[#This Row],[S3]]=TRUE,Tbl_ResidentData[[#This Row],[P3]]=TRUE),1,0)</f>
        <v>0</v>
      </c>
      <c r="CR198" s="120">
        <f ca="1">IF(OR(Tbl_ResidentData[[#This Row],[S4]]=TRUE,Tbl_ResidentData[[#This Row],[P4]]=TRUE),1,0)</f>
        <v>0</v>
      </c>
      <c r="CS198" s="120">
        <f ca="1">IF(OR(Tbl_ResidentData[[#This Row],[S5]]=TRUE,Tbl_ResidentData[[#This Row],[P5]]=TRUE),1,0)</f>
        <v>0</v>
      </c>
      <c r="CT198" s="120">
        <f ca="1">IF(OR(Tbl_ResidentData[[#This Row],[S6]]=TRUE,Tbl_ResidentData[[#This Row],[P6]]=TRUE),1,0)</f>
        <v>0</v>
      </c>
      <c r="CU198" s="120">
        <f ca="1">IF(OR(Tbl_ResidentData[[#This Row],[S7]]=TRUE,Tbl_ResidentData[[#This Row],[P7]]=TRUE),1,0)</f>
        <v>0</v>
      </c>
      <c r="CV198" s="120">
        <f ca="1">IF(OR(Tbl_ResidentData[[#This Row],[S8]]=TRUE,Tbl_ResidentData[[#This Row],[P8]]=TRUE),1,0)</f>
        <v>0</v>
      </c>
      <c r="CW198" s="120">
        <f ca="1">IF(OR(Tbl_ResidentData[[#This Row],[S9]]=TRUE,Tbl_ResidentData[[#This Row],[P9]]=TRUE),1,0)</f>
        <v>0</v>
      </c>
      <c r="CX198" s="120">
        <f ca="1">IF(OR(Tbl_ResidentData[[#This Row],[S10]]=TRUE,Tbl_ResidentData[[#This Row],[P10]]=TRUE),1,0)</f>
        <v>0</v>
      </c>
      <c r="CY198" s="120">
        <f ca="1">IF(OR(Tbl_ResidentData[[#This Row],[S11]]=TRUE,Tbl_ResidentData[[#This Row],[P11]]=TRUE),1,0)</f>
        <v>0</v>
      </c>
      <c r="CZ198" s="120">
        <f ca="1">IF(OR(Tbl_ResidentData[[#This Row],[S12]]=TRUE,Tbl_ResidentData[[#This Row],[P12]]=TRUE),1,0)</f>
        <v>0</v>
      </c>
      <c r="DA198" s="120">
        <f ca="1">IF(OR(Tbl_ResidentData[[#This Row],[S13]]=TRUE,Tbl_ResidentData[[#This Row],[P13]]=TRUE),1,0)</f>
        <v>0</v>
      </c>
      <c r="DB198" s="120">
        <f ca="1">IF(OR(Tbl_ResidentData[[#This Row],[S14]]=TRUE,Tbl_ResidentData[[#This Row],[P14]]=TRUE),1,0)</f>
        <v>0</v>
      </c>
      <c r="DC198" s="120">
        <f ca="1">IF(OR(Tbl_ResidentData[[#This Row],[S15]]=TRUE,Tbl_ResidentData[[#This Row],[P15]]=TRUE),1,0)</f>
        <v>0</v>
      </c>
      <c r="DD198" s="120">
        <f ca="1">IF(OR(Tbl_ResidentData[[#This Row],[S16]]=TRUE,Tbl_ResidentData[[#This Row],[P16]]=TRUE),1,0)</f>
        <v>0</v>
      </c>
      <c r="DE198" s="120">
        <f ca="1">IF(OR(Tbl_ResidentData[[#This Row],[S17]]=TRUE,Tbl_ResidentData[[#This Row],[P17]]=TRUE),1,0)</f>
        <v>0</v>
      </c>
      <c r="DF198" s="120">
        <f ca="1">IF(OR(Tbl_ResidentData[[#This Row],[S18]]=TRUE,Tbl_ResidentData[[#This Row],[P18]]=TRUE),1,0)</f>
        <v>0</v>
      </c>
      <c r="DG198" s="120">
        <f ca="1">IF(OR(Tbl_ResidentData[[#This Row],[S19]]=TRUE,Tbl_ResidentData[[#This Row],[P19]]=TRUE),1,0)</f>
        <v>0</v>
      </c>
      <c r="DH198" s="120">
        <f ca="1">IF(OR(Tbl_ResidentData[[#This Row],[S20]]=TRUE,Tbl_ResidentData[[#This Row],[P20]]=TRUE),1,0)</f>
        <v>0</v>
      </c>
      <c r="DI198" s="120">
        <f ca="1">IF(OR(Tbl_ResidentData[[#This Row],[S21]]=TRUE,Tbl_ResidentData[[#This Row],[P21]]=TRUE),1,0)</f>
        <v>0</v>
      </c>
      <c r="DJ198" s="120">
        <f ca="1">IF(OR(Tbl_ResidentData[[#This Row],[S22]]=TRUE,Tbl_ResidentData[[#This Row],[P22]]=TRUE),1,0)</f>
        <v>0</v>
      </c>
      <c r="DK198" s="120">
        <f ca="1">IF(OR(Tbl_ResidentData[[#This Row],[S23]]=TRUE,Tbl_ResidentData[[#This Row],[P23]]=TRUE),1,0)</f>
        <v>0</v>
      </c>
      <c r="DL198" s="120">
        <f ca="1">IF(OR(Tbl_ResidentData[[#This Row],[S24]]=TRUE,Tbl_ResidentData[[#This Row],[P24]]=TRUE),1,0)</f>
        <v>0</v>
      </c>
      <c r="DM198" s="123" t="str">
        <f ca="1">IFERROR(INDEX($CO$4:$DL$4,MATCH(TRUE,INDEX((Tbl_ResidentData[[#This Row],[Over1]:[Over24]]&lt;&gt;0),0),0)),"")</f>
        <v/>
      </c>
      <c r="DN198" s="133" t="str">
        <f>IFERROR(INDEX(Tbl_PDSAData[Last DRT],MATCH(Tbl_ResidentData[Resident Name '[last, first']],Tbl_PDSAData[Resident Name (last, first)],0)),"")</f>
        <v/>
      </c>
      <c r="DO198" s="222" t="str">
        <f>IFERROR(INDEX(Tbl_PDSAData[Last MR],MATCH(Tbl_ResidentData[Resident Name '[last, first']],Tbl_PDSAData[Resident Name (last, first)],0)),"")</f>
        <v/>
      </c>
    </row>
    <row r="199" spans="1:119" x14ac:dyDescent="0.25">
      <c r="A199" s="179"/>
      <c r="B199" s="180"/>
      <c r="C199" s="180"/>
      <c r="D199" s="218"/>
      <c r="E199" s="179"/>
      <c r="F199" s="179"/>
      <c r="G199" s="181"/>
      <c r="H199" s="375"/>
      <c r="I199" s="185"/>
      <c r="J199" s="387"/>
      <c r="K199" s="178"/>
      <c r="L199" s="388"/>
      <c r="M199" s="185"/>
      <c r="N199" s="386"/>
      <c r="O199" s="178"/>
      <c r="P199" s="388"/>
      <c r="Q199" s="395"/>
      <c r="R199" s="396"/>
      <c r="S199" s="131" t="str">
        <f>IF(ISBLANK(Tbl_ResidentData[[#This Row],[Discharge '[mmm-yyyy']]]),IF(ISBLANK(Tbl_ResidentData[[#This Row],[Enrollment '[mmm-yyyy']]]),"","In Care Home"),"Discharged")</f>
        <v/>
      </c>
      <c r="T199" s="119" t="str">
        <f>IF(ISBLANK(Tbl_ResidentData[[#This Row],[Diagnosis (RAI)]]),IF(ISBLANK(Tbl_ResidentData[[#This Row],[Resident Name '[last, first']]]),"",0),IF(Tbl_ResidentData[[#This Row],[Diagnosis (RAI)]]="Other (see clinical notes)",0,1))</f>
        <v/>
      </c>
      <c r="U199" s="120" t="str">
        <f ca="1">IF(U$4&gt;NOW(),"-",IF(ISBLANK(Tbl_ResidentData[[#This Row],[Enrollment '[mmm-yyyy']]]),"-",AND((Tbl_ResidentData[[#This Row],[Enrollment '[mmm-yyyy']]]&lt;=U$4),IF(ISBLANK(Tbl_ResidentData[[#This Row],[Discharge '[mmm-yyyy']]]),TRUE,(Tbl_ResidentData[[#This Row],[Discharge '[mmm-yyyy']]]&gt;=U$4)))))</f>
        <v>-</v>
      </c>
      <c r="V199" s="121" t="str">
        <f ca="1">IF(V$4&gt;NOW(),"-",IF(ISBLANK(Tbl_ResidentData[[#This Row],[Enrollment '[mmm-yyyy']]]),"-",AND((Tbl_ResidentData[[#This Row],[Enrollment '[mmm-yyyy']]]&lt;=V$4),IF(ISBLANK(Tbl_ResidentData[[#This Row],[Discharge '[mmm-yyyy']]]),TRUE,(Tbl_ResidentData[[#This Row],[Discharge '[mmm-yyyy']]]&gt;=V$4)))))</f>
        <v>-</v>
      </c>
      <c r="W199" s="121" t="str">
        <f ca="1">IF(W$4&gt;NOW(),"-",IF(ISBLANK(Tbl_ResidentData[[#This Row],[Enrollment '[mmm-yyyy']]]),"-",AND((Tbl_ResidentData[[#This Row],[Enrollment '[mmm-yyyy']]]&lt;=W$4),IF(ISBLANK(Tbl_ResidentData[[#This Row],[Discharge '[mmm-yyyy']]]),TRUE,(Tbl_ResidentData[[#This Row],[Discharge '[mmm-yyyy']]]&gt;=W$4)))))</f>
        <v>-</v>
      </c>
      <c r="X199" s="121" t="str">
        <f ca="1">IF(X$4&gt;NOW(),"-",IF(ISBLANK(Tbl_ResidentData[[#This Row],[Enrollment '[mmm-yyyy']]]),"-",AND((Tbl_ResidentData[[#This Row],[Enrollment '[mmm-yyyy']]]&lt;=X$4),IF(ISBLANK(Tbl_ResidentData[[#This Row],[Discharge '[mmm-yyyy']]]),TRUE,(Tbl_ResidentData[[#This Row],[Discharge '[mmm-yyyy']]]&gt;=X$4)))))</f>
        <v>-</v>
      </c>
      <c r="Y199" s="121" t="str">
        <f ca="1">IF(Y$4&gt;NOW(),"-",IF(ISBLANK(Tbl_ResidentData[[#This Row],[Enrollment '[mmm-yyyy']]]),"-",AND((Tbl_ResidentData[[#This Row],[Enrollment '[mmm-yyyy']]]&lt;=Y$4),IF(ISBLANK(Tbl_ResidentData[[#This Row],[Discharge '[mmm-yyyy']]]),TRUE,(Tbl_ResidentData[[#This Row],[Discharge '[mmm-yyyy']]]&gt;=Y$4)))))</f>
        <v>-</v>
      </c>
      <c r="Z199" s="121" t="str">
        <f ca="1">IF(Z$4&gt;NOW(),"-",IF(ISBLANK(Tbl_ResidentData[[#This Row],[Enrollment '[mmm-yyyy']]]),"-",AND((Tbl_ResidentData[[#This Row],[Enrollment '[mmm-yyyy']]]&lt;=Z$4),IF(ISBLANK(Tbl_ResidentData[[#This Row],[Discharge '[mmm-yyyy']]]),TRUE,(Tbl_ResidentData[[#This Row],[Discharge '[mmm-yyyy']]]&gt;=Z$4)))))</f>
        <v>-</v>
      </c>
      <c r="AA199" s="121" t="str">
        <f ca="1">IF(AA$4&gt;NOW(),"-",IF(ISBLANK(Tbl_ResidentData[[#This Row],[Enrollment '[mmm-yyyy']]]),"-",AND((Tbl_ResidentData[[#This Row],[Enrollment '[mmm-yyyy']]]&lt;=AA$4),IF(ISBLANK(Tbl_ResidentData[[#This Row],[Discharge '[mmm-yyyy']]]),TRUE,(Tbl_ResidentData[[#This Row],[Discharge '[mmm-yyyy']]]&gt;=AA$4)))))</f>
        <v>-</v>
      </c>
      <c r="AB199" s="121" t="str">
        <f ca="1">IF(AB$4&gt;NOW(),"-",IF(ISBLANK(Tbl_ResidentData[[#This Row],[Enrollment '[mmm-yyyy']]]),"-",AND((Tbl_ResidentData[[#This Row],[Enrollment '[mmm-yyyy']]]&lt;=AB$4),IF(ISBLANK(Tbl_ResidentData[[#This Row],[Discharge '[mmm-yyyy']]]),TRUE,(Tbl_ResidentData[[#This Row],[Discharge '[mmm-yyyy']]]&gt;=AB$4)))))</f>
        <v>-</v>
      </c>
      <c r="AC199" s="121" t="str">
        <f ca="1">IF(AC$4&gt;NOW(),"-",IF(ISBLANK(Tbl_ResidentData[[#This Row],[Enrollment '[mmm-yyyy']]]),"-",AND((Tbl_ResidentData[[#This Row],[Enrollment '[mmm-yyyy']]]&lt;=AC$4),IF(ISBLANK(Tbl_ResidentData[[#This Row],[Discharge '[mmm-yyyy']]]),TRUE,(Tbl_ResidentData[[#This Row],[Discharge '[mmm-yyyy']]]&gt;=AC$4)))))</f>
        <v>-</v>
      </c>
      <c r="AD199" s="121" t="str">
        <f ca="1">IF(AD$4&gt;NOW(),"-",IF(ISBLANK(Tbl_ResidentData[[#This Row],[Enrollment '[mmm-yyyy']]]),"-",AND((Tbl_ResidentData[[#This Row],[Enrollment '[mmm-yyyy']]]&lt;=AD$4),IF(ISBLANK(Tbl_ResidentData[[#This Row],[Discharge '[mmm-yyyy']]]),TRUE,(Tbl_ResidentData[[#This Row],[Discharge '[mmm-yyyy']]]&gt;=AD$4)))))</f>
        <v>-</v>
      </c>
      <c r="AE199" s="121" t="str">
        <f ca="1">IF(AE$4&gt;NOW(),"-",IF(ISBLANK(Tbl_ResidentData[[#This Row],[Enrollment '[mmm-yyyy']]]),"-",AND((Tbl_ResidentData[[#This Row],[Enrollment '[mmm-yyyy']]]&lt;=AE$4),IF(ISBLANK(Tbl_ResidentData[[#This Row],[Discharge '[mmm-yyyy']]]),TRUE,(Tbl_ResidentData[[#This Row],[Discharge '[mmm-yyyy']]]&gt;=AE$4)))))</f>
        <v>-</v>
      </c>
      <c r="AF199" s="121" t="str">
        <f ca="1">IF(AF$4&gt;NOW(),"-",IF(ISBLANK(Tbl_ResidentData[[#This Row],[Enrollment '[mmm-yyyy']]]),"-",AND((Tbl_ResidentData[[#This Row],[Enrollment '[mmm-yyyy']]]&lt;=AF$4),IF(ISBLANK(Tbl_ResidentData[[#This Row],[Discharge '[mmm-yyyy']]]),TRUE,(Tbl_ResidentData[[#This Row],[Discharge '[mmm-yyyy']]]&gt;=AF$4)))))</f>
        <v>-</v>
      </c>
      <c r="AG199" s="121" t="str">
        <f ca="1">IF(AG$4&gt;NOW(),"-",IF(ISBLANK(Tbl_ResidentData[[#This Row],[Enrollment '[mmm-yyyy']]]),"-",AND((Tbl_ResidentData[[#This Row],[Enrollment '[mmm-yyyy']]]&lt;=AG$4),IF(ISBLANK(Tbl_ResidentData[[#This Row],[Discharge '[mmm-yyyy']]]),TRUE,(Tbl_ResidentData[[#This Row],[Discharge '[mmm-yyyy']]]&gt;=AG$4)))))</f>
        <v>-</v>
      </c>
      <c r="AH199" s="121" t="str">
        <f ca="1">IF(AH$4&gt;NOW(),"-",IF(ISBLANK(Tbl_ResidentData[[#This Row],[Enrollment '[mmm-yyyy']]]),"-",AND((Tbl_ResidentData[[#This Row],[Enrollment '[mmm-yyyy']]]&lt;=AH$4),IF(ISBLANK(Tbl_ResidentData[[#This Row],[Discharge '[mmm-yyyy']]]),TRUE,(Tbl_ResidentData[[#This Row],[Discharge '[mmm-yyyy']]]&gt;=AH$4)))))</f>
        <v>-</v>
      </c>
      <c r="AI199" s="121" t="str">
        <f ca="1">IF(AI$4&gt;NOW(),"-",IF(ISBLANK(Tbl_ResidentData[[#This Row],[Enrollment '[mmm-yyyy']]]),"-",AND((Tbl_ResidentData[[#This Row],[Enrollment '[mmm-yyyy']]]&lt;=AI$4),IF(ISBLANK(Tbl_ResidentData[[#This Row],[Discharge '[mmm-yyyy']]]),TRUE,(Tbl_ResidentData[[#This Row],[Discharge '[mmm-yyyy']]]&gt;=AI$4)))))</f>
        <v>-</v>
      </c>
      <c r="AJ199" s="121" t="str">
        <f ca="1">IF(AJ$4&gt;NOW(),"-",IF(ISBLANK(Tbl_ResidentData[[#This Row],[Enrollment '[mmm-yyyy']]]),"-",AND((Tbl_ResidentData[[#This Row],[Enrollment '[mmm-yyyy']]]&lt;=AJ$4),IF(ISBLANK(Tbl_ResidentData[[#This Row],[Discharge '[mmm-yyyy']]]),TRUE,(Tbl_ResidentData[[#This Row],[Discharge '[mmm-yyyy']]]&gt;=AJ$4)))))</f>
        <v>-</v>
      </c>
      <c r="AK199" s="121" t="str">
        <f ca="1">IF(AK$4&gt;NOW(),"-",IF(ISBLANK(Tbl_ResidentData[[#This Row],[Enrollment '[mmm-yyyy']]]),"-",AND((Tbl_ResidentData[[#This Row],[Enrollment '[mmm-yyyy']]]&lt;=AK$4),IF(ISBLANK(Tbl_ResidentData[[#This Row],[Discharge '[mmm-yyyy']]]),TRUE,(Tbl_ResidentData[[#This Row],[Discharge '[mmm-yyyy']]]&gt;=AK$4)))))</f>
        <v>-</v>
      </c>
      <c r="AL199" s="121" t="str">
        <f ca="1">IF(AL$4&gt;NOW(),"-",IF(ISBLANK(Tbl_ResidentData[[#This Row],[Enrollment '[mmm-yyyy']]]),"-",AND((Tbl_ResidentData[[#This Row],[Enrollment '[mmm-yyyy']]]&lt;=AL$4),IF(ISBLANK(Tbl_ResidentData[[#This Row],[Discharge '[mmm-yyyy']]]),TRUE,(Tbl_ResidentData[[#This Row],[Discharge '[mmm-yyyy']]]&gt;=AL$4)))))</f>
        <v>-</v>
      </c>
      <c r="AM199" s="121" t="str">
        <f ca="1">IF(AM$4&gt;NOW(),"-",IF(ISBLANK(Tbl_ResidentData[[#This Row],[Enrollment '[mmm-yyyy']]]),"-",AND((Tbl_ResidentData[[#This Row],[Enrollment '[mmm-yyyy']]]&lt;=AM$4),IF(ISBLANK(Tbl_ResidentData[[#This Row],[Discharge '[mmm-yyyy']]]),TRUE,(Tbl_ResidentData[[#This Row],[Discharge '[mmm-yyyy']]]&gt;=AM$4)))))</f>
        <v>-</v>
      </c>
      <c r="AN199" s="121" t="str">
        <f ca="1">IF(AN$4&gt;NOW(),"-",IF(ISBLANK(Tbl_ResidentData[[#This Row],[Enrollment '[mmm-yyyy']]]),"-",AND((Tbl_ResidentData[[#This Row],[Enrollment '[mmm-yyyy']]]&lt;=AN$4),IF(ISBLANK(Tbl_ResidentData[[#This Row],[Discharge '[mmm-yyyy']]]),TRUE,(Tbl_ResidentData[[#This Row],[Discharge '[mmm-yyyy']]]&gt;=AN$4)))))</f>
        <v>-</v>
      </c>
      <c r="AO199" s="121" t="str">
        <f ca="1">IF(AO$4&gt;NOW(),"-",IF(ISBLANK(Tbl_ResidentData[[#This Row],[Enrollment '[mmm-yyyy']]]),"-",AND((Tbl_ResidentData[[#This Row],[Enrollment '[mmm-yyyy']]]&lt;=AO$4),IF(ISBLANK(Tbl_ResidentData[[#This Row],[Discharge '[mmm-yyyy']]]),TRUE,(Tbl_ResidentData[[#This Row],[Discharge '[mmm-yyyy']]]&gt;=AO$4)))))</f>
        <v>-</v>
      </c>
      <c r="AP199" s="121" t="str">
        <f ca="1">IF(AP$4&gt;NOW(),"-",IF(ISBLANK(Tbl_ResidentData[[#This Row],[Enrollment '[mmm-yyyy']]]),"-",AND((Tbl_ResidentData[[#This Row],[Enrollment '[mmm-yyyy']]]&lt;=AP$4),IF(ISBLANK(Tbl_ResidentData[[#This Row],[Discharge '[mmm-yyyy']]]),TRUE,(Tbl_ResidentData[[#This Row],[Discharge '[mmm-yyyy']]]&gt;=AP$4)))))</f>
        <v>-</v>
      </c>
      <c r="AQ199" s="121" t="str">
        <f ca="1">IF(AQ$4&gt;NOW(),"-",IF(ISBLANK(Tbl_ResidentData[[#This Row],[Enrollment '[mmm-yyyy']]]),"-",AND((Tbl_ResidentData[[#This Row],[Enrollment '[mmm-yyyy']]]&lt;=AQ$4),IF(ISBLANK(Tbl_ResidentData[[#This Row],[Discharge '[mmm-yyyy']]]),TRUE,(Tbl_ResidentData[[#This Row],[Discharge '[mmm-yyyy']]]&gt;=AQ$4)))))</f>
        <v>-</v>
      </c>
      <c r="AR199" s="122" t="str">
        <f ca="1">IF(AR$4&gt;NOW(),"-",IF(ISBLANK(Tbl_ResidentData[[#This Row],[Enrollment '[mmm-yyyy']]]),"-",AND((Tbl_ResidentData[[#This Row],[Enrollment '[mmm-yyyy']]]&lt;=AR$4),IF(ISBLANK(Tbl_ResidentData[[#This Row],[Discharge '[mmm-yyyy']]]),TRUE,(Tbl_ResidentData[[#This Row],[Discharge '[mmm-yyyy']]]&gt;=AR$4)))))</f>
        <v>-</v>
      </c>
      <c r="AS19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9" s="120" t="b">
        <f ca="1">AND(Tbl_ResidentData[[#This Row],[PRN Med Started]]&lt;&gt;"",Tbl_ResidentData[[#This Row],[PRN Med Started]]&lt;=NOW(),Tbl_ResidentData[[#This Row],[PRN Med Started]]&lt;=AS$4,OR(Tbl_ResidentData[[#This Row],[PRN Med Discontinued]]&gt;AS$4,ISBLANK(Tbl_ResidentData[[#This Row],[PRN Med Discontinued]])))</f>
        <v>0</v>
      </c>
      <c r="BR199" s="121" t="b">
        <f ca="1">AND(Tbl_ResidentData[[#This Row],[PRN Med Started]]&lt;&gt;"",Tbl_ResidentData[[#This Row],[PRN Med Started]]&lt;=NOW(),Tbl_ResidentData[[#This Row],[PRN Med Started]]&lt;=AT$4,OR(Tbl_ResidentData[[#This Row],[PRN Med Discontinued]]&gt;AT$4,ISBLANK(Tbl_ResidentData[[#This Row],[PRN Med Discontinued]])))</f>
        <v>0</v>
      </c>
      <c r="BS199" s="121" t="b">
        <f ca="1">AND(Tbl_ResidentData[[#This Row],[PRN Med Started]]&lt;&gt;"",Tbl_ResidentData[[#This Row],[PRN Med Started]]&lt;=NOW(),Tbl_ResidentData[[#This Row],[PRN Med Started]]&lt;=AU$4,OR(Tbl_ResidentData[[#This Row],[PRN Med Discontinued]]&gt;AU$4,ISBLANK(Tbl_ResidentData[[#This Row],[PRN Med Discontinued]])))</f>
        <v>0</v>
      </c>
      <c r="BT199" s="121" t="b">
        <f ca="1">AND(Tbl_ResidentData[[#This Row],[PRN Med Started]]&lt;&gt;"",Tbl_ResidentData[[#This Row],[PRN Med Started]]&lt;=NOW(),Tbl_ResidentData[[#This Row],[PRN Med Started]]&lt;=AV$4,OR(Tbl_ResidentData[[#This Row],[PRN Med Discontinued]]&gt;AV$4,ISBLANK(Tbl_ResidentData[[#This Row],[PRN Med Discontinued]])))</f>
        <v>0</v>
      </c>
      <c r="BU199" s="121" t="b">
        <f ca="1">AND(Tbl_ResidentData[[#This Row],[PRN Med Started]]&lt;&gt;"",Tbl_ResidentData[[#This Row],[PRN Med Started]]&lt;=NOW(),Tbl_ResidentData[[#This Row],[PRN Med Started]]&lt;=AW$4,OR(Tbl_ResidentData[[#This Row],[PRN Med Discontinued]]&gt;AW$4,ISBLANK(Tbl_ResidentData[[#This Row],[PRN Med Discontinued]])))</f>
        <v>0</v>
      </c>
      <c r="BV199" s="121" t="b">
        <f ca="1">AND(Tbl_ResidentData[[#This Row],[PRN Med Started]]&lt;&gt;"",Tbl_ResidentData[[#This Row],[PRN Med Started]]&lt;=NOW(),Tbl_ResidentData[[#This Row],[PRN Med Started]]&lt;=AX$4,OR(Tbl_ResidentData[[#This Row],[PRN Med Discontinued]]&gt;AX$4,ISBLANK(Tbl_ResidentData[[#This Row],[PRN Med Discontinued]])))</f>
        <v>0</v>
      </c>
      <c r="BW199" s="121" t="b">
        <f ca="1">AND(Tbl_ResidentData[[#This Row],[PRN Med Started]]&lt;&gt;"",Tbl_ResidentData[[#This Row],[PRN Med Started]]&lt;=NOW(),Tbl_ResidentData[[#This Row],[PRN Med Started]]&lt;=AY$4,OR(Tbl_ResidentData[[#This Row],[PRN Med Discontinued]]&gt;AY$4,ISBLANK(Tbl_ResidentData[[#This Row],[PRN Med Discontinued]])))</f>
        <v>0</v>
      </c>
      <c r="BX199" s="121" t="b">
        <f ca="1">AND(Tbl_ResidentData[[#This Row],[PRN Med Started]]&lt;&gt;"",Tbl_ResidentData[[#This Row],[PRN Med Started]]&lt;=NOW(),Tbl_ResidentData[[#This Row],[PRN Med Started]]&lt;=AZ$4,OR(Tbl_ResidentData[[#This Row],[PRN Med Discontinued]]&gt;AZ$4,ISBLANK(Tbl_ResidentData[[#This Row],[PRN Med Discontinued]])))</f>
        <v>0</v>
      </c>
      <c r="BY199" s="121" t="b">
        <f ca="1">AND(Tbl_ResidentData[[#This Row],[PRN Med Started]]&lt;&gt;"",Tbl_ResidentData[[#This Row],[PRN Med Started]]&lt;=NOW(),Tbl_ResidentData[[#This Row],[PRN Med Started]]&lt;=BA$4,OR(Tbl_ResidentData[[#This Row],[PRN Med Discontinued]]&gt;BA$4,ISBLANK(Tbl_ResidentData[[#This Row],[PRN Med Discontinued]])))</f>
        <v>0</v>
      </c>
      <c r="BZ199" s="121" t="b">
        <f ca="1">AND(Tbl_ResidentData[[#This Row],[PRN Med Started]]&lt;&gt;"",Tbl_ResidentData[[#This Row],[PRN Med Started]]&lt;=NOW(),Tbl_ResidentData[[#This Row],[PRN Med Started]]&lt;=BB$4,OR(Tbl_ResidentData[[#This Row],[PRN Med Discontinued]]&gt;BB$4,ISBLANK(Tbl_ResidentData[[#This Row],[PRN Med Discontinued]])))</f>
        <v>0</v>
      </c>
      <c r="CA199" s="121" t="b">
        <f ca="1">AND(Tbl_ResidentData[[#This Row],[PRN Med Started]]&lt;&gt;"",Tbl_ResidentData[[#This Row],[PRN Med Started]]&lt;=NOW(),Tbl_ResidentData[[#This Row],[PRN Med Started]]&lt;=BC$4,OR(Tbl_ResidentData[[#This Row],[PRN Med Discontinued]]&gt;BC$4,ISBLANK(Tbl_ResidentData[[#This Row],[PRN Med Discontinued]])))</f>
        <v>0</v>
      </c>
      <c r="CB199" s="121" t="b">
        <f ca="1">AND(Tbl_ResidentData[[#This Row],[PRN Med Started]]&lt;&gt;"",Tbl_ResidentData[[#This Row],[PRN Med Started]]&lt;=NOW(),Tbl_ResidentData[[#This Row],[PRN Med Started]]&lt;=BD$4,OR(Tbl_ResidentData[[#This Row],[PRN Med Discontinued]]&gt;BD$4,ISBLANK(Tbl_ResidentData[[#This Row],[PRN Med Discontinued]])))</f>
        <v>0</v>
      </c>
      <c r="CC199" s="121" t="b">
        <f ca="1">AND(Tbl_ResidentData[[#This Row],[PRN Med Started]]&lt;&gt;"",Tbl_ResidentData[[#This Row],[PRN Med Started]]&lt;=NOW(),Tbl_ResidentData[[#This Row],[PRN Med Started]]&lt;=BE$4,OR(Tbl_ResidentData[[#This Row],[PRN Med Discontinued]]&gt;BE$4,ISBLANK(Tbl_ResidentData[[#This Row],[PRN Med Discontinued]])))</f>
        <v>0</v>
      </c>
      <c r="CD199" s="121" t="b">
        <f ca="1">AND(Tbl_ResidentData[[#This Row],[PRN Med Started]]&lt;&gt;"",Tbl_ResidentData[[#This Row],[PRN Med Started]]&lt;=NOW(),Tbl_ResidentData[[#This Row],[PRN Med Started]]&lt;=BF$4,OR(Tbl_ResidentData[[#This Row],[PRN Med Discontinued]]&gt;BF$4,ISBLANK(Tbl_ResidentData[[#This Row],[PRN Med Discontinued]])))</f>
        <v>0</v>
      </c>
      <c r="CE199" s="121" t="b">
        <f ca="1">AND(Tbl_ResidentData[[#This Row],[PRN Med Started]]&lt;&gt;"",Tbl_ResidentData[[#This Row],[PRN Med Started]]&lt;=NOW(),Tbl_ResidentData[[#This Row],[PRN Med Started]]&lt;=BG$4,OR(Tbl_ResidentData[[#This Row],[PRN Med Discontinued]]&gt;BG$4,ISBLANK(Tbl_ResidentData[[#This Row],[PRN Med Discontinued]])))</f>
        <v>0</v>
      </c>
      <c r="CF199" s="121" t="b">
        <f ca="1">AND(Tbl_ResidentData[[#This Row],[PRN Med Started]]&lt;&gt;"",Tbl_ResidentData[[#This Row],[PRN Med Started]]&lt;=NOW(),Tbl_ResidentData[[#This Row],[PRN Med Started]]&lt;=BH$4,OR(Tbl_ResidentData[[#This Row],[PRN Med Discontinued]]&gt;BH$4,ISBLANK(Tbl_ResidentData[[#This Row],[PRN Med Discontinued]])))</f>
        <v>0</v>
      </c>
      <c r="CG199" s="121" t="b">
        <f ca="1">AND(Tbl_ResidentData[[#This Row],[PRN Med Started]]&lt;&gt;"",Tbl_ResidentData[[#This Row],[PRN Med Started]]&lt;=NOW(),Tbl_ResidentData[[#This Row],[PRN Med Started]]&lt;=BI$4,OR(Tbl_ResidentData[[#This Row],[PRN Med Discontinued]]&gt;BI$4,ISBLANK(Tbl_ResidentData[[#This Row],[PRN Med Discontinued]])))</f>
        <v>0</v>
      </c>
      <c r="CH199" s="121" t="b">
        <f ca="1">AND(Tbl_ResidentData[[#This Row],[PRN Med Started]]&lt;&gt;"",Tbl_ResidentData[[#This Row],[PRN Med Started]]&lt;=NOW(),Tbl_ResidentData[[#This Row],[PRN Med Started]]&lt;=BJ$4,OR(Tbl_ResidentData[[#This Row],[PRN Med Discontinued]]&gt;BJ$4,ISBLANK(Tbl_ResidentData[[#This Row],[PRN Med Discontinued]])))</f>
        <v>0</v>
      </c>
      <c r="CI199" s="121" t="b">
        <f ca="1">AND(Tbl_ResidentData[[#This Row],[PRN Med Started]]&lt;&gt;"",Tbl_ResidentData[[#This Row],[PRN Med Started]]&lt;=NOW(),Tbl_ResidentData[[#This Row],[PRN Med Started]]&lt;=BK$4,OR(Tbl_ResidentData[[#This Row],[PRN Med Discontinued]]&gt;BK$4,ISBLANK(Tbl_ResidentData[[#This Row],[PRN Med Discontinued]])))</f>
        <v>0</v>
      </c>
      <c r="CJ199" s="121" t="b">
        <f ca="1">AND(Tbl_ResidentData[[#This Row],[PRN Med Started]]&lt;&gt;"",Tbl_ResidentData[[#This Row],[PRN Med Started]]&lt;=NOW(),Tbl_ResidentData[[#This Row],[PRN Med Started]]&lt;=BL$4,OR(Tbl_ResidentData[[#This Row],[PRN Med Discontinued]]&gt;BL$4,ISBLANK(Tbl_ResidentData[[#This Row],[PRN Med Discontinued]])))</f>
        <v>0</v>
      </c>
      <c r="CK199" s="121" t="b">
        <f ca="1">AND(Tbl_ResidentData[[#This Row],[PRN Med Started]]&lt;&gt;"",Tbl_ResidentData[[#This Row],[PRN Med Started]]&lt;=NOW(),Tbl_ResidentData[[#This Row],[PRN Med Started]]&lt;=BM$4,OR(Tbl_ResidentData[[#This Row],[PRN Med Discontinued]]&gt;BM$4,ISBLANK(Tbl_ResidentData[[#This Row],[PRN Med Discontinued]])))</f>
        <v>0</v>
      </c>
      <c r="CL199" s="121" t="b">
        <f ca="1">AND(Tbl_ResidentData[[#This Row],[PRN Med Started]]&lt;&gt;"",Tbl_ResidentData[[#This Row],[PRN Med Started]]&lt;=NOW(),Tbl_ResidentData[[#This Row],[PRN Med Started]]&lt;=BN$4,OR(Tbl_ResidentData[[#This Row],[PRN Med Discontinued]]&gt;BN$4,ISBLANK(Tbl_ResidentData[[#This Row],[PRN Med Discontinued]])))</f>
        <v>0</v>
      </c>
      <c r="CM199" s="121" t="b">
        <f ca="1">AND(Tbl_ResidentData[[#This Row],[PRN Med Started]]&lt;&gt;"",Tbl_ResidentData[[#This Row],[PRN Med Started]]&lt;=NOW(),Tbl_ResidentData[[#This Row],[PRN Med Started]]&lt;=BO$4,OR(Tbl_ResidentData[[#This Row],[PRN Med Discontinued]]&gt;BO$4,ISBLANK(Tbl_ResidentData[[#This Row],[PRN Med Discontinued]])))</f>
        <v>0</v>
      </c>
      <c r="CN199" s="122" t="b">
        <f ca="1">AND(Tbl_ResidentData[[#This Row],[PRN Med Started]]&lt;&gt;"",Tbl_ResidentData[[#This Row],[PRN Med Started]]&lt;=NOW(),Tbl_ResidentData[[#This Row],[PRN Med Started]]&lt;=BP$4,OR(Tbl_ResidentData[[#This Row],[PRN Med Discontinued]]&gt;BP$4,ISBLANK(Tbl_ResidentData[[#This Row],[PRN Med Discontinued]])))</f>
        <v>0</v>
      </c>
      <c r="CO199" s="120">
        <f ca="1">IF(OR(Tbl_ResidentData[[#This Row],[S1]]=TRUE,Tbl_ResidentData[[#This Row],[P1]]=TRUE),1,0)</f>
        <v>0</v>
      </c>
      <c r="CP199" s="121">
        <f ca="1">IF(OR(Tbl_ResidentData[[#This Row],[S2]]=TRUE,Tbl_ResidentData[[#This Row],[P2]]=TRUE),1,0)</f>
        <v>0</v>
      </c>
      <c r="CQ199" s="121">
        <f ca="1">IF(OR(Tbl_ResidentData[[#This Row],[S3]]=TRUE,Tbl_ResidentData[[#This Row],[P3]]=TRUE),1,0)</f>
        <v>0</v>
      </c>
      <c r="CR199" s="120">
        <f ca="1">IF(OR(Tbl_ResidentData[[#This Row],[S4]]=TRUE,Tbl_ResidentData[[#This Row],[P4]]=TRUE),1,0)</f>
        <v>0</v>
      </c>
      <c r="CS199" s="120">
        <f ca="1">IF(OR(Tbl_ResidentData[[#This Row],[S5]]=TRUE,Tbl_ResidentData[[#This Row],[P5]]=TRUE),1,0)</f>
        <v>0</v>
      </c>
      <c r="CT199" s="120">
        <f ca="1">IF(OR(Tbl_ResidentData[[#This Row],[S6]]=TRUE,Tbl_ResidentData[[#This Row],[P6]]=TRUE),1,0)</f>
        <v>0</v>
      </c>
      <c r="CU199" s="120">
        <f ca="1">IF(OR(Tbl_ResidentData[[#This Row],[S7]]=TRUE,Tbl_ResidentData[[#This Row],[P7]]=TRUE),1,0)</f>
        <v>0</v>
      </c>
      <c r="CV199" s="120">
        <f ca="1">IF(OR(Tbl_ResidentData[[#This Row],[S8]]=TRUE,Tbl_ResidentData[[#This Row],[P8]]=TRUE),1,0)</f>
        <v>0</v>
      </c>
      <c r="CW199" s="120">
        <f ca="1">IF(OR(Tbl_ResidentData[[#This Row],[S9]]=TRUE,Tbl_ResidentData[[#This Row],[P9]]=TRUE),1,0)</f>
        <v>0</v>
      </c>
      <c r="CX199" s="120">
        <f ca="1">IF(OR(Tbl_ResidentData[[#This Row],[S10]]=TRUE,Tbl_ResidentData[[#This Row],[P10]]=TRUE),1,0)</f>
        <v>0</v>
      </c>
      <c r="CY199" s="120">
        <f ca="1">IF(OR(Tbl_ResidentData[[#This Row],[S11]]=TRUE,Tbl_ResidentData[[#This Row],[P11]]=TRUE),1,0)</f>
        <v>0</v>
      </c>
      <c r="CZ199" s="120">
        <f ca="1">IF(OR(Tbl_ResidentData[[#This Row],[S12]]=TRUE,Tbl_ResidentData[[#This Row],[P12]]=TRUE),1,0)</f>
        <v>0</v>
      </c>
      <c r="DA199" s="120">
        <f ca="1">IF(OR(Tbl_ResidentData[[#This Row],[S13]]=TRUE,Tbl_ResidentData[[#This Row],[P13]]=TRUE),1,0)</f>
        <v>0</v>
      </c>
      <c r="DB199" s="120">
        <f ca="1">IF(OR(Tbl_ResidentData[[#This Row],[S14]]=TRUE,Tbl_ResidentData[[#This Row],[P14]]=TRUE),1,0)</f>
        <v>0</v>
      </c>
      <c r="DC199" s="120">
        <f ca="1">IF(OR(Tbl_ResidentData[[#This Row],[S15]]=TRUE,Tbl_ResidentData[[#This Row],[P15]]=TRUE),1,0)</f>
        <v>0</v>
      </c>
      <c r="DD199" s="120">
        <f ca="1">IF(OR(Tbl_ResidentData[[#This Row],[S16]]=TRUE,Tbl_ResidentData[[#This Row],[P16]]=TRUE),1,0)</f>
        <v>0</v>
      </c>
      <c r="DE199" s="120">
        <f ca="1">IF(OR(Tbl_ResidentData[[#This Row],[S17]]=TRUE,Tbl_ResidentData[[#This Row],[P17]]=TRUE),1,0)</f>
        <v>0</v>
      </c>
      <c r="DF199" s="120">
        <f ca="1">IF(OR(Tbl_ResidentData[[#This Row],[S18]]=TRUE,Tbl_ResidentData[[#This Row],[P18]]=TRUE),1,0)</f>
        <v>0</v>
      </c>
      <c r="DG199" s="120">
        <f ca="1">IF(OR(Tbl_ResidentData[[#This Row],[S19]]=TRUE,Tbl_ResidentData[[#This Row],[P19]]=TRUE),1,0)</f>
        <v>0</v>
      </c>
      <c r="DH199" s="120">
        <f ca="1">IF(OR(Tbl_ResidentData[[#This Row],[S20]]=TRUE,Tbl_ResidentData[[#This Row],[P20]]=TRUE),1,0)</f>
        <v>0</v>
      </c>
      <c r="DI199" s="120">
        <f ca="1">IF(OR(Tbl_ResidentData[[#This Row],[S21]]=TRUE,Tbl_ResidentData[[#This Row],[P21]]=TRUE),1,0)</f>
        <v>0</v>
      </c>
      <c r="DJ199" s="120">
        <f ca="1">IF(OR(Tbl_ResidentData[[#This Row],[S22]]=TRUE,Tbl_ResidentData[[#This Row],[P22]]=TRUE),1,0)</f>
        <v>0</v>
      </c>
      <c r="DK199" s="120">
        <f ca="1">IF(OR(Tbl_ResidentData[[#This Row],[S23]]=TRUE,Tbl_ResidentData[[#This Row],[P23]]=TRUE),1,0)</f>
        <v>0</v>
      </c>
      <c r="DL199" s="120">
        <f ca="1">IF(OR(Tbl_ResidentData[[#This Row],[S24]]=TRUE,Tbl_ResidentData[[#This Row],[P24]]=TRUE),1,0)</f>
        <v>0</v>
      </c>
      <c r="DM199" s="123" t="str">
        <f ca="1">IFERROR(INDEX($CO$4:$DL$4,MATCH(TRUE,INDEX((Tbl_ResidentData[[#This Row],[Over1]:[Over24]]&lt;&gt;0),0),0)),"")</f>
        <v/>
      </c>
      <c r="DN199" s="133" t="str">
        <f>IFERROR(INDEX(Tbl_PDSAData[Last DRT],MATCH(Tbl_ResidentData[Resident Name '[last, first']],Tbl_PDSAData[Resident Name (last, first)],0)),"")</f>
        <v/>
      </c>
      <c r="DO199" s="222" t="str">
        <f>IFERROR(INDEX(Tbl_PDSAData[Last MR],MATCH(Tbl_ResidentData[Resident Name '[last, first']],Tbl_PDSAData[Resident Name (last, first)],0)),"")</f>
        <v/>
      </c>
    </row>
    <row r="200" spans="1:119" x14ac:dyDescent="0.25">
      <c r="A200" s="179"/>
      <c r="B200" s="180"/>
      <c r="C200" s="180"/>
      <c r="D200" s="218"/>
      <c r="E200" s="179"/>
      <c r="F200" s="179"/>
      <c r="G200" s="181"/>
      <c r="H200" s="375"/>
      <c r="I200" s="185"/>
      <c r="J200" s="387"/>
      <c r="K200" s="178"/>
      <c r="L200" s="388"/>
      <c r="M200" s="185"/>
      <c r="N200" s="386"/>
      <c r="O200" s="178"/>
      <c r="P200" s="388"/>
      <c r="Q200" s="394"/>
      <c r="R200" s="388"/>
      <c r="S200" s="131" t="str">
        <f>IF(ISBLANK(Tbl_ResidentData[[#This Row],[Discharge '[mmm-yyyy']]]),IF(ISBLANK(Tbl_ResidentData[[#This Row],[Enrollment '[mmm-yyyy']]]),"","In Care Home"),"Discharged")</f>
        <v/>
      </c>
      <c r="T200" s="119" t="str">
        <f>IF(ISBLANK(Tbl_ResidentData[[#This Row],[Diagnosis (RAI)]]),IF(ISBLANK(Tbl_ResidentData[[#This Row],[Resident Name '[last, first']]]),"",0),IF(Tbl_ResidentData[[#This Row],[Diagnosis (RAI)]]="Other (see clinical notes)",0,1))</f>
        <v/>
      </c>
      <c r="U200" s="120" t="str">
        <f ca="1">IF(U$4&gt;NOW(),"-",IF(ISBLANK(Tbl_ResidentData[[#This Row],[Enrollment '[mmm-yyyy']]]),"-",AND((Tbl_ResidentData[[#This Row],[Enrollment '[mmm-yyyy']]]&lt;=U$4),IF(ISBLANK(Tbl_ResidentData[[#This Row],[Discharge '[mmm-yyyy']]]),TRUE,(Tbl_ResidentData[[#This Row],[Discharge '[mmm-yyyy']]]&gt;=U$4)))))</f>
        <v>-</v>
      </c>
      <c r="V200" s="121" t="str">
        <f ca="1">IF(V$4&gt;NOW(),"-",IF(ISBLANK(Tbl_ResidentData[[#This Row],[Enrollment '[mmm-yyyy']]]),"-",AND((Tbl_ResidentData[[#This Row],[Enrollment '[mmm-yyyy']]]&lt;=V$4),IF(ISBLANK(Tbl_ResidentData[[#This Row],[Discharge '[mmm-yyyy']]]),TRUE,(Tbl_ResidentData[[#This Row],[Discharge '[mmm-yyyy']]]&gt;=V$4)))))</f>
        <v>-</v>
      </c>
      <c r="W200" s="121" t="str">
        <f ca="1">IF(W$4&gt;NOW(),"-",IF(ISBLANK(Tbl_ResidentData[[#This Row],[Enrollment '[mmm-yyyy']]]),"-",AND((Tbl_ResidentData[[#This Row],[Enrollment '[mmm-yyyy']]]&lt;=W$4),IF(ISBLANK(Tbl_ResidentData[[#This Row],[Discharge '[mmm-yyyy']]]),TRUE,(Tbl_ResidentData[[#This Row],[Discharge '[mmm-yyyy']]]&gt;=W$4)))))</f>
        <v>-</v>
      </c>
      <c r="X200" s="121" t="str">
        <f ca="1">IF(X$4&gt;NOW(),"-",IF(ISBLANK(Tbl_ResidentData[[#This Row],[Enrollment '[mmm-yyyy']]]),"-",AND((Tbl_ResidentData[[#This Row],[Enrollment '[mmm-yyyy']]]&lt;=X$4),IF(ISBLANK(Tbl_ResidentData[[#This Row],[Discharge '[mmm-yyyy']]]),TRUE,(Tbl_ResidentData[[#This Row],[Discharge '[mmm-yyyy']]]&gt;=X$4)))))</f>
        <v>-</v>
      </c>
      <c r="Y200" s="121" t="str">
        <f ca="1">IF(Y$4&gt;NOW(),"-",IF(ISBLANK(Tbl_ResidentData[[#This Row],[Enrollment '[mmm-yyyy']]]),"-",AND((Tbl_ResidentData[[#This Row],[Enrollment '[mmm-yyyy']]]&lt;=Y$4),IF(ISBLANK(Tbl_ResidentData[[#This Row],[Discharge '[mmm-yyyy']]]),TRUE,(Tbl_ResidentData[[#This Row],[Discharge '[mmm-yyyy']]]&gt;=Y$4)))))</f>
        <v>-</v>
      </c>
      <c r="Z200" s="121" t="str">
        <f ca="1">IF(Z$4&gt;NOW(),"-",IF(ISBLANK(Tbl_ResidentData[[#This Row],[Enrollment '[mmm-yyyy']]]),"-",AND((Tbl_ResidentData[[#This Row],[Enrollment '[mmm-yyyy']]]&lt;=Z$4),IF(ISBLANK(Tbl_ResidentData[[#This Row],[Discharge '[mmm-yyyy']]]),TRUE,(Tbl_ResidentData[[#This Row],[Discharge '[mmm-yyyy']]]&gt;=Z$4)))))</f>
        <v>-</v>
      </c>
      <c r="AA200" s="121" t="str">
        <f ca="1">IF(AA$4&gt;NOW(),"-",IF(ISBLANK(Tbl_ResidentData[[#This Row],[Enrollment '[mmm-yyyy']]]),"-",AND((Tbl_ResidentData[[#This Row],[Enrollment '[mmm-yyyy']]]&lt;=AA$4),IF(ISBLANK(Tbl_ResidentData[[#This Row],[Discharge '[mmm-yyyy']]]),TRUE,(Tbl_ResidentData[[#This Row],[Discharge '[mmm-yyyy']]]&gt;=AA$4)))))</f>
        <v>-</v>
      </c>
      <c r="AB200" s="121" t="str">
        <f ca="1">IF(AB$4&gt;NOW(),"-",IF(ISBLANK(Tbl_ResidentData[[#This Row],[Enrollment '[mmm-yyyy']]]),"-",AND((Tbl_ResidentData[[#This Row],[Enrollment '[mmm-yyyy']]]&lt;=AB$4),IF(ISBLANK(Tbl_ResidentData[[#This Row],[Discharge '[mmm-yyyy']]]),TRUE,(Tbl_ResidentData[[#This Row],[Discharge '[mmm-yyyy']]]&gt;=AB$4)))))</f>
        <v>-</v>
      </c>
      <c r="AC200" s="121" t="str">
        <f ca="1">IF(AC$4&gt;NOW(),"-",IF(ISBLANK(Tbl_ResidentData[[#This Row],[Enrollment '[mmm-yyyy']]]),"-",AND((Tbl_ResidentData[[#This Row],[Enrollment '[mmm-yyyy']]]&lt;=AC$4),IF(ISBLANK(Tbl_ResidentData[[#This Row],[Discharge '[mmm-yyyy']]]),TRUE,(Tbl_ResidentData[[#This Row],[Discharge '[mmm-yyyy']]]&gt;=AC$4)))))</f>
        <v>-</v>
      </c>
      <c r="AD200" s="121" t="str">
        <f ca="1">IF(AD$4&gt;NOW(),"-",IF(ISBLANK(Tbl_ResidentData[[#This Row],[Enrollment '[mmm-yyyy']]]),"-",AND((Tbl_ResidentData[[#This Row],[Enrollment '[mmm-yyyy']]]&lt;=AD$4),IF(ISBLANK(Tbl_ResidentData[[#This Row],[Discharge '[mmm-yyyy']]]),TRUE,(Tbl_ResidentData[[#This Row],[Discharge '[mmm-yyyy']]]&gt;=AD$4)))))</f>
        <v>-</v>
      </c>
      <c r="AE200" s="121" t="str">
        <f ca="1">IF(AE$4&gt;NOW(),"-",IF(ISBLANK(Tbl_ResidentData[[#This Row],[Enrollment '[mmm-yyyy']]]),"-",AND((Tbl_ResidentData[[#This Row],[Enrollment '[mmm-yyyy']]]&lt;=AE$4),IF(ISBLANK(Tbl_ResidentData[[#This Row],[Discharge '[mmm-yyyy']]]),TRUE,(Tbl_ResidentData[[#This Row],[Discharge '[mmm-yyyy']]]&gt;=AE$4)))))</f>
        <v>-</v>
      </c>
      <c r="AF200" s="121" t="str">
        <f ca="1">IF(AF$4&gt;NOW(),"-",IF(ISBLANK(Tbl_ResidentData[[#This Row],[Enrollment '[mmm-yyyy']]]),"-",AND((Tbl_ResidentData[[#This Row],[Enrollment '[mmm-yyyy']]]&lt;=AF$4),IF(ISBLANK(Tbl_ResidentData[[#This Row],[Discharge '[mmm-yyyy']]]),TRUE,(Tbl_ResidentData[[#This Row],[Discharge '[mmm-yyyy']]]&gt;=AF$4)))))</f>
        <v>-</v>
      </c>
      <c r="AG200" s="121" t="str">
        <f ca="1">IF(AG$4&gt;NOW(),"-",IF(ISBLANK(Tbl_ResidentData[[#This Row],[Enrollment '[mmm-yyyy']]]),"-",AND((Tbl_ResidentData[[#This Row],[Enrollment '[mmm-yyyy']]]&lt;=AG$4),IF(ISBLANK(Tbl_ResidentData[[#This Row],[Discharge '[mmm-yyyy']]]),TRUE,(Tbl_ResidentData[[#This Row],[Discharge '[mmm-yyyy']]]&gt;=AG$4)))))</f>
        <v>-</v>
      </c>
      <c r="AH200" s="121" t="str">
        <f ca="1">IF(AH$4&gt;NOW(),"-",IF(ISBLANK(Tbl_ResidentData[[#This Row],[Enrollment '[mmm-yyyy']]]),"-",AND((Tbl_ResidentData[[#This Row],[Enrollment '[mmm-yyyy']]]&lt;=AH$4),IF(ISBLANK(Tbl_ResidentData[[#This Row],[Discharge '[mmm-yyyy']]]),TRUE,(Tbl_ResidentData[[#This Row],[Discharge '[mmm-yyyy']]]&gt;=AH$4)))))</f>
        <v>-</v>
      </c>
      <c r="AI200" s="121" t="str">
        <f ca="1">IF(AI$4&gt;NOW(),"-",IF(ISBLANK(Tbl_ResidentData[[#This Row],[Enrollment '[mmm-yyyy']]]),"-",AND((Tbl_ResidentData[[#This Row],[Enrollment '[mmm-yyyy']]]&lt;=AI$4),IF(ISBLANK(Tbl_ResidentData[[#This Row],[Discharge '[mmm-yyyy']]]),TRUE,(Tbl_ResidentData[[#This Row],[Discharge '[mmm-yyyy']]]&gt;=AI$4)))))</f>
        <v>-</v>
      </c>
      <c r="AJ200" s="121" t="str">
        <f ca="1">IF(AJ$4&gt;NOW(),"-",IF(ISBLANK(Tbl_ResidentData[[#This Row],[Enrollment '[mmm-yyyy']]]),"-",AND((Tbl_ResidentData[[#This Row],[Enrollment '[mmm-yyyy']]]&lt;=AJ$4),IF(ISBLANK(Tbl_ResidentData[[#This Row],[Discharge '[mmm-yyyy']]]),TRUE,(Tbl_ResidentData[[#This Row],[Discharge '[mmm-yyyy']]]&gt;=AJ$4)))))</f>
        <v>-</v>
      </c>
      <c r="AK200" s="121" t="str">
        <f ca="1">IF(AK$4&gt;NOW(),"-",IF(ISBLANK(Tbl_ResidentData[[#This Row],[Enrollment '[mmm-yyyy']]]),"-",AND((Tbl_ResidentData[[#This Row],[Enrollment '[mmm-yyyy']]]&lt;=AK$4),IF(ISBLANK(Tbl_ResidentData[[#This Row],[Discharge '[mmm-yyyy']]]),TRUE,(Tbl_ResidentData[[#This Row],[Discharge '[mmm-yyyy']]]&gt;=AK$4)))))</f>
        <v>-</v>
      </c>
      <c r="AL200" s="121" t="str">
        <f ca="1">IF(AL$4&gt;NOW(),"-",IF(ISBLANK(Tbl_ResidentData[[#This Row],[Enrollment '[mmm-yyyy']]]),"-",AND((Tbl_ResidentData[[#This Row],[Enrollment '[mmm-yyyy']]]&lt;=AL$4),IF(ISBLANK(Tbl_ResidentData[[#This Row],[Discharge '[mmm-yyyy']]]),TRUE,(Tbl_ResidentData[[#This Row],[Discharge '[mmm-yyyy']]]&gt;=AL$4)))))</f>
        <v>-</v>
      </c>
      <c r="AM200" s="121" t="str">
        <f ca="1">IF(AM$4&gt;NOW(),"-",IF(ISBLANK(Tbl_ResidentData[[#This Row],[Enrollment '[mmm-yyyy']]]),"-",AND((Tbl_ResidentData[[#This Row],[Enrollment '[mmm-yyyy']]]&lt;=AM$4),IF(ISBLANK(Tbl_ResidentData[[#This Row],[Discharge '[mmm-yyyy']]]),TRUE,(Tbl_ResidentData[[#This Row],[Discharge '[mmm-yyyy']]]&gt;=AM$4)))))</f>
        <v>-</v>
      </c>
      <c r="AN200" s="121" t="str">
        <f ca="1">IF(AN$4&gt;NOW(),"-",IF(ISBLANK(Tbl_ResidentData[[#This Row],[Enrollment '[mmm-yyyy']]]),"-",AND((Tbl_ResidentData[[#This Row],[Enrollment '[mmm-yyyy']]]&lt;=AN$4),IF(ISBLANK(Tbl_ResidentData[[#This Row],[Discharge '[mmm-yyyy']]]),TRUE,(Tbl_ResidentData[[#This Row],[Discharge '[mmm-yyyy']]]&gt;=AN$4)))))</f>
        <v>-</v>
      </c>
      <c r="AO200" s="121" t="str">
        <f ca="1">IF(AO$4&gt;NOW(),"-",IF(ISBLANK(Tbl_ResidentData[[#This Row],[Enrollment '[mmm-yyyy']]]),"-",AND((Tbl_ResidentData[[#This Row],[Enrollment '[mmm-yyyy']]]&lt;=AO$4),IF(ISBLANK(Tbl_ResidentData[[#This Row],[Discharge '[mmm-yyyy']]]),TRUE,(Tbl_ResidentData[[#This Row],[Discharge '[mmm-yyyy']]]&gt;=AO$4)))))</f>
        <v>-</v>
      </c>
      <c r="AP200" s="121" t="str">
        <f ca="1">IF(AP$4&gt;NOW(),"-",IF(ISBLANK(Tbl_ResidentData[[#This Row],[Enrollment '[mmm-yyyy']]]),"-",AND((Tbl_ResidentData[[#This Row],[Enrollment '[mmm-yyyy']]]&lt;=AP$4),IF(ISBLANK(Tbl_ResidentData[[#This Row],[Discharge '[mmm-yyyy']]]),TRUE,(Tbl_ResidentData[[#This Row],[Discharge '[mmm-yyyy']]]&gt;=AP$4)))))</f>
        <v>-</v>
      </c>
      <c r="AQ200" s="121" t="str">
        <f ca="1">IF(AQ$4&gt;NOW(),"-",IF(ISBLANK(Tbl_ResidentData[[#This Row],[Enrollment '[mmm-yyyy']]]),"-",AND((Tbl_ResidentData[[#This Row],[Enrollment '[mmm-yyyy']]]&lt;=AQ$4),IF(ISBLANK(Tbl_ResidentData[[#This Row],[Discharge '[mmm-yyyy']]]),TRUE,(Tbl_ResidentData[[#This Row],[Discharge '[mmm-yyyy']]]&gt;=AQ$4)))))</f>
        <v>-</v>
      </c>
      <c r="AR200" s="122" t="str">
        <f ca="1">IF(AR$4&gt;NOW(),"-",IF(ISBLANK(Tbl_ResidentData[[#This Row],[Enrollment '[mmm-yyyy']]]),"-",AND((Tbl_ResidentData[[#This Row],[Enrollment '[mmm-yyyy']]]&lt;=AR$4),IF(ISBLANK(Tbl_ResidentData[[#This Row],[Discharge '[mmm-yyyy']]]),TRUE,(Tbl_ResidentData[[#This Row],[Discharge '[mmm-yyyy']]]&gt;=AR$4)))))</f>
        <v>-</v>
      </c>
      <c r="AS20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20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20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20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20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20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0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0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0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0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0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0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0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0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0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0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0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0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0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0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0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0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0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0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00" s="120" t="b">
        <f ca="1">AND(Tbl_ResidentData[[#This Row],[PRN Med Started]]&lt;&gt;"",Tbl_ResidentData[[#This Row],[PRN Med Started]]&lt;=NOW(),Tbl_ResidentData[[#This Row],[PRN Med Started]]&lt;=AS$4,OR(Tbl_ResidentData[[#This Row],[PRN Med Discontinued]]&gt;AS$4,ISBLANK(Tbl_ResidentData[[#This Row],[PRN Med Discontinued]])))</f>
        <v>0</v>
      </c>
      <c r="BR200" s="121" t="b">
        <f ca="1">AND(Tbl_ResidentData[[#This Row],[PRN Med Started]]&lt;&gt;"",Tbl_ResidentData[[#This Row],[PRN Med Started]]&lt;=NOW(),Tbl_ResidentData[[#This Row],[PRN Med Started]]&lt;=AT$4,OR(Tbl_ResidentData[[#This Row],[PRN Med Discontinued]]&gt;AT$4,ISBLANK(Tbl_ResidentData[[#This Row],[PRN Med Discontinued]])))</f>
        <v>0</v>
      </c>
      <c r="BS200" s="121" t="b">
        <f ca="1">AND(Tbl_ResidentData[[#This Row],[PRN Med Started]]&lt;&gt;"",Tbl_ResidentData[[#This Row],[PRN Med Started]]&lt;=NOW(),Tbl_ResidentData[[#This Row],[PRN Med Started]]&lt;=AU$4,OR(Tbl_ResidentData[[#This Row],[PRN Med Discontinued]]&gt;AU$4,ISBLANK(Tbl_ResidentData[[#This Row],[PRN Med Discontinued]])))</f>
        <v>0</v>
      </c>
      <c r="BT200" s="121" t="b">
        <f ca="1">AND(Tbl_ResidentData[[#This Row],[PRN Med Started]]&lt;&gt;"",Tbl_ResidentData[[#This Row],[PRN Med Started]]&lt;=NOW(),Tbl_ResidentData[[#This Row],[PRN Med Started]]&lt;=AV$4,OR(Tbl_ResidentData[[#This Row],[PRN Med Discontinued]]&gt;AV$4,ISBLANK(Tbl_ResidentData[[#This Row],[PRN Med Discontinued]])))</f>
        <v>0</v>
      </c>
      <c r="BU200" s="121" t="b">
        <f ca="1">AND(Tbl_ResidentData[[#This Row],[PRN Med Started]]&lt;&gt;"",Tbl_ResidentData[[#This Row],[PRN Med Started]]&lt;=NOW(),Tbl_ResidentData[[#This Row],[PRN Med Started]]&lt;=AW$4,OR(Tbl_ResidentData[[#This Row],[PRN Med Discontinued]]&gt;AW$4,ISBLANK(Tbl_ResidentData[[#This Row],[PRN Med Discontinued]])))</f>
        <v>0</v>
      </c>
      <c r="BV200" s="121" t="b">
        <f ca="1">AND(Tbl_ResidentData[[#This Row],[PRN Med Started]]&lt;&gt;"",Tbl_ResidentData[[#This Row],[PRN Med Started]]&lt;=NOW(),Tbl_ResidentData[[#This Row],[PRN Med Started]]&lt;=AX$4,OR(Tbl_ResidentData[[#This Row],[PRN Med Discontinued]]&gt;AX$4,ISBLANK(Tbl_ResidentData[[#This Row],[PRN Med Discontinued]])))</f>
        <v>0</v>
      </c>
      <c r="BW200" s="121" t="b">
        <f ca="1">AND(Tbl_ResidentData[[#This Row],[PRN Med Started]]&lt;&gt;"",Tbl_ResidentData[[#This Row],[PRN Med Started]]&lt;=NOW(),Tbl_ResidentData[[#This Row],[PRN Med Started]]&lt;=AY$4,OR(Tbl_ResidentData[[#This Row],[PRN Med Discontinued]]&gt;AY$4,ISBLANK(Tbl_ResidentData[[#This Row],[PRN Med Discontinued]])))</f>
        <v>0</v>
      </c>
      <c r="BX200" s="121" t="b">
        <f ca="1">AND(Tbl_ResidentData[[#This Row],[PRN Med Started]]&lt;&gt;"",Tbl_ResidentData[[#This Row],[PRN Med Started]]&lt;=NOW(),Tbl_ResidentData[[#This Row],[PRN Med Started]]&lt;=AZ$4,OR(Tbl_ResidentData[[#This Row],[PRN Med Discontinued]]&gt;AZ$4,ISBLANK(Tbl_ResidentData[[#This Row],[PRN Med Discontinued]])))</f>
        <v>0</v>
      </c>
      <c r="BY200" s="121" t="b">
        <f ca="1">AND(Tbl_ResidentData[[#This Row],[PRN Med Started]]&lt;&gt;"",Tbl_ResidentData[[#This Row],[PRN Med Started]]&lt;=NOW(),Tbl_ResidentData[[#This Row],[PRN Med Started]]&lt;=BA$4,OR(Tbl_ResidentData[[#This Row],[PRN Med Discontinued]]&gt;BA$4,ISBLANK(Tbl_ResidentData[[#This Row],[PRN Med Discontinued]])))</f>
        <v>0</v>
      </c>
      <c r="BZ200" s="121" t="b">
        <f ca="1">AND(Tbl_ResidentData[[#This Row],[PRN Med Started]]&lt;&gt;"",Tbl_ResidentData[[#This Row],[PRN Med Started]]&lt;=NOW(),Tbl_ResidentData[[#This Row],[PRN Med Started]]&lt;=BB$4,OR(Tbl_ResidentData[[#This Row],[PRN Med Discontinued]]&gt;BB$4,ISBLANK(Tbl_ResidentData[[#This Row],[PRN Med Discontinued]])))</f>
        <v>0</v>
      </c>
      <c r="CA200" s="121" t="b">
        <f ca="1">AND(Tbl_ResidentData[[#This Row],[PRN Med Started]]&lt;&gt;"",Tbl_ResidentData[[#This Row],[PRN Med Started]]&lt;=NOW(),Tbl_ResidentData[[#This Row],[PRN Med Started]]&lt;=BC$4,OR(Tbl_ResidentData[[#This Row],[PRN Med Discontinued]]&gt;BC$4,ISBLANK(Tbl_ResidentData[[#This Row],[PRN Med Discontinued]])))</f>
        <v>0</v>
      </c>
      <c r="CB200" s="121" t="b">
        <f ca="1">AND(Tbl_ResidentData[[#This Row],[PRN Med Started]]&lt;&gt;"",Tbl_ResidentData[[#This Row],[PRN Med Started]]&lt;=NOW(),Tbl_ResidentData[[#This Row],[PRN Med Started]]&lt;=BD$4,OR(Tbl_ResidentData[[#This Row],[PRN Med Discontinued]]&gt;BD$4,ISBLANK(Tbl_ResidentData[[#This Row],[PRN Med Discontinued]])))</f>
        <v>0</v>
      </c>
      <c r="CC200" s="121" t="b">
        <f ca="1">AND(Tbl_ResidentData[[#This Row],[PRN Med Started]]&lt;&gt;"",Tbl_ResidentData[[#This Row],[PRN Med Started]]&lt;=NOW(),Tbl_ResidentData[[#This Row],[PRN Med Started]]&lt;=BE$4,OR(Tbl_ResidentData[[#This Row],[PRN Med Discontinued]]&gt;BE$4,ISBLANK(Tbl_ResidentData[[#This Row],[PRN Med Discontinued]])))</f>
        <v>0</v>
      </c>
      <c r="CD200" s="121" t="b">
        <f ca="1">AND(Tbl_ResidentData[[#This Row],[PRN Med Started]]&lt;&gt;"",Tbl_ResidentData[[#This Row],[PRN Med Started]]&lt;=NOW(),Tbl_ResidentData[[#This Row],[PRN Med Started]]&lt;=BF$4,OR(Tbl_ResidentData[[#This Row],[PRN Med Discontinued]]&gt;BF$4,ISBLANK(Tbl_ResidentData[[#This Row],[PRN Med Discontinued]])))</f>
        <v>0</v>
      </c>
      <c r="CE200" s="121" t="b">
        <f ca="1">AND(Tbl_ResidentData[[#This Row],[PRN Med Started]]&lt;&gt;"",Tbl_ResidentData[[#This Row],[PRN Med Started]]&lt;=NOW(),Tbl_ResidentData[[#This Row],[PRN Med Started]]&lt;=BG$4,OR(Tbl_ResidentData[[#This Row],[PRN Med Discontinued]]&gt;BG$4,ISBLANK(Tbl_ResidentData[[#This Row],[PRN Med Discontinued]])))</f>
        <v>0</v>
      </c>
      <c r="CF200" s="121" t="b">
        <f ca="1">AND(Tbl_ResidentData[[#This Row],[PRN Med Started]]&lt;&gt;"",Tbl_ResidentData[[#This Row],[PRN Med Started]]&lt;=NOW(),Tbl_ResidentData[[#This Row],[PRN Med Started]]&lt;=BH$4,OR(Tbl_ResidentData[[#This Row],[PRN Med Discontinued]]&gt;BH$4,ISBLANK(Tbl_ResidentData[[#This Row],[PRN Med Discontinued]])))</f>
        <v>0</v>
      </c>
      <c r="CG200" s="121" t="b">
        <f ca="1">AND(Tbl_ResidentData[[#This Row],[PRN Med Started]]&lt;&gt;"",Tbl_ResidentData[[#This Row],[PRN Med Started]]&lt;=NOW(),Tbl_ResidentData[[#This Row],[PRN Med Started]]&lt;=BI$4,OR(Tbl_ResidentData[[#This Row],[PRN Med Discontinued]]&gt;BI$4,ISBLANK(Tbl_ResidentData[[#This Row],[PRN Med Discontinued]])))</f>
        <v>0</v>
      </c>
      <c r="CH200" s="121" t="b">
        <f ca="1">AND(Tbl_ResidentData[[#This Row],[PRN Med Started]]&lt;&gt;"",Tbl_ResidentData[[#This Row],[PRN Med Started]]&lt;=NOW(),Tbl_ResidentData[[#This Row],[PRN Med Started]]&lt;=BJ$4,OR(Tbl_ResidentData[[#This Row],[PRN Med Discontinued]]&gt;BJ$4,ISBLANK(Tbl_ResidentData[[#This Row],[PRN Med Discontinued]])))</f>
        <v>0</v>
      </c>
      <c r="CI200" s="121" t="b">
        <f ca="1">AND(Tbl_ResidentData[[#This Row],[PRN Med Started]]&lt;&gt;"",Tbl_ResidentData[[#This Row],[PRN Med Started]]&lt;=NOW(),Tbl_ResidentData[[#This Row],[PRN Med Started]]&lt;=BK$4,OR(Tbl_ResidentData[[#This Row],[PRN Med Discontinued]]&gt;BK$4,ISBLANK(Tbl_ResidentData[[#This Row],[PRN Med Discontinued]])))</f>
        <v>0</v>
      </c>
      <c r="CJ200" s="121" t="b">
        <f ca="1">AND(Tbl_ResidentData[[#This Row],[PRN Med Started]]&lt;&gt;"",Tbl_ResidentData[[#This Row],[PRN Med Started]]&lt;=NOW(),Tbl_ResidentData[[#This Row],[PRN Med Started]]&lt;=BL$4,OR(Tbl_ResidentData[[#This Row],[PRN Med Discontinued]]&gt;BL$4,ISBLANK(Tbl_ResidentData[[#This Row],[PRN Med Discontinued]])))</f>
        <v>0</v>
      </c>
      <c r="CK200" s="121" t="b">
        <f ca="1">AND(Tbl_ResidentData[[#This Row],[PRN Med Started]]&lt;&gt;"",Tbl_ResidentData[[#This Row],[PRN Med Started]]&lt;=NOW(),Tbl_ResidentData[[#This Row],[PRN Med Started]]&lt;=BM$4,OR(Tbl_ResidentData[[#This Row],[PRN Med Discontinued]]&gt;BM$4,ISBLANK(Tbl_ResidentData[[#This Row],[PRN Med Discontinued]])))</f>
        <v>0</v>
      </c>
      <c r="CL200" s="121" t="b">
        <f ca="1">AND(Tbl_ResidentData[[#This Row],[PRN Med Started]]&lt;&gt;"",Tbl_ResidentData[[#This Row],[PRN Med Started]]&lt;=NOW(),Tbl_ResidentData[[#This Row],[PRN Med Started]]&lt;=BN$4,OR(Tbl_ResidentData[[#This Row],[PRN Med Discontinued]]&gt;BN$4,ISBLANK(Tbl_ResidentData[[#This Row],[PRN Med Discontinued]])))</f>
        <v>0</v>
      </c>
      <c r="CM200" s="121" t="b">
        <f ca="1">AND(Tbl_ResidentData[[#This Row],[PRN Med Started]]&lt;&gt;"",Tbl_ResidentData[[#This Row],[PRN Med Started]]&lt;=NOW(),Tbl_ResidentData[[#This Row],[PRN Med Started]]&lt;=BO$4,OR(Tbl_ResidentData[[#This Row],[PRN Med Discontinued]]&gt;BO$4,ISBLANK(Tbl_ResidentData[[#This Row],[PRN Med Discontinued]])))</f>
        <v>0</v>
      </c>
      <c r="CN200" s="122" t="b">
        <f ca="1">AND(Tbl_ResidentData[[#This Row],[PRN Med Started]]&lt;&gt;"",Tbl_ResidentData[[#This Row],[PRN Med Started]]&lt;=NOW(),Tbl_ResidentData[[#This Row],[PRN Med Started]]&lt;=BP$4,OR(Tbl_ResidentData[[#This Row],[PRN Med Discontinued]]&gt;BP$4,ISBLANK(Tbl_ResidentData[[#This Row],[PRN Med Discontinued]])))</f>
        <v>0</v>
      </c>
      <c r="CO200" s="120">
        <f ca="1">IF(OR(Tbl_ResidentData[[#This Row],[S1]]=TRUE,Tbl_ResidentData[[#This Row],[P1]]=TRUE),1,0)</f>
        <v>0</v>
      </c>
      <c r="CP200" s="121">
        <f ca="1">IF(OR(Tbl_ResidentData[[#This Row],[S2]]=TRUE,Tbl_ResidentData[[#This Row],[P2]]=TRUE),1,0)</f>
        <v>0</v>
      </c>
      <c r="CQ200" s="121">
        <f ca="1">IF(OR(Tbl_ResidentData[[#This Row],[S3]]=TRUE,Tbl_ResidentData[[#This Row],[P3]]=TRUE),1,0)</f>
        <v>0</v>
      </c>
      <c r="CR200" s="120">
        <f ca="1">IF(OR(Tbl_ResidentData[[#This Row],[S4]]=TRUE,Tbl_ResidentData[[#This Row],[P4]]=TRUE),1,0)</f>
        <v>0</v>
      </c>
      <c r="CS200" s="120">
        <f ca="1">IF(OR(Tbl_ResidentData[[#This Row],[S5]]=TRUE,Tbl_ResidentData[[#This Row],[P5]]=TRUE),1,0)</f>
        <v>0</v>
      </c>
      <c r="CT200" s="120">
        <f ca="1">IF(OR(Tbl_ResidentData[[#This Row],[S6]]=TRUE,Tbl_ResidentData[[#This Row],[P6]]=TRUE),1,0)</f>
        <v>0</v>
      </c>
      <c r="CU200" s="120">
        <f ca="1">IF(OR(Tbl_ResidentData[[#This Row],[S7]]=TRUE,Tbl_ResidentData[[#This Row],[P7]]=TRUE),1,0)</f>
        <v>0</v>
      </c>
      <c r="CV200" s="120">
        <f ca="1">IF(OR(Tbl_ResidentData[[#This Row],[S8]]=TRUE,Tbl_ResidentData[[#This Row],[P8]]=TRUE),1,0)</f>
        <v>0</v>
      </c>
      <c r="CW200" s="120">
        <f ca="1">IF(OR(Tbl_ResidentData[[#This Row],[S9]]=TRUE,Tbl_ResidentData[[#This Row],[P9]]=TRUE),1,0)</f>
        <v>0</v>
      </c>
      <c r="CX200" s="120">
        <f ca="1">IF(OR(Tbl_ResidentData[[#This Row],[S10]]=TRUE,Tbl_ResidentData[[#This Row],[P10]]=TRUE),1,0)</f>
        <v>0</v>
      </c>
      <c r="CY200" s="120">
        <f ca="1">IF(OR(Tbl_ResidentData[[#This Row],[S11]]=TRUE,Tbl_ResidentData[[#This Row],[P11]]=TRUE),1,0)</f>
        <v>0</v>
      </c>
      <c r="CZ200" s="120">
        <f ca="1">IF(OR(Tbl_ResidentData[[#This Row],[S12]]=TRUE,Tbl_ResidentData[[#This Row],[P12]]=TRUE),1,0)</f>
        <v>0</v>
      </c>
      <c r="DA200" s="120">
        <f ca="1">IF(OR(Tbl_ResidentData[[#This Row],[S13]]=TRUE,Tbl_ResidentData[[#This Row],[P13]]=TRUE),1,0)</f>
        <v>0</v>
      </c>
      <c r="DB200" s="120">
        <f ca="1">IF(OR(Tbl_ResidentData[[#This Row],[S14]]=TRUE,Tbl_ResidentData[[#This Row],[P14]]=TRUE),1,0)</f>
        <v>0</v>
      </c>
      <c r="DC200" s="120">
        <f ca="1">IF(OR(Tbl_ResidentData[[#This Row],[S15]]=TRUE,Tbl_ResidentData[[#This Row],[P15]]=TRUE),1,0)</f>
        <v>0</v>
      </c>
      <c r="DD200" s="120">
        <f ca="1">IF(OR(Tbl_ResidentData[[#This Row],[S16]]=TRUE,Tbl_ResidentData[[#This Row],[P16]]=TRUE),1,0)</f>
        <v>0</v>
      </c>
      <c r="DE200" s="120">
        <f ca="1">IF(OR(Tbl_ResidentData[[#This Row],[S17]]=TRUE,Tbl_ResidentData[[#This Row],[P17]]=TRUE),1,0)</f>
        <v>0</v>
      </c>
      <c r="DF200" s="120">
        <f ca="1">IF(OR(Tbl_ResidentData[[#This Row],[S18]]=TRUE,Tbl_ResidentData[[#This Row],[P18]]=TRUE),1,0)</f>
        <v>0</v>
      </c>
      <c r="DG200" s="120">
        <f ca="1">IF(OR(Tbl_ResidentData[[#This Row],[S19]]=TRUE,Tbl_ResidentData[[#This Row],[P19]]=TRUE),1,0)</f>
        <v>0</v>
      </c>
      <c r="DH200" s="120">
        <f ca="1">IF(OR(Tbl_ResidentData[[#This Row],[S20]]=TRUE,Tbl_ResidentData[[#This Row],[P20]]=TRUE),1,0)</f>
        <v>0</v>
      </c>
      <c r="DI200" s="120">
        <f ca="1">IF(OR(Tbl_ResidentData[[#This Row],[S21]]=TRUE,Tbl_ResidentData[[#This Row],[P21]]=TRUE),1,0)</f>
        <v>0</v>
      </c>
      <c r="DJ200" s="120">
        <f ca="1">IF(OR(Tbl_ResidentData[[#This Row],[S22]]=TRUE,Tbl_ResidentData[[#This Row],[P22]]=TRUE),1,0)</f>
        <v>0</v>
      </c>
      <c r="DK200" s="120">
        <f ca="1">IF(OR(Tbl_ResidentData[[#This Row],[S23]]=TRUE,Tbl_ResidentData[[#This Row],[P23]]=TRUE),1,0)</f>
        <v>0</v>
      </c>
      <c r="DL200" s="120">
        <f ca="1">IF(OR(Tbl_ResidentData[[#This Row],[S24]]=TRUE,Tbl_ResidentData[[#This Row],[P24]]=TRUE),1,0)</f>
        <v>0</v>
      </c>
      <c r="DM200" s="123" t="str">
        <f ca="1">IFERROR(INDEX($CO$4:$DL$4,MATCH(TRUE,INDEX((Tbl_ResidentData[[#This Row],[Over1]:[Over24]]&lt;&gt;0),0),0)),"")</f>
        <v/>
      </c>
      <c r="DN200" s="133" t="str">
        <f>IFERROR(INDEX(Tbl_PDSAData[Last DRT],MATCH(Tbl_ResidentData[Resident Name '[last, first']],Tbl_PDSAData[Resident Name (last, first)],0)),"")</f>
        <v/>
      </c>
      <c r="DO200" s="222" t="str">
        <f>IFERROR(INDEX(Tbl_PDSAData[Last MR],MATCH(Tbl_ResidentData[Resident Name '[last, first']],Tbl_PDSAData[Resident Name (last, first)],0)),"")</f>
        <v/>
      </c>
    </row>
  </sheetData>
  <sheetProtection password="918C" sheet="1" objects="1" scenarios="1" autoFilter="0"/>
  <conditionalFormatting sqref="U6:AP200">
    <cfRule type="expression" dxfId="14" priority="11">
      <formula>IF(U6,TRUE,FALSE)</formula>
    </cfRule>
  </conditionalFormatting>
  <conditionalFormatting sqref="AT6:BM200">
    <cfRule type="expression" dxfId="13" priority="10">
      <formula>IF(AT6,TRUE,FALSE)</formula>
    </cfRule>
  </conditionalFormatting>
  <conditionalFormatting sqref="BS6:CL200">
    <cfRule type="expression" dxfId="12" priority="9">
      <formula>IF(BS6,TRUE,FALSE)</formula>
    </cfRule>
  </conditionalFormatting>
  <conditionalFormatting sqref="CR6:DJ200">
    <cfRule type="expression" dxfId="11" priority="8">
      <formula>IF(CR6,TRUE,FALSE)</formula>
    </cfRule>
  </conditionalFormatting>
  <conditionalFormatting sqref="DK6:DL200">
    <cfRule type="expression" dxfId="10" priority="6">
      <formula>IF(DK6,TRUE,FALSE)</formula>
    </cfRule>
  </conditionalFormatting>
  <conditionalFormatting sqref="AQ6:AS200">
    <cfRule type="expression" dxfId="9" priority="5">
      <formula>IF(AQ6,TRUE,FALSE)</formula>
    </cfRule>
  </conditionalFormatting>
  <conditionalFormatting sqref="BN6:BO200">
    <cfRule type="expression" dxfId="8" priority="4">
      <formula>IF(BN6,TRUE,FALSE)</formula>
    </cfRule>
  </conditionalFormatting>
  <conditionalFormatting sqref="BP6:BR200">
    <cfRule type="expression" dxfId="7" priority="3">
      <formula>IF(BP6,TRUE,FALSE)</formula>
    </cfRule>
  </conditionalFormatting>
  <conditionalFormatting sqref="CM6:CN200">
    <cfRule type="expression" dxfId="6" priority="2">
      <formula>IF(CM6,TRUE,FALSE)</formula>
    </cfRule>
  </conditionalFormatting>
  <conditionalFormatting sqref="CO6:CQ200">
    <cfRule type="expression" dxfId="5" priority="1">
      <formula>IF(CO6,TRUE,FALSE)</formula>
    </cfRule>
  </conditionalFormatting>
  <dataValidations count="7">
    <dataValidation allowBlank="1" showInputMessage="1" sqref="B201:B1048576 L6:L200 P6:P200"/>
    <dataValidation type="list" allowBlank="1" showInputMessage="1" showErrorMessage="1" sqref="J6:K200 N6:O200 B6:C200">
      <formula1>List_MonthDate</formula1>
    </dataValidation>
    <dataValidation type="list" allowBlank="1" showInputMessage="1" showErrorMessage="1" sqref="D6:D200">
      <formula1>List_Cohort</formula1>
    </dataValidation>
    <dataValidation type="list" allowBlank="1" showInputMessage="1" showErrorMessage="1" sqref="Q6:Q200">
      <formula1>List_MedicationStatus</formula1>
    </dataValidation>
    <dataValidation type="list" allowBlank="1" showInputMessage="1" showErrorMessage="1" sqref="F6:F200">
      <formula1>List_Diagnosis</formula1>
    </dataValidation>
    <dataValidation type="list" allowBlank="1" sqref="I6:I200 M6:M200">
      <formula1>List_MedicationName</formula1>
    </dataValidation>
    <dataValidation type="list" allowBlank="1" showInputMessage="1" showErrorMessage="1" sqref="G6:G200">
      <formula1>"Yes,No"</formula1>
    </dataValidation>
  </dataValidations>
  <pageMargins left="7.8740157480315001E-2" right="7.8740157480315001E-2" top="7.8740157480315001E-2" bottom="7.8740157480315001E-2" header="0" footer="0"/>
  <pageSetup paperSize="5" scale="94" fitToWidth="2" fitToHeight="0" pageOrder="overThenDown" orientation="landscape" r:id="rId1"/>
  <rowBreaks count="1" manualBreakCount="1">
    <brk id="50" max="16383" man="1"/>
  </rowBreaks>
  <colBreaks count="2" manualBreakCount="2">
    <brk id="12" max="1048575" man="1"/>
    <brk id="44" max="1048575" man="1"/>
  </colBreaks>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sheetPr>
  <dimension ref="A1:CA305"/>
  <sheetViews>
    <sheetView showGridLines="0" zoomScaleNormal="100" zoomScaleSheetLayoutView="100" workbookViewId="0">
      <pane xSplit="1" ySplit="5" topLeftCell="B6" activePane="bottomRight" state="frozen"/>
      <selection pane="topRight"/>
      <selection pane="bottomLeft"/>
      <selection pane="bottomRight"/>
    </sheetView>
  </sheetViews>
  <sheetFormatPr defaultColWidth="5.28515625" defaultRowHeight="15" x14ac:dyDescent="0.25"/>
  <cols>
    <col min="1" max="1" width="25.7109375" customWidth="1"/>
    <col min="2" max="2" width="15.7109375" style="86" customWidth="1"/>
    <col min="3" max="3" width="23.7109375" style="86" customWidth="1"/>
    <col min="4" max="4" width="30.7109375" style="86" customWidth="1"/>
    <col min="5" max="5" width="4.7109375" style="43" customWidth="1"/>
    <col min="6" max="6" width="4.7109375" style="1" customWidth="1"/>
    <col min="7" max="7" width="4.7109375" customWidth="1"/>
    <col min="8" max="8" width="4.7109375" style="43" customWidth="1"/>
    <col min="9" max="52" width="4.7109375" style="76" customWidth="1"/>
    <col min="53" max="53" width="9.7109375" style="76" customWidth="1"/>
    <col min="54" max="54" width="9.7109375" style="139" customWidth="1"/>
    <col min="56" max="77" width="5.7109375" style="43" customWidth="1"/>
    <col min="78" max="78" width="5.7109375" style="21" customWidth="1"/>
    <col min="79" max="79" width="10.7109375" style="12" hidden="1" customWidth="1"/>
  </cols>
  <sheetData>
    <row r="1" spans="1:79" s="168" customFormat="1" ht="21" x14ac:dyDescent="0.35">
      <c r="A1" s="164" t="s">
        <v>156</v>
      </c>
      <c r="B1" s="165"/>
      <c r="C1" s="165"/>
      <c r="D1" s="165"/>
      <c r="E1" s="166"/>
      <c r="F1" s="166"/>
      <c r="G1" s="166"/>
      <c r="H1" s="166"/>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252"/>
      <c r="BB1" s="253"/>
    </row>
    <row r="2" spans="1:79" s="31" customFormat="1" ht="17.25" x14ac:dyDescent="0.3">
      <c r="A2" s="547" t="s">
        <v>157</v>
      </c>
      <c r="B2" s="548" t="s">
        <v>14</v>
      </c>
      <c r="C2" s="549"/>
      <c r="D2" s="549"/>
      <c r="E2" s="550" t="s">
        <v>202</v>
      </c>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1"/>
      <c r="BB2" s="552"/>
    </row>
    <row r="3" spans="1:79" s="74" customFormat="1" x14ac:dyDescent="0.25">
      <c r="A3" s="101"/>
      <c r="B3" s="102"/>
      <c r="C3" s="102"/>
      <c r="D3" s="102"/>
      <c r="E3" s="598">
        <f>Summary!L5</f>
        <v>2018</v>
      </c>
      <c r="F3" s="598"/>
      <c r="G3" s="598" t="str">
        <f>Summary!M5</f>
        <v/>
      </c>
      <c r="H3" s="598"/>
      <c r="I3" s="598" t="str">
        <f>Summary!N5</f>
        <v/>
      </c>
      <c r="J3" s="598"/>
      <c r="K3" s="598" t="str">
        <f>Summary!O5</f>
        <v/>
      </c>
      <c r="L3" s="598"/>
      <c r="M3" s="598" t="str">
        <f>Summary!P5</f>
        <v/>
      </c>
      <c r="N3" s="598"/>
      <c r="O3" s="598" t="str">
        <f>Summary!Q5</f>
        <v/>
      </c>
      <c r="P3" s="598"/>
      <c r="Q3" s="598" t="str">
        <f>Summary!R5</f>
        <v/>
      </c>
      <c r="R3" s="598"/>
      <c r="S3" s="598" t="str">
        <f>Summary!S5</f>
        <v/>
      </c>
      <c r="T3" s="598"/>
      <c r="U3" s="598" t="str">
        <f>Summary!T5</f>
        <v/>
      </c>
      <c r="V3" s="598"/>
      <c r="W3" s="598" t="str">
        <f>Summary!U5</f>
        <v/>
      </c>
      <c r="X3" s="598"/>
      <c r="Y3" s="598" t="str">
        <f>Summary!V5</f>
        <v/>
      </c>
      <c r="Z3" s="598"/>
      <c r="AA3" s="598">
        <f>Summary!W5</f>
        <v>2019</v>
      </c>
      <c r="AB3" s="598"/>
      <c r="AC3" s="598" t="str">
        <f>Summary!X5</f>
        <v/>
      </c>
      <c r="AD3" s="598"/>
      <c r="AE3" s="598" t="str">
        <f>Summary!Y5</f>
        <v/>
      </c>
      <c r="AF3" s="598"/>
      <c r="AG3" s="598" t="str">
        <f>Summary!Z5</f>
        <v/>
      </c>
      <c r="AH3" s="598"/>
      <c r="AI3" s="598" t="str">
        <f>Summary!AA5</f>
        <v/>
      </c>
      <c r="AJ3" s="598"/>
      <c r="AK3" s="598" t="str">
        <f>Summary!AB5</f>
        <v/>
      </c>
      <c r="AL3" s="598"/>
      <c r="AM3" s="598" t="str">
        <f>Summary!AC5</f>
        <v/>
      </c>
      <c r="AN3" s="598"/>
      <c r="AO3" s="598" t="str">
        <f>Summary!AD5</f>
        <v/>
      </c>
      <c r="AP3" s="598"/>
      <c r="AQ3" s="598" t="str">
        <f>Summary!AE5</f>
        <v/>
      </c>
      <c r="AR3" s="598"/>
      <c r="AS3" s="598" t="str">
        <f>Summary!AF5</f>
        <v/>
      </c>
      <c r="AT3" s="598"/>
      <c r="AU3" s="598" t="str">
        <f>Summary!AG5</f>
        <v/>
      </c>
      <c r="AV3" s="598"/>
      <c r="AW3" s="598" t="str">
        <f>Summary!AH5</f>
        <v/>
      </c>
      <c r="AX3" s="598"/>
      <c r="AY3" s="598">
        <f>Summary!AI5</f>
        <v>2020</v>
      </c>
      <c r="AZ3" s="598"/>
      <c r="BA3" s="290"/>
      <c r="BB3" s="290"/>
    </row>
    <row r="4" spans="1:79" s="97" customFormat="1" x14ac:dyDescent="0.25">
      <c r="A4" s="99" t="s">
        <v>127</v>
      </c>
      <c r="B4" s="98" t="s">
        <v>116</v>
      </c>
      <c r="C4" s="98" t="s">
        <v>116</v>
      </c>
      <c r="D4" s="98" t="s">
        <v>116</v>
      </c>
      <c r="E4" s="291">
        <f>Summary!L7</f>
        <v>43132</v>
      </c>
      <c r="F4" s="293">
        <f>Summary!L7</f>
        <v>43132</v>
      </c>
      <c r="G4" s="291">
        <f>Summary!M7</f>
        <v>43160</v>
      </c>
      <c r="H4" s="293">
        <f>Summary!M7</f>
        <v>43160</v>
      </c>
      <c r="I4" s="291">
        <f>Summary!N7</f>
        <v>43191</v>
      </c>
      <c r="J4" s="293">
        <f>Summary!N7</f>
        <v>43191</v>
      </c>
      <c r="K4" s="291">
        <f>Summary!O7</f>
        <v>43221</v>
      </c>
      <c r="L4" s="293">
        <f>Summary!O7</f>
        <v>43221</v>
      </c>
      <c r="M4" s="291">
        <f>Summary!P7</f>
        <v>43252</v>
      </c>
      <c r="N4" s="293">
        <f>Summary!P7</f>
        <v>43252</v>
      </c>
      <c r="O4" s="291">
        <f>Summary!Q7</f>
        <v>43282</v>
      </c>
      <c r="P4" s="293">
        <f>Summary!Q7</f>
        <v>43282</v>
      </c>
      <c r="Q4" s="291">
        <f>Summary!R7</f>
        <v>43313</v>
      </c>
      <c r="R4" s="293">
        <f>Summary!R7</f>
        <v>43313</v>
      </c>
      <c r="S4" s="291">
        <f>Summary!S7</f>
        <v>43344</v>
      </c>
      <c r="T4" s="293">
        <f>Summary!S7</f>
        <v>43344</v>
      </c>
      <c r="U4" s="291">
        <f>Summary!T7</f>
        <v>43374</v>
      </c>
      <c r="V4" s="293">
        <f>Summary!T7</f>
        <v>43374</v>
      </c>
      <c r="W4" s="291">
        <f>Summary!U7</f>
        <v>43405</v>
      </c>
      <c r="X4" s="293">
        <f>Summary!U7</f>
        <v>43405</v>
      </c>
      <c r="Y4" s="291">
        <f>Summary!V7</f>
        <v>43435</v>
      </c>
      <c r="Z4" s="293">
        <f>Summary!V7</f>
        <v>43435</v>
      </c>
      <c r="AA4" s="291">
        <f>Summary!W7</f>
        <v>43466</v>
      </c>
      <c r="AB4" s="293">
        <f>Summary!W7</f>
        <v>43466</v>
      </c>
      <c r="AC4" s="291">
        <f>Summary!X7</f>
        <v>43497</v>
      </c>
      <c r="AD4" s="293">
        <f>Summary!X7</f>
        <v>43497</v>
      </c>
      <c r="AE4" s="291">
        <f>Summary!Y7</f>
        <v>43525</v>
      </c>
      <c r="AF4" s="293">
        <f>Summary!Y7</f>
        <v>43525</v>
      </c>
      <c r="AG4" s="291">
        <f>Summary!Z7</f>
        <v>43556</v>
      </c>
      <c r="AH4" s="293">
        <f>Summary!Z7</f>
        <v>43556</v>
      </c>
      <c r="AI4" s="291">
        <f>Summary!AA7</f>
        <v>43586</v>
      </c>
      <c r="AJ4" s="293">
        <f>Summary!AA7</f>
        <v>43586</v>
      </c>
      <c r="AK4" s="291">
        <f>Summary!AB7</f>
        <v>43617</v>
      </c>
      <c r="AL4" s="293">
        <f>Summary!AB7</f>
        <v>43617</v>
      </c>
      <c r="AM4" s="291">
        <f>Summary!AC7</f>
        <v>43647</v>
      </c>
      <c r="AN4" s="293">
        <f>Summary!AC7</f>
        <v>43647</v>
      </c>
      <c r="AO4" s="291">
        <f>Summary!AD7</f>
        <v>43678</v>
      </c>
      <c r="AP4" s="293">
        <f>Summary!AD7</f>
        <v>43678</v>
      </c>
      <c r="AQ4" s="291">
        <f>Summary!AE7</f>
        <v>43709</v>
      </c>
      <c r="AR4" s="293">
        <f>Summary!AE7</f>
        <v>43709</v>
      </c>
      <c r="AS4" s="291">
        <f>Summary!AF7</f>
        <v>43739</v>
      </c>
      <c r="AT4" s="293">
        <f>Summary!AF7</f>
        <v>43739</v>
      </c>
      <c r="AU4" s="291">
        <f>Summary!AG7</f>
        <v>43770</v>
      </c>
      <c r="AV4" s="293">
        <f>Summary!AG7</f>
        <v>43770</v>
      </c>
      <c r="AW4" s="291">
        <f>Summary!AH7</f>
        <v>43800</v>
      </c>
      <c r="AX4" s="293">
        <f>Summary!AH7</f>
        <v>43800</v>
      </c>
      <c r="AY4" s="291">
        <f>Summary!AI7</f>
        <v>43831</v>
      </c>
      <c r="AZ4" s="293">
        <f>Summary!AI7</f>
        <v>43831</v>
      </c>
      <c r="BA4" s="290"/>
      <c r="BB4" s="290"/>
    </row>
    <row r="5" spans="1:79" ht="24.75" customHeight="1" x14ac:dyDescent="0.25">
      <c r="A5" s="85" t="s">
        <v>13</v>
      </c>
      <c r="B5" s="89" t="s">
        <v>126</v>
      </c>
      <c r="C5" s="89" t="s">
        <v>176</v>
      </c>
      <c r="D5" s="89" t="s">
        <v>229</v>
      </c>
      <c r="E5" s="554" t="s">
        <v>128</v>
      </c>
      <c r="F5" s="554" t="s">
        <v>29</v>
      </c>
      <c r="G5" s="554" t="s">
        <v>129</v>
      </c>
      <c r="H5" s="554" t="s">
        <v>30</v>
      </c>
      <c r="I5" s="554" t="s">
        <v>130</v>
      </c>
      <c r="J5" s="554" t="s">
        <v>31</v>
      </c>
      <c r="K5" s="554" t="s">
        <v>131</v>
      </c>
      <c r="L5" s="554" t="s">
        <v>32</v>
      </c>
      <c r="M5" s="554" t="s">
        <v>132</v>
      </c>
      <c r="N5" s="554" t="s">
        <v>33</v>
      </c>
      <c r="O5" s="554" t="s">
        <v>133</v>
      </c>
      <c r="P5" s="554" t="s">
        <v>34</v>
      </c>
      <c r="Q5" s="554" t="s">
        <v>134</v>
      </c>
      <c r="R5" s="554" t="s">
        <v>35</v>
      </c>
      <c r="S5" s="554" t="s">
        <v>135</v>
      </c>
      <c r="T5" s="554" t="s">
        <v>36</v>
      </c>
      <c r="U5" s="554" t="s">
        <v>136</v>
      </c>
      <c r="V5" s="554" t="s">
        <v>37</v>
      </c>
      <c r="W5" s="554" t="s">
        <v>137</v>
      </c>
      <c r="X5" s="554" t="s">
        <v>38</v>
      </c>
      <c r="Y5" s="554" t="s">
        <v>138</v>
      </c>
      <c r="Z5" s="554" t="s">
        <v>39</v>
      </c>
      <c r="AA5" s="554" t="s">
        <v>139</v>
      </c>
      <c r="AB5" s="554" t="s">
        <v>40</v>
      </c>
      <c r="AC5" s="554" t="s">
        <v>140</v>
      </c>
      <c r="AD5" s="554" t="s">
        <v>41</v>
      </c>
      <c r="AE5" s="554" t="s">
        <v>141</v>
      </c>
      <c r="AF5" s="554" t="s">
        <v>42</v>
      </c>
      <c r="AG5" s="554" t="s">
        <v>142</v>
      </c>
      <c r="AH5" s="554" t="s">
        <v>43</v>
      </c>
      <c r="AI5" s="554" t="s">
        <v>143</v>
      </c>
      <c r="AJ5" s="554" t="s">
        <v>44</v>
      </c>
      <c r="AK5" s="554" t="s">
        <v>144</v>
      </c>
      <c r="AL5" s="554" t="s">
        <v>45</v>
      </c>
      <c r="AM5" s="554" t="s">
        <v>145</v>
      </c>
      <c r="AN5" s="554" t="s">
        <v>46</v>
      </c>
      <c r="AO5" s="554" t="s">
        <v>146</v>
      </c>
      <c r="AP5" s="554" t="s">
        <v>47</v>
      </c>
      <c r="AQ5" s="554" t="s">
        <v>147</v>
      </c>
      <c r="AR5" s="554" t="s">
        <v>48</v>
      </c>
      <c r="AS5" s="554" t="s">
        <v>148</v>
      </c>
      <c r="AT5" s="554" t="s">
        <v>49</v>
      </c>
      <c r="AU5" s="554" t="s">
        <v>149</v>
      </c>
      <c r="AV5" s="554" t="s">
        <v>50</v>
      </c>
      <c r="AW5" s="554" t="s">
        <v>150</v>
      </c>
      <c r="AX5" s="554" t="s">
        <v>51</v>
      </c>
      <c r="AY5" s="553" t="s">
        <v>151</v>
      </c>
      <c r="AZ5" s="553" t="s">
        <v>52</v>
      </c>
      <c r="BA5" s="292" t="s">
        <v>174</v>
      </c>
      <c r="BB5" s="292" t="s">
        <v>173</v>
      </c>
      <c r="BD5"/>
      <c r="BE5"/>
      <c r="BF5"/>
      <c r="BG5"/>
      <c r="BH5"/>
      <c r="BI5"/>
      <c r="BJ5"/>
      <c r="BK5"/>
      <c r="BL5"/>
      <c r="BM5"/>
      <c r="BN5"/>
      <c r="BO5"/>
      <c r="BP5"/>
      <c r="BQ5"/>
      <c r="BR5"/>
      <c r="BS5"/>
      <c r="BT5"/>
      <c r="BU5"/>
      <c r="BV5"/>
      <c r="BW5"/>
      <c r="BX5"/>
      <c r="BY5"/>
      <c r="BZ5"/>
      <c r="CA5"/>
    </row>
    <row r="6" spans="1:79" s="136" customFormat="1" x14ac:dyDescent="0.25">
      <c r="A6" s="181"/>
      <c r="B6" s="134" t="str">
        <f>IFERROR(INDEX(Tbl_ResidentData[Physician],MATCH(Tbl_PDSAData[[#This Row],[Resident Name (last, first)]],Tbl_ResidentData[Resident Name '[last, first']],0))&amp;"","")</f>
        <v/>
      </c>
      <c r="C6" s="137" t="str">
        <f>IFERROR(INDEX(Tbl_ResidentData[Diagnosis (RAI)],MATCH(Tbl_PDSAData[[#This Row],[Resident Name (last, first)]],Tbl_ResidentData[Resident Name '[last, first']],0))&amp;"","")</f>
        <v/>
      </c>
      <c r="D6" s="144" t="str">
        <f>IFERROR(INDEX(Tbl_ResidentData[Clinical Notes
'[free text']],MATCH(Tbl_PDSAData[[#This Row],[Resident Name (last, first)]],Tbl_ResidentData[Resident Name '[last, first']],0))&amp;"","")</f>
        <v/>
      </c>
      <c r="E6" s="190"/>
      <c r="F6" s="191"/>
      <c r="G6" s="190"/>
      <c r="H6" s="191"/>
      <c r="I6" s="190"/>
      <c r="J6" s="191"/>
      <c r="K6" s="190"/>
      <c r="L6" s="191"/>
      <c r="M6" s="190"/>
      <c r="N6" s="191"/>
      <c r="O6" s="190"/>
      <c r="P6" s="191"/>
      <c r="Q6" s="190"/>
      <c r="R6" s="191"/>
      <c r="S6" s="190"/>
      <c r="T6" s="191"/>
      <c r="U6" s="190"/>
      <c r="V6" s="191"/>
      <c r="W6" s="190"/>
      <c r="X6" s="191"/>
      <c r="Y6" s="190"/>
      <c r="Z6" s="191"/>
      <c r="AA6" s="190"/>
      <c r="AB6" s="191"/>
      <c r="AC6" s="190"/>
      <c r="AD6" s="191"/>
      <c r="AE6" s="190"/>
      <c r="AF6" s="191"/>
      <c r="AG6" s="190"/>
      <c r="AH6" s="191"/>
      <c r="AI6" s="190"/>
      <c r="AJ6" s="191"/>
      <c r="AK6" s="190"/>
      <c r="AL6" s="191"/>
      <c r="AM6" s="190"/>
      <c r="AN6" s="191"/>
      <c r="AO6" s="190"/>
      <c r="AP6" s="191"/>
      <c r="AQ6" s="190"/>
      <c r="AR6" s="191"/>
      <c r="AS6" s="190"/>
      <c r="AT6" s="191"/>
      <c r="AU6" s="190"/>
      <c r="AV6" s="191"/>
      <c r="AW6" s="190"/>
      <c r="AX6" s="191"/>
      <c r="AY6" s="190"/>
      <c r="AZ6" s="191"/>
      <c r="BA6" s="145" t="str">
        <f>IFERROR(INDEX($E$4:$AZ$4,SUMPRODUCT(MAX(COLUMN(Tbl_PDSAData[[#This Row],[D1]:[M24]])*(ListLookup!$G$3=Tbl_PDSAData[[#This Row],[D1]:[M24]]))-4)),"")</f>
        <v/>
      </c>
      <c r="BB6" s="145" t="str">
        <f>IFERROR(INDEX($E$4:$AZ$4,SUMPRODUCT(MAX(COLUMN(Tbl_PDSAData[[#This Row],[D1]:[M24]])*(ListLookup!$H$3=Tbl_PDSAData[[#This Row],[D1]:[M24]]))-4)),"")</f>
        <v/>
      </c>
    </row>
    <row r="7" spans="1:79" s="136" customFormat="1" x14ac:dyDescent="0.25">
      <c r="A7" s="181"/>
      <c r="B7" s="134" t="str">
        <f>IFERROR(INDEX(Tbl_ResidentData[Physician],MATCH(Tbl_PDSAData[[#This Row],[Resident Name (last, first)]],Tbl_ResidentData[Resident Name '[last, first']],0))&amp;"","")</f>
        <v/>
      </c>
      <c r="C7" s="135" t="str">
        <f>IFERROR(INDEX(Tbl_ResidentData[Diagnosis (RAI)],MATCH(Tbl_PDSAData[[#This Row],[Resident Name (last, first)]],Tbl_ResidentData[Resident Name '[last, first']],0))&amp;"","")</f>
        <v/>
      </c>
      <c r="D7" s="144" t="str">
        <f>IFERROR(INDEX(Tbl_ResidentData[Clinical Notes
'[free text']],MATCH(Tbl_PDSAData[[#This Row],[Resident Name (last, first)]],Tbl_ResidentData[Resident Name '[last, first']],0))&amp;"","")</f>
        <v/>
      </c>
      <c r="E7" s="190"/>
      <c r="F7" s="191"/>
      <c r="G7" s="190"/>
      <c r="H7" s="191"/>
      <c r="I7" s="190"/>
      <c r="J7" s="191"/>
      <c r="K7" s="190"/>
      <c r="L7" s="191"/>
      <c r="M7" s="190"/>
      <c r="N7" s="191"/>
      <c r="O7" s="190"/>
      <c r="P7" s="191"/>
      <c r="Q7" s="190"/>
      <c r="R7" s="191"/>
      <c r="S7" s="190"/>
      <c r="T7" s="191"/>
      <c r="U7" s="190"/>
      <c r="V7" s="191"/>
      <c r="W7" s="190"/>
      <c r="X7" s="191"/>
      <c r="Y7" s="190"/>
      <c r="Z7" s="191"/>
      <c r="AA7" s="190"/>
      <c r="AB7" s="191"/>
      <c r="AC7" s="190"/>
      <c r="AD7" s="191"/>
      <c r="AE7" s="190"/>
      <c r="AF7" s="191"/>
      <c r="AG7" s="190"/>
      <c r="AH7" s="191"/>
      <c r="AI7" s="190"/>
      <c r="AJ7" s="191"/>
      <c r="AK7" s="190"/>
      <c r="AL7" s="191"/>
      <c r="AM7" s="190"/>
      <c r="AN7" s="191"/>
      <c r="AO7" s="190"/>
      <c r="AP7" s="191"/>
      <c r="AQ7" s="190"/>
      <c r="AR7" s="191"/>
      <c r="AS7" s="190"/>
      <c r="AT7" s="191"/>
      <c r="AU7" s="190"/>
      <c r="AV7" s="191"/>
      <c r="AW7" s="190"/>
      <c r="AX7" s="191"/>
      <c r="AY7" s="190"/>
      <c r="AZ7" s="191"/>
      <c r="BA7" s="145" t="str">
        <f>IFERROR(INDEX($E$4:$AZ$4,SUMPRODUCT(MAX(COLUMN(Tbl_PDSAData[[#This Row],[D1]:[M24]])*(ListLookup!$G$3=Tbl_PDSAData[[#This Row],[D1]:[M24]]))-4)),"")</f>
        <v/>
      </c>
      <c r="BB7" s="145" t="str">
        <f>IFERROR(INDEX($E$4:$AZ$4,SUMPRODUCT(MAX(COLUMN(Tbl_PDSAData[[#This Row],[D1]:[M24]])*(ListLookup!$H$3=Tbl_PDSAData[[#This Row],[D1]:[M24]]))-4)),"")</f>
        <v/>
      </c>
    </row>
    <row r="8" spans="1:79" s="136" customFormat="1" x14ac:dyDescent="0.25">
      <c r="A8" s="181"/>
      <c r="B8" s="134" t="str">
        <f>IFERROR(INDEX(Tbl_ResidentData[Physician],MATCH(Tbl_PDSAData[[#This Row],[Resident Name (last, first)]],Tbl_ResidentData[Resident Name '[last, first']],0))&amp;"","")</f>
        <v/>
      </c>
      <c r="C8" s="135" t="str">
        <f>IFERROR(INDEX(Tbl_ResidentData[Diagnosis (RAI)],MATCH(Tbl_PDSAData[[#This Row],[Resident Name (last, first)]],Tbl_ResidentData[Resident Name '[last, first']],0))&amp;"","")</f>
        <v/>
      </c>
      <c r="D8" s="144" t="str">
        <f>IFERROR(INDEX(Tbl_ResidentData[Clinical Notes
'[free text']],MATCH(Tbl_PDSAData[[#This Row],[Resident Name (last, first)]],Tbl_ResidentData[Resident Name '[last, first']],0))&amp;"","")</f>
        <v/>
      </c>
      <c r="E8" s="190"/>
      <c r="F8" s="191"/>
      <c r="G8" s="190"/>
      <c r="H8" s="191"/>
      <c r="I8" s="190"/>
      <c r="J8" s="191"/>
      <c r="K8" s="190"/>
      <c r="L8" s="191"/>
      <c r="M8" s="190"/>
      <c r="N8" s="191"/>
      <c r="O8" s="190"/>
      <c r="P8" s="191"/>
      <c r="Q8" s="190"/>
      <c r="R8" s="191"/>
      <c r="S8" s="190"/>
      <c r="T8" s="191"/>
      <c r="U8" s="190"/>
      <c r="V8" s="191"/>
      <c r="W8" s="190"/>
      <c r="X8" s="191"/>
      <c r="Y8" s="190"/>
      <c r="Z8" s="191"/>
      <c r="AA8" s="190"/>
      <c r="AB8" s="191"/>
      <c r="AC8" s="190"/>
      <c r="AD8" s="191"/>
      <c r="AE8" s="190"/>
      <c r="AF8" s="191"/>
      <c r="AG8" s="190"/>
      <c r="AH8" s="191"/>
      <c r="AI8" s="190"/>
      <c r="AJ8" s="191"/>
      <c r="AK8" s="190"/>
      <c r="AL8" s="191"/>
      <c r="AM8" s="190"/>
      <c r="AN8" s="191"/>
      <c r="AO8" s="190"/>
      <c r="AP8" s="191"/>
      <c r="AQ8" s="190"/>
      <c r="AR8" s="191"/>
      <c r="AS8" s="190"/>
      <c r="AT8" s="191"/>
      <c r="AU8" s="190"/>
      <c r="AV8" s="191"/>
      <c r="AW8" s="190"/>
      <c r="AX8" s="191"/>
      <c r="AY8" s="190"/>
      <c r="AZ8" s="191"/>
      <c r="BA8" s="145" t="str">
        <f>IFERROR(INDEX($E$4:$AZ$4,SUMPRODUCT(MAX(COLUMN(Tbl_PDSAData[[#This Row],[D1]:[M24]])*(ListLookup!$G$3=Tbl_PDSAData[[#This Row],[D1]:[M24]]))-4)),"")</f>
        <v/>
      </c>
      <c r="BB8" s="145" t="str">
        <f>IFERROR(INDEX($E$4:$AZ$4,SUMPRODUCT(MAX(COLUMN(Tbl_PDSAData[[#This Row],[D1]:[M24]])*(ListLookup!$H$3=Tbl_PDSAData[[#This Row],[D1]:[M24]]))-4)),"")</f>
        <v/>
      </c>
    </row>
    <row r="9" spans="1:79" s="136" customFormat="1" x14ac:dyDescent="0.25">
      <c r="A9" s="181"/>
      <c r="B9" s="134" t="str">
        <f>IFERROR(INDEX(Tbl_ResidentData[Physician],MATCH(Tbl_PDSAData[[#This Row],[Resident Name (last, first)]],Tbl_ResidentData[Resident Name '[last, first']],0))&amp;"","")</f>
        <v/>
      </c>
      <c r="C9" s="135" t="str">
        <f>IFERROR(INDEX(Tbl_ResidentData[Diagnosis (RAI)],MATCH(Tbl_PDSAData[[#This Row],[Resident Name (last, first)]],Tbl_ResidentData[Resident Name '[last, first']],0))&amp;"","")</f>
        <v/>
      </c>
      <c r="D9" s="144" t="str">
        <f>IFERROR(INDEX(Tbl_ResidentData[Clinical Notes
'[free text']],MATCH(Tbl_PDSAData[[#This Row],[Resident Name (last, first)]],Tbl_ResidentData[Resident Name '[last, first']],0))&amp;"","")</f>
        <v/>
      </c>
      <c r="E9" s="190"/>
      <c r="F9" s="191"/>
      <c r="G9" s="190"/>
      <c r="H9" s="191"/>
      <c r="I9" s="190"/>
      <c r="J9" s="191"/>
      <c r="K9" s="190"/>
      <c r="L9" s="191"/>
      <c r="M9" s="190"/>
      <c r="N9" s="191"/>
      <c r="O9" s="190"/>
      <c r="P9" s="191"/>
      <c r="Q9" s="190"/>
      <c r="R9" s="191"/>
      <c r="S9" s="190"/>
      <c r="T9" s="191"/>
      <c r="U9" s="190"/>
      <c r="V9" s="191"/>
      <c r="W9" s="190"/>
      <c r="X9" s="191"/>
      <c r="Y9" s="190"/>
      <c r="Z9" s="191"/>
      <c r="AA9" s="190"/>
      <c r="AB9" s="191"/>
      <c r="AC9" s="190"/>
      <c r="AD9" s="191"/>
      <c r="AE9" s="190"/>
      <c r="AF9" s="191"/>
      <c r="AG9" s="190"/>
      <c r="AH9" s="191"/>
      <c r="AI9" s="190"/>
      <c r="AJ9" s="191"/>
      <c r="AK9" s="190"/>
      <c r="AL9" s="191"/>
      <c r="AM9" s="190"/>
      <c r="AN9" s="191"/>
      <c r="AO9" s="190"/>
      <c r="AP9" s="191"/>
      <c r="AQ9" s="190"/>
      <c r="AR9" s="191"/>
      <c r="AS9" s="190"/>
      <c r="AT9" s="191"/>
      <c r="AU9" s="190"/>
      <c r="AV9" s="191"/>
      <c r="AW9" s="190"/>
      <c r="AX9" s="191"/>
      <c r="AY9" s="190"/>
      <c r="AZ9" s="191"/>
      <c r="BA9" s="145" t="str">
        <f>IFERROR(INDEX($E$4:$AZ$4,SUMPRODUCT(MAX(COLUMN(Tbl_PDSAData[[#This Row],[D1]:[M24]])*(ListLookup!$G$3=Tbl_PDSAData[[#This Row],[D1]:[M24]]))-4)),"")</f>
        <v/>
      </c>
      <c r="BB9" s="145" t="str">
        <f>IFERROR(INDEX($E$4:$AZ$4,SUMPRODUCT(MAX(COLUMN(Tbl_PDSAData[[#This Row],[D1]:[M24]])*(ListLookup!$H$3=Tbl_PDSAData[[#This Row],[D1]:[M24]]))-4)),"")</f>
        <v/>
      </c>
    </row>
    <row r="10" spans="1:79" s="136" customFormat="1" x14ac:dyDescent="0.25">
      <c r="A10" s="181"/>
      <c r="B10" s="134" t="str">
        <f>IFERROR(INDEX(Tbl_ResidentData[Physician],MATCH(Tbl_PDSAData[[#This Row],[Resident Name (last, first)]],Tbl_ResidentData[Resident Name '[last, first']],0))&amp;"","")</f>
        <v/>
      </c>
      <c r="C10" s="135" t="str">
        <f>IFERROR(INDEX(Tbl_ResidentData[Diagnosis (RAI)],MATCH(Tbl_PDSAData[[#This Row],[Resident Name (last, first)]],Tbl_ResidentData[Resident Name '[last, first']],0))&amp;"","")</f>
        <v/>
      </c>
      <c r="D10" s="144" t="str">
        <f>IFERROR(INDEX(Tbl_ResidentData[Clinical Notes
'[free text']],MATCH(Tbl_PDSAData[[#This Row],[Resident Name (last, first)]],Tbl_ResidentData[Resident Name '[last, first']],0))&amp;"","")</f>
        <v/>
      </c>
      <c r="E10" s="190"/>
      <c r="F10" s="191"/>
      <c r="G10" s="190"/>
      <c r="H10" s="191"/>
      <c r="I10" s="190"/>
      <c r="J10" s="191"/>
      <c r="K10" s="190"/>
      <c r="L10" s="191"/>
      <c r="M10" s="190"/>
      <c r="N10" s="191"/>
      <c r="O10" s="190"/>
      <c r="P10" s="191"/>
      <c r="Q10" s="190"/>
      <c r="R10" s="191"/>
      <c r="S10" s="190"/>
      <c r="T10" s="191"/>
      <c r="U10" s="190"/>
      <c r="V10" s="191"/>
      <c r="W10" s="190"/>
      <c r="X10" s="191"/>
      <c r="Y10" s="190"/>
      <c r="Z10" s="191"/>
      <c r="AA10" s="190"/>
      <c r="AB10" s="191"/>
      <c r="AC10" s="190"/>
      <c r="AD10" s="191"/>
      <c r="AE10" s="190"/>
      <c r="AF10" s="191"/>
      <c r="AG10" s="190"/>
      <c r="AH10" s="191"/>
      <c r="AI10" s="190"/>
      <c r="AJ10" s="191"/>
      <c r="AK10" s="190"/>
      <c r="AL10" s="191"/>
      <c r="AM10" s="190"/>
      <c r="AN10" s="191"/>
      <c r="AO10" s="190"/>
      <c r="AP10" s="191"/>
      <c r="AQ10" s="190"/>
      <c r="AR10" s="191"/>
      <c r="AS10" s="190"/>
      <c r="AT10" s="191"/>
      <c r="AU10" s="190"/>
      <c r="AV10" s="191"/>
      <c r="AW10" s="190"/>
      <c r="AX10" s="191"/>
      <c r="AY10" s="190"/>
      <c r="AZ10" s="191"/>
      <c r="BA10" s="145" t="str">
        <f>IFERROR(INDEX($E$4:$AZ$4,SUMPRODUCT(MAX(COLUMN(Tbl_PDSAData[[#This Row],[D1]:[M24]])*(ListLookup!$G$3=Tbl_PDSAData[[#This Row],[D1]:[M24]]))-4)),"")</f>
        <v/>
      </c>
      <c r="BB10" s="145" t="str">
        <f>IFERROR(INDEX($E$4:$AZ$4,SUMPRODUCT(MAX(COLUMN(Tbl_PDSAData[[#This Row],[D1]:[M24]])*(ListLookup!$H$3=Tbl_PDSAData[[#This Row],[D1]:[M24]]))-4)),"")</f>
        <v/>
      </c>
    </row>
    <row r="11" spans="1:79" s="136" customFormat="1" x14ac:dyDescent="0.25">
      <c r="A11" s="181"/>
      <c r="B11" s="134" t="str">
        <f>IFERROR(INDEX(Tbl_ResidentData[Physician],MATCH(Tbl_PDSAData[[#This Row],[Resident Name (last, first)]],Tbl_ResidentData[Resident Name '[last, first']],0))&amp;"","")</f>
        <v/>
      </c>
      <c r="C11" s="135" t="str">
        <f>IFERROR(INDEX(Tbl_ResidentData[Diagnosis (RAI)],MATCH(Tbl_PDSAData[[#This Row],[Resident Name (last, first)]],Tbl_ResidentData[Resident Name '[last, first']],0))&amp;"","")</f>
        <v/>
      </c>
      <c r="D11" s="256" t="str">
        <f>IFERROR(INDEX(Tbl_ResidentData[Clinical Notes
'[free text']],MATCH(Tbl_PDSAData[[#This Row],[Resident Name (last, first)]],Tbl_ResidentData[Resident Name '[last, first']],0))&amp;"","")</f>
        <v/>
      </c>
      <c r="E11" s="190"/>
      <c r="F11" s="191"/>
      <c r="G11" s="190"/>
      <c r="H11" s="191"/>
      <c r="I11" s="190"/>
      <c r="J11" s="191"/>
      <c r="K11" s="190"/>
      <c r="L11" s="191"/>
      <c r="M11" s="190"/>
      <c r="N11" s="191"/>
      <c r="O11" s="190"/>
      <c r="P11" s="191"/>
      <c r="Q11" s="190"/>
      <c r="R11" s="191"/>
      <c r="S11" s="190"/>
      <c r="T11" s="191"/>
      <c r="U11" s="190"/>
      <c r="V11" s="191"/>
      <c r="W11" s="190"/>
      <c r="X11" s="191"/>
      <c r="Y11" s="190"/>
      <c r="Z11" s="191"/>
      <c r="AA11" s="190"/>
      <c r="AB11" s="191"/>
      <c r="AC11" s="190"/>
      <c r="AD11" s="191"/>
      <c r="AE11" s="190"/>
      <c r="AF11" s="191"/>
      <c r="AG11" s="190"/>
      <c r="AH11" s="191"/>
      <c r="AI11" s="190"/>
      <c r="AJ11" s="191"/>
      <c r="AK11" s="190"/>
      <c r="AL11" s="191"/>
      <c r="AM11" s="190"/>
      <c r="AN11" s="191"/>
      <c r="AO11" s="190"/>
      <c r="AP11" s="191"/>
      <c r="AQ11" s="190"/>
      <c r="AR11" s="191"/>
      <c r="AS11" s="190"/>
      <c r="AT11" s="191"/>
      <c r="AU11" s="190"/>
      <c r="AV11" s="191"/>
      <c r="AW11" s="190"/>
      <c r="AX11" s="191"/>
      <c r="AY11" s="190"/>
      <c r="AZ11" s="191"/>
      <c r="BA11" s="145" t="str">
        <f>IFERROR(INDEX($E$4:$AZ$4,SUMPRODUCT(MAX(COLUMN(Tbl_PDSAData[[#This Row],[D1]:[M24]])*(ListLookup!$G$3=Tbl_PDSAData[[#This Row],[D1]:[M24]]))-4)),"")</f>
        <v/>
      </c>
      <c r="BB11" s="145" t="str">
        <f>IFERROR(INDEX($E$4:$AZ$4,SUMPRODUCT(MAX(COLUMN(Tbl_PDSAData[[#This Row],[D1]:[M24]])*(ListLookup!$H$3=Tbl_PDSAData[[#This Row],[D1]:[M24]]))-4)),"")</f>
        <v/>
      </c>
    </row>
    <row r="12" spans="1:79" s="136" customFormat="1" x14ac:dyDescent="0.25">
      <c r="A12" s="181"/>
      <c r="B12" s="134" t="str">
        <f>IFERROR(INDEX(Tbl_ResidentData[Physician],MATCH(Tbl_PDSAData[[#This Row],[Resident Name (last, first)]],Tbl_ResidentData[Resident Name '[last, first']],0))&amp;"","")</f>
        <v/>
      </c>
      <c r="C12" s="135" t="str">
        <f>IFERROR(INDEX(Tbl_ResidentData[Diagnosis (RAI)],MATCH(Tbl_PDSAData[[#This Row],[Resident Name (last, first)]],Tbl_ResidentData[Resident Name '[last, first']],0))&amp;"","")</f>
        <v/>
      </c>
      <c r="D12" s="144" t="str">
        <f>IFERROR(INDEX(Tbl_ResidentData[Clinical Notes
'[free text']],MATCH(Tbl_PDSAData[[#This Row],[Resident Name (last, first)]],Tbl_ResidentData[Resident Name '[last, first']],0))&amp;"","")</f>
        <v/>
      </c>
      <c r="E12" s="190"/>
      <c r="F12" s="191"/>
      <c r="G12" s="190"/>
      <c r="H12" s="191"/>
      <c r="I12" s="190"/>
      <c r="J12" s="191"/>
      <c r="K12" s="190"/>
      <c r="L12" s="191"/>
      <c r="M12" s="190"/>
      <c r="N12" s="191"/>
      <c r="O12" s="190"/>
      <c r="P12" s="191"/>
      <c r="Q12" s="190"/>
      <c r="R12" s="191"/>
      <c r="S12" s="190"/>
      <c r="T12" s="191"/>
      <c r="U12" s="190"/>
      <c r="V12" s="191"/>
      <c r="W12" s="190"/>
      <c r="X12" s="191"/>
      <c r="Y12" s="190"/>
      <c r="Z12" s="191"/>
      <c r="AA12" s="190"/>
      <c r="AB12" s="191"/>
      <c r="AC12" s="190"/>
      <c r="AD12" s="191"/>
      <c r="AE12" s="190"/>
      <c r="AF12" s="191"/>
      <c r="AG12" s="190"/>
      <c r="AH12" s="191"/>
      <c r="AI12" s="190"/>
      <c r="AJ12" s="191"/>
      <c r="AK12" s="190"/>
      <c r="AL12" s="191"/>
      <c r="AM12" s="190"/>
      <c r="AN12" s="191"/>
      <c r="AO12" s="190"/>
      <c r="AP12" s="191"/>
      <c r="AQ12" s="190"/>
      <c r="AR12" s="191"/>
      <c r="AS12" s="190"/>
      <c r="AT12" s="191"/>
      <c r="AU12" s="190"/>
      <c r="AV12" s="191"/>
      <c r="AW12" s="190"/>
      <c r="AX12" s="191"/>
      <c r="AY12" s="190"/>
      <c r="AZ12" s="191"/>
      <c r="BA12" s="145" t="str">
        <f>IFERROR(INDEX($E$4:$AZ$4,SUMPRODUCT(MAX(COLUMN(Tbl_PDSAData[[#This Row],[D1]:[M24]])*(ListLookup!$G$3=Tbl_PDSAData[[#This Row],[D1]:[M24]]))-4)),"")</f>
        <v/>
      </c>
      <c r="BB12" s="145" t="str">
        <f>IFERROR(INDEX($E$4:$AZ$4,SUMPRODUCT(MAX(COLUMN(Tbl_PDSAData[[#This Row],[D1]:[M24]])*(ListLookup!$H$3=Tbl_PDSAData[[#This Row],[D1]:[M24]]))-4)),"")</f>
        <v/>
      </c>
    </row>
    <row r="13" spans="1:79" s="136" customFormat="1" x14ac:dyDescent="0.25">
      <c r="A13" s="181"/>
      <c r="B13" s="134" t="str">
        <f>IFERROR(INDEX(Tbl_ResidentData[Physician],MATCH(Tbl_PDSAData[[#This Row],[Resident Name (last, first)]],Tbl_ResidentData[Resident Name '[last, first']],0))&amp;"","")</f>
        <v/>
      </c>
      <c r="C13" s="135" t="str">
        <f>IFERROR(INDEX(Tbl_ResidentData[Diagnosis (RAI)],MATCH(Tbl_PDSAData[[#This Row],[Resident Name (last, first)]],Tbl_ResidentData[Resident Name '[last, first']],0))&amp;"","")</f>
        <v/>
      </c>
      <c r="D13" s="144" t="str">
        <f>IFERROR(INDEX(Tbl_ResidentData[Clinical Notes
'[free text']],MATCH(Tbl_PDSAData[[#This Row],[Resident Name (last, first)]],Tbl_ResidentData[Resident Name '[last, first']],0))&amp;"","")</f>
        <v/>
      </c>
      <c r="E13" s="190"/>
      <c r="F13" s="191"/>
      <c r="G13" s="190"/>
      <c r="H13" s="191"/>
      <c r="I13" s="190"/>
      <c r="J13" s="191"/>
      <c r="K13" s="190"/>
      <c r="L13" s="191"/>
      <c r="M13" s="190"/>
      <c r="N13" s="191"/>
      <c r="O13" s="190"/>
      <c r="P13" s="191"/>
      <c r="Q13" s="190"/>
      <c r="R13" s="191"/>
      <c r="S13" s="190"/>
      <c r="T13" s="191"/>
      <c r="U13" s="190"/>
      <c r="V13" s="191"/>
      <c r="W13" s="190"/>
      <c r="X13" s="191"/>
      <c r="Y13" s="190"/>
      <c r="Z13" s="191"/>
      <c r="AA13" s="190"/>
      <c r="AB13" s="191"/>
      <c r="AC13" s="190"/>
      <c r="AD13" s="191"/>
      <c r="AE13" s="190"/>
      <c r="AF13" s="191"/>
      <c r="AG13" s="190"/>
      <c r="AH13" s="191"/>
      <c r="AI13" s="190"/>
      <c r="AJ13" s="191"/>
      <c r="AK13" s="190"/>
      <c r="AL13" s="191"/>
      <c r="AM13" s="190"/>
      <c r="AN13" s="191"/>
      <c r="AO13" s="190"/>
      <c r="AP13" s="191"/>
      <c r="AQ13" s="190"/>
      <c r="AR13" s="191"/>
      <c r="AS13" s="190"/>
      <c r="AT13" s="191"/>
      <c r="AU13" s="190"/>
      <c r="AV13" s="191"/>
      <c r="AW13" s="190"/>
      <c r="AX13" s="191"/>
      <c r="AY13" s="190"/>
      <c r="AZ13" s="191"/>
      <c r="BA13" s="145" t="str">
        <f>IFERROR(INDEX($E$4:$AZ$4,SUMPRODUCT(MAX(COLUMN(Tbl_PDSAData[[#This Row],[D1]:[M24]])*(ListLookup!$G$3=Tbl_PDSAData[[#This Row],[D1]:[M24]]))-4)),"")</f>
        <v/>
      </c>
      <c r="BB13" s="145" t="str">
        <f>IFERROR(INDEX($E$4:$AZ$4,SUMPRODUCT(MAX(COLUMN(Tbl_PDSAData[[#This Row],[D1]:[M24]])*(ListLookup!$H$3=Tbl_PDSAData[[#This Row],[D1]:[M24]]))-4)),"")</f>
        <v/>
      </c>
    </row>
    <row r="14" spans="1:79" s="136" customFormat="1" x14ac:dyDescent="0.25">
      <c r="A14" s="181"/>
      <c r="B14" s="134" t="str">
        <f>IFERROR(INDEX(Tbl_ResidentData[Physician],MATCH(Tbl_PDSAData[[#This Row],[Resident Name (last, first)]],Tbl_ResidentData[Resident Name '[last, first']],0))&amp;"","")</f>
        <v/>
      </c>
      <c r="C14" s="135" t="str">
        <f>IFERROR(INDEX(Tbl_ResidentData[Diagnosis (RAI)],MATCH(Tbl_PDSAData[[#This Row],[Resident Name (last, first)]],Tbl_ResidentData[Resident Name '[last, first']],0))&amp;"","")</f>
        <v/>
      </c>
      <c r="D14" s="144" t="str">
        <f>IFERROR(INDEX(Tbl_ResidentData[Clinical Notes
'[free text']],MATCH(Tbl_PDSAData[[#This Row],[Resident Name (last, first)]],Tbl_ResidentData[Resident Name '[last, first']],0))&amp;"","")</f>
        <v/>
      </c>
      <c r="E14" s="190"/>
      <c r="F14" s="191"/>
      <c r="G14" s="190"/>
      <c r="H14" s="191"/>
      <c r="I14" s="190"/>
      <c r="J14" s="191"/>
      <c r="K14" s="190"/>
      <c r="L14" s="191"/>
      <c r="M14" s="190"/>
      <c r="N14" s="191"/>
      <c r="O14" s="190"/>
      <c r="P14" s="191"/>
      <c r="Q14" s="190"/>
      <c r="R14" s="191"/>
      <c r="S14" s="190"/>
      <c r="T14" s="191"/>
      <c r="U14" s="190"/>
      <c r="V14" s="191"/>
      <c r="W14" s="190"/>
      <c r="X14" s="191"/>
      <c r="Y14" s="190"/>
      <c r="Z14" s="191"/>
      <c r="AA14" s="190"/>
      <c r="AB14" s="191"/>
      <c r="AC14" s="190"/>
      <c r="AD14" s="191"/>
      <c r="AE14" s="190"/>
      <c r="AF14" s="191"/>
      <c r="AG14" s="190"/>
      <c r="AH14" s="191"/>
      <c r="AI14" s="190"/>
      <c r="AJ14" s="191"/>
      <c r="AK14" s="190"/>
      <c r="AL14" s="191"/>
      <c r="AM14" s="190"/>
      <c r="AN14" s="191"/>
      <c r="AO14" s="190"/>
      <c r="AP14" s="191"/>
      <c r="AQ14" s="190"/>
      <c r="AR14" s="191"/>
      <c r="AS14" s="190"/>
      <c r="AT14" s="191"/>
      <c r="AU14" s="190"/>
      <c r="AV14" s="191"/>
      <c r="AW14" s="190"/>
      <c r="AX14" s="191"/>
      <c r="AY14" s="190"/>
      <c r="AZ14" s="191"/>
      <c r="BA14" s="145" t="str">
        <f>IFERROR(INDEX($E$4:$AZ$4,SUMPRODUCT(MAX(COLUMN(Tbl_PDSAData[[#This Row],[D1]:[M24]])*(ListLookup!$G$3=Tbl_PDSAData[[#This Row],[D1]:[M24]]))-4)),"")</f>
        <v/>
      </c>
      <c r="BB14" s="145" t="str">
        <f>IFERROR(INDEX($E$4:$AZ$4,SUMPRODUCT(MAX(COLUMN(Tbl_PDSAData[[#This Row],[D1]:[M24]])*(ListLookup!$H$3=Tbl_PDSAData[[#This Row],[D1]:[M24]]))-4)),"")</f>
        <v/>
      </c>
    </row>
    <row r="15" spans="1:79" s="136" customFormat="1" x14ac:dyDescent="0.25">
      <c r="A15" s="181"/>
      <c r="B15" s="134" t="str">
        <f>IFERROR(INDEX(Tbl_ResidentData[Physician],MATCH(Tbl_PDSAData[[#This Row],[Resident Name (last, first)]],Tbl_ResidentData[Resident Name '[last, first']],0))&amp;"","")</f>
        <v/>
      </c>
      <c r="C15" s="135" t="str">
        <f>IFERROR(INDEX(Tbl_ResidentData[Diagnosis (RAI)],MATCH(Tbl_PDSAData[[#This Row],[Resident Name (last, first)]],Tbl_ResidentData[Resident Name '[last, first']],0))&amp;"","")</f>
        <v/>
      </c>
      <c r="D15" s="144" t="str">
        <f>IFERROR(INDEX(Tbl_ResidentData[Clinical Notes
'[free text']],MATCH(Tbl_PDSAData[[#This Row],[Resident Name (last, first)]],Tbl_ResidentData[Resident Name '[last, first']],0))&amp;"","")</f>
        <v/>
      </c>
      <c r="E15" s="190"/>
      <c r="F15" s="191"/>
      <c r="G15" s="190"/>
      <c r="H15" s="191"/>
      <c r="I15" s="190"/>
      <c r="J15" s="191"/>
      <c r="K15" s="190"/>
      <c r="L15" s="191"/>
      <c r="M15" s="190"/>
      <c r="N15" s="191"/>
      <c r="O15" s="190"/>
      <c r="P15" s="191"/>
      <c r="Q15" s="190"/>
      <c r="R15" s="191"/>
      <c r="S15" s="190"/>
      <c r="T15" s="191"/>
      <c r="U15" s="190"/>
      <c r="V15" s="191"/>
      <c r="W15" s="190"/>
      <c r="X15" s="191"/>
      <c r="Y15" s="190"/>
      <c r="Z15" s="191"/>
      <c r="AA15" s="190"/>
      <c r="AB15" s="191"/>
      <c r="AC15" s="190"/>
      <c r="AD15" s="191"/>
      <c r="AE15" s="190"/>
      <c r="AF15" s="191"/>
      <c r="AG15" s="190"/>
      <c r="AH15" s="191"/>
      <c r="AI15" s="190"/>
      <c r="AJ15" s="191"/>
      <c r="AK15" s="190"/>
      <c r="AL15" s="191"/>
      <c r="AM15" s="190"/>
      <c r="AN15" s="191"/>
      <c r="AO15" s="190"/>
      <c r="AP15" s="191"/>
      <c r="AQ15" s="190"/>
      <c r="AR15" s="191"/>
      <c r="AS15" s="190"/>
      <c r="AT15" s="191"/>
      <c r="AU15" s="190"/>
      <c r="AV15" s="191"/>
      <c r="AW15" s="190"/>
      <c r="AX15" s="191"/>
      <c r="AY15" s="190"/>
      <c r="AZ15" s="191"/>
      <c r="BA15" s="145" t="str">
        <f>IFERROR(INDEX($E$4:$AZ$4,SUMPRODUCT(MAX(COLUMN(Tbl_PDSAData[[#This Row],[D1]:[M24]])*(ListLookup!$G$3=Tbl_PDSAData[[#This Row],[D1]:[M24]]))-4)),"")</f>
        <v/>
      </c>
      <c r="BB15" s="145" t="str">
        <f>IFERROR(INDEX($E$4:$AZ$4,SUMPRODUCT(MAX(COLUMN(Tbl_PDSAData[[#This Row],[D1]:[M24]])*(ListLookup!$H$3=Tbl_PDSAData[[#This Row],[D1]:[M24]]))-4)),"")</f>
        <v/>
      </c>
    </row>
    <row r="16" spans="1:79" s="136" customFormat="1" x14ac:dyDescent="0.25">
      <c r="A16" s="181"/>
      <c r="B16" s="134" t="str">
        <f>IFERROR(INDEX(Tbl_ResidentData[Physician],MATCH(Tbl_PDSAData[[#This Row],[Resident Name (last, first)]],Tbl_ResidentData[Resident Name '[last, first']],0))&amp;"","")</f>
        <v/>
      </c>
      <c r="C16" s="135" t="str">
        <f>IFERROR(INDEX(Tbl_ResidentData[Diagnosis (RAI)],MATCH(Tbl_PDSAData[[#This Row],[Resident Name (last, first)]],Tbl_ResidentData[Resident Name '[last, first']],0))&amp;"","")</f>
        <v/>
      </c>
      <c r="D16" s="144" t="str">
        <f>IFERROR(INDEX(Tbl_ResidentData[Clinical Notes
'[free text']],MATCH(Tbl_PDSAData[[#This Row],[Resident Name (last, first)]],Tbl_ResidentData[Resident Name '[last, first']],0))&amp;"","")</f>
        <v/>
      </c>
      <c r="E16" s="190"/>
      <c r="F16" s="191"/>
      <c r="G16" s="190"/>
      <c r="H16" s="191"/>
      <c r="I16" s="190"/>
      <c r="J16" s="191"/>
      <c r="K16" s="190"/>
      <c r="L16" s="191"/>
      <c r="M16" s="190"/>
      <c r="N16" s="191"/>
      <c r="O16" s="190"/>
      <c r="P16" s="191"/>
      <c r="Q16" s="190"/>
      <c r="R16" s="191"/>
      <c r="S16" s="190"/>
      <c r="T16" s="191"/>
      <c r="U16" s="190"/>
      <c r="V16" s="191"/>
      <c r="W16" s="190"/>
      <c r="X16" s="191"/>
      <c r="Y16" s="190"/>
      <c r="Z16" s="191"/>
      <c r="AA16" s="190"/>
      <c r="AB16" s="191"/>
      <c r="AC16" s="190"/>
      <c r="AD16" s="191"/>
      <c r="AE16" s="190"/>
      <c r="AF16" s="191"/>
      <c r="AG16" s="190"/>
      <c r="AH16" s="191"/>
      <c r="AI16" s="190"/>
      <c r="AJ16" s="191"/>
      <c r="AK16" s="190"/>
      <c r="AL16" s="191"/>
      <c r="AM16" s="190"/>
      <c r="AN16" s="191"/>
      <c r="AO16" s="190"/>
      <c r="AP16" s="191"/>
      <c r="AQ16" s="190"/>
      <c r="AR16" s="191"/>
      <c r="AS16" s="190"/>
      <c r="AT16" s="191"/>
      <c r="AU16" s="190"/>
      <c r="AV16" s="191"/>
      <c r="AW16" s="190"/>
      <c r="AX16" s="191"/>
      <c r="AY16" s="190"/>
      <c r="AZ16" s="191"/>
      <c r="BA16" s="145" t="str">
        <f>IFERROR(INDEX($E$4:$AZ$4,SUMPRODUCT(MAX(COLUMN(Tbl_PDSAData[[#This Row],[D1]:[M24]])*(ListLookup!$G$3=Tbl_PDSAData[[#This Row],[D1]:[M24]]))-4)),"")</f>
        <v/>
      </c>
      <c r="BB16" s="145" t="str">
        <f>IFERROR(INDEX($E$4:$AZ$4,SUMPRODUCT(MAX(COLUMN(Tbl_PDSAData[[#This Row],[D1]:[M24]])*(ListLookup!$H$3=Tbl_PDSAData[[#This Row],[D1]:[M24]]))-4)),"")</f>
        <v/>
      </c>
    </row>
    <row r="17" spans="1:54" s="136" customFormat="1" x14ac:dyDescent="0.25">
      <c r="A17" s="181"/>
      <c r="B17" s="134" t="str">
        <f>IFERROR(INDEX(Tbl_ResidentData[Physician],MATCH(Tbl_PDSAData[[#This Row],[Resident Name (last, first)]],Tbl_ResidentData[Resident Name '[last, first']],0))&amp;"","")</f>
        <v/>
      </c>
      <c r="C17" s="135" t="str">
        <f>IFERROR(INDEX(Tbl_ResidentData[Diagnosis (RAI)],MATCH(Tbl_PDSAData[[#This Row],[Resident Name (last, first)]],Tbl_ResidentData[Resident Name '[last, first']],0))&amp;"","")</f>
        <v/>
      </c>
      <c r="D17" s="144" t="str">
        <f>IFERROR(INDEX(Tbl_ResidentData[Clinical Notes
'[free text']],MATCH(Tbl_PDSAData[[#This Row],[Resident Name (last, first)]],Tbl_ResidentData[Resident Name '[last, first']],0))&amp;"","")</f>
        <v/>
      </c>
      <c r="E17" s="190"/>
      <c r="F17" s="191"/>
      <c r="G17" s="190"/>
      <c r="H17" s="191"/>
      <c r="I17" s="190"/>
      <c r="J17" s="191"/>
      <c r="K17" s="190"/>
      <c r="L17" s="191"/>
      <c r="M17" s="190"/>
      <c r="N17" s="191"/>
      <c r="O17" s="190"/>
      <c r="P17" s="191"/>
      <c r="Q17" s="190"/>
      <c r="R17" s="191"/>
      <c r="S17" s="190"/>
      <c r="T17" s="191"/>
      <c r="U17" s="190"/>
      <c r="V17" s="191"/>
      <c r="W17" s="190"/>
      <c r="X17" s="191"/>
      <c r="Y17" s="190"/>
      <c r="Z17" s="191"/>
      <c r="AA17" s="190"/>
      <c r="AB17" s="191"/>
      <c r="AC17" s="190"/>
      <c r="AD17" s="191"/>
      <c r="AE17" s="190"/>
      <c r="AF17" s="191"/>
      <c r="AG17" s="190"/>
      <c r="AH17" s="191"/>
      <c r="AI17" s="190"/>
      <c r="AJ17" s="191"/>
      <c r="AK17" s="190"/>
      <c r="AL17" s="191"/>
      <c r="AM17" s="190"/>
      <c r="AN17" s="191"/>
      <c r="AO17" s="190"/>
      <c r="AP17" s="191"/>
      <c r="AQ17" s="190"/>
      <c r="AR17" s="191"/>
      <c r="AS17" s="190"/>
      <c r="AT17" s="191"/>
      <c r="AU17" s="190"/>
      <c r="AV17" s="191"/>
      <c r="AW17" s="190"/>
      <c r="AX17" s="191"/>
      <c r="AY17" s="190"/>
      <c r="AZ17" s="191"/>
      <c r="BA17" s="145" t="str">
        <f>IFERROR(INDEX($E$4:$AZ$4,SUMPRODUCT(MAX(COLUMN(Tbl_PDSAData[[#This Row],[D1]:[M24]])*(ListLookup!$G$3=Tbl_PDSAData[[#This Row],[D1]:[M24]]))-4)),"")</f>
        <v/>
      </c>
      <c r="BB17" s="145" t="str">
        <f>IFERROR(INDEX($E$4:$AZ$4,SUMPRODUCT(MAX(COLUMN(Tbl_PDSAData[[#This Row],[D1]:[M24]])*(ListLookup!$H$3=Tbl_PDSAData[[#This Row],[D1]:[M24]]))-4)),"")</f>
        <v/>
      </c>
    </row>
    <row r="18" spans="1:54" s="136" customFormat="1" x14ac:dyDescent="0.25">
      <c r="A18" s="181"/>
      <c r="B18" s="134" t="str">
        <f>IFERROR(INDEX(Tbl_ResidentData[Physician],MATCH(Tbl_PDSAData[[#This Row],[Resident Name (last, first)]],Tbl_ResidentData[Resident Name '[last, first']],0))&amp;"","")</f>
        <v/>
      </c>
      <c r="C18" s="135" t="str">
        <f>IFERROR(INDEX(Tbl_ResidentData[Diagnosis (RAI)],MATCH(Tbl_PDSAData[[#This Row],[Resident Name (last, first)]],Tbl_ResidentData[Resident Name '[last, first']],0))&amp;"","")</f>
        <v/>
      </c>
      <c r="D18" s="144" t="str">
        <f>IFERROR(INDEX(Tbl_ResidentData[Clinical Notes
'[free text']],MATCH(Tbl_PDSAData[[#This Row],[Resident Name (last, first)]],Tbl_ResidentData[Resident Name '[last, first']],0))&amp;"","")</f>
        <v/>
      </c>
      <c r="E18" s="190"/>
      <c r="F18" s="191"/>
      <c r="G18" s="190"/>
      <c r="H18" s="191"/>
      <c r="I18" s="190"/>
      <c r="J18" s="191"/>
      <c r="K18" s="190"/>
      <c r="L18" s="191"/>
      <c r="M18" s="190"/>
      <c r="N18" s="191"/>
      <c r="O18" s="190"/>
      <c r="P18" s="191"/>
      <c r="Q18" s="190"/>
      <c r="R18" s="191"/>
      <c r="S18" s="190"/>
      <c r="T18" s="191"/>
      <c r="U18" s="190"/>
      <c r="V18" s="191"/>
      <c r="W18" s="190"/>
      <c r="X18" s="191"/>
      <c r="Y18" s="190"/>
      <c r="Z18" s="191"/>
      <c r="AA18" s="190"/>
      <c r="AB18" s="191"/>
      <c r="AC18" s="190"/>
      <c r="AD18" s="191"/>
      <c r="AE18" s="190"/>
      <c r="AF18" s="191"/>
      <c r="AG18" s="190"/>
      <c r="AH18" s="191"/>
      <c r="AI18" s="190"/>
      <c r="AJ18" s="191"/>
      <c r="AK18" s="190"/>
      <c r="AL18" s="191"/>
      <c r="AM18" s="190"/>
      <c r="AN18" s="191"/>
      <c r="AO18" s="190"/>
      <c r="AP18" s="191"/>
      <c r="AQ18" s="190"/>
      <c r="AR18" s="191"/>
      <c r="AS18" s="190"/>
      <c r="AT18" s="191"/>
      <c r="AU18" s="190"/>
      <c r="AV18" s="191"/>
      <c r="AW18" s="190"/>
      <c r="AX18" s="191"/>
      <c r="AY18" s="190"/>
      <c r="AZ18" s="191"/>
      <c r="BA18" s="145" t="str">
        <f>IFERROR(INDEX($E$4:$AZ$4,SUMPRODUCT(MAX(COLUMN(Tbl_PDSAData[[#This Row],[D1]:[M24]])*(ListLookup!$G$3=Tbl_PDSAData[[#This Row],[D1]:[M24]]))-4)),"")</f>
        <v/>
      </c>
      <c r="BB18" s="145" t="str">
        <f>IFERROR(INDEX($E$4:$AZ$4,SUMPRODUCT(MAX(COLUMN(Tbl_PDSAData[[#This Row],[D1]:[M24]])*(ListLookup!$H$3=Tbl_PDSAData[[#This Row],[D1]:[M24]]))-4)),"")</f>
        <v/>
      </c>
    </row>
    <row r="19" spans="1:54" s="136" customFormat="1" x14ac:dyDescent="0.25">
      <c r="A19" s="181"/>
      <c r="B19" s="134" t="str">
        <f>IFERROR(INDEX(Tbl_ResidentData[Physician],MATCH(Tbl_PDSAData[[#This Row],[Resident Name (last, first)]],Tbl_ResidentData[Resident Name '[last, first']],0))&amp;"","")</f>
        <v/>
      </c>
      <c r="C19" s="135" t="str">
        <f>IFERROR(INDEX(Tbl_ResidentData[Diagnosis (RAI)],MATCH(Tbl_PDSAData[[#This Row],[Resident Name (last, first)]],Tbl_ResidentData[Resident Name '[last, first']],0))&amp;"","")</f>
        <v/>
      </c>
      <c r="D19" s="144" t="str">
        <f>IFERROR(INDEX(Tbl_ResidentData[Clinical Notes
'[free text']],MATCH(Tbl_PDSAData[[#This Row],[Resident Name (last, first)]],Tbl_ResidentData[Resident Name '[last, first']],0))&amp;"","")</f>
        <v/>
      </c>
      <c r="E19" s="190"/>
      <c r="F19" s="191"/>
      <c r="G19" s="190"/>
      <c r="H19" s="191"/>
      <c r="I19" s="190"/>
      <c r="J19" s="191"/>
      <c r="K19" s="190"/>
      <c r="L19" s="191"/>
      <c r="M19" s="190"/>
      <c r="N19" s="191"/>
      <c r="O19" s="190"/>
      <c r="P19" s="191"/>
      <c r="Q19" s="190"/>
      <c r="R19" s="191"/>
      <c r="S19" s="190"/>
      <c r="T19" s="191"/>
      <c r="U19" s="190"/>
      <c r="V19" s="191"/>
      <c r="W19" s="190"/>
      <c r="X19" s="191"/>
      <c r="Y19" s="190"/>
      <c r="Z19" s="191"/>
      <c r="AA19" s="190"/>
      <c r="AB19" s="191"/>
      <c r="AC19" s="190"/>
      <c r="AD19" s="191"/>
      <c r="AE19" s="190"/>
      <c r="AF19" s="191"/>
      <c r="AG19" s="190"/>
      <c r="AH19" s="191"/>
      <c r="AI19" s="190"/>
      <c r="AJ19" s="191"/>
      <c r="AK19" s="190"/>
      <c r="AL19" s="191"/>
      <c r="AM19" s="190"/>
      <c r="AN19" s="191"/>
      <c r="AO19" s="190"/>
      <c r="AP19" s="191"/>
      <c r="AQ19" s="190"/>
      <c r="AR19" s="191"/>
      <c r="AS19" s="190"/>
      <c r="AT19" s="191"/>
      <c r="AU19" s="190"/>
      <c r="AV19" s="191"/>
      <c r="AW19" s="190"/>
      <c r="AX19" s="191"/>
      <c r="AY19" s="190"/>
      <c r="AZ19" s="191"/>
      <c r="BA19" s="145" t="str">
        <f>IFERROR(INDEX($E$4:$AZ$4,SUMPRODUCT(MAX(COLUMN(Tbl_PDSAData[[#This Row],[D1]:[M24]])*(ListLookup!$G$3=Tbl_PDSAData[[#This Row],[D1]:[M24]]))-4)),"")</f>
        <v/>
      </c>
      <c r="BB19" s="145" t="str">
        <f>IFERROR(INDEX($E$4:$AZ$4,SUMPRODUCT(MAX(COLUMN(Tbl_PDSAData[[#This Row],[D1]:[M24]])*(ListLookup!$H$3=Tbl_PDSAData[[#This Row],[D1]:[M24]]))-4)),"")</f>
        <v/>
      </c>
    </row>
    <row r="20" spans="1:54" s="136" customFormat="1" x14ac:dyDescent="0.25">
      <c r="A20" s="181"/>
      <c r="B20" s="134" t="str">
        <f>IFERROR(INDEX(Tbl_ResidentData[Physician],MATCH(Tbl_PDSAData[[#This Row],[Resident Name (last, first)]],Tbl_ResidentData[Resident Name '[last, first']],0))&amp;"","")</f>
        <v/>
      </c>
      <c r="C20" s="135" t="str">
        <f>IFERROR(INDEX(Tbl_ResidentData[Diagnosis (RAI)],MATCH(Tbl_PDSAData[[#This Row],[Resident Name (last, first)]],Tbl_ResidentData[Resident Name '[last, first']],0))&amp;"","")</f>
        <v/>
      </c>
      <c r="D20" s="144" t="str">
        <f>IFERROR(INDEX(Tbl_ResidentData[Clinical Notes
'[free text']],MATCH(Tbl_PDSAData[[#This Row],[Resident Name (last, first)]],Tbl_ResidentData[Resident Name '[last, first']],0))&amp;"","")</f>
        <v/>
      </c>
      <c r="E20" s="190"/>
      <c r="F20" s="191"/>
      <c r="G20" s="190"/>
      <c r="H20" s="191"/>
      <c r="I20" s="190"/>
      <c r="J20" s="191"/>
      <c r="K20" s="190"/>
      <c r="L20" s="191"/>
      <c r="M20" s="190"/>
      <c r="N20" s="191"/>
      <c r="O20" s="190"/>
      <c r="P20" s="191"/>
      <c r="Q20" s="190"/>
      <c r="R20" s="191"/>
      <c r="S20" s="190"/>
      <c r="T20" s="191"/>
      <c r="U20" s="190"/>
      <c r="V20" s="191"/>
      <c r="W20" s="190"/>
      <c r="X20" s="191"/>
      <c r="Y20" s="190"/>
      <c r="Z20" s="191"/>
      <c r="AA20" s="190"/>
      <c r="AB20" s="191"/>
      <c r="AC20" s="190"/>
      <c r="AD20" s="191"/>
      <c r="AE20" s="190"/>
      <c r="AF20" s="191"/>
      <c r="AG20" s="190"/>
      <c r="AH20" s="191"/>
      <c r="AI20" s="190"/>
      <c r="AJ20" s="191"/>
      <c r="AK20" s="190"/>
      <c r="AL20" s="191"/>
      <c r="AM20" s="190"/>
      <c r="AN20" s="191"/>
      <c r="AO20" s="190"/>
      <c r="AP20" s="191"/>
      <c r="AQ20" s="190"/>
      <c r="AR20" s="191"/>
      <c r="AS20" s="190"/>
      <c r="AT20" s="191"/>
      <c r="AU20" s="190"/>
      <c r="AV20" s="191"/>
      <c r="AW20" s="190"/>
      <c r="AX20" s="191"/>
      <c r="AY20" s="190"/>
      <c r="AZ20" s="191"/>
      <c r="BA20" s="145" t="str">
        <f>IFERROR(INDEX($E$4:$AZ$4,SUMPRODUCT(MAX(COLUMN(Tbl_PDSAData[[#This Row],[D1]:[M24]])*(ListLookup!$G$3=Tbl_PDSAData[[#This Row],[D1]:[M24]]))-4)),"")</f>
        <v/>
      </c>
      <c r="BB20" s="145" t="str">
        <f>IFERROR(INDEX($E$4:$AZ$4,SUMPRODUCT(MAX(COLUMN(Tbl_PDSAData[[#This Row],[D1]:[M24]])*(ListLookup!$H$3=Tbl_PDSAData[[#This Row],[D1]:[M24]]))-4)),"")</f>
        <v/>
      </c>
    </row>
    <row r="21" spans="1:54" s="136" customFormat="1" x14ac:dyDescent="0.25">
      <c r="A21" s="181"/>
      <c r="B21" s="134" t="str">
        <f>IFERROR(INDEX(Tbl_ResidentData[Physician],MATCH(Tbl_PDSAData[[#This Row],[Resident Name (last, first)]],Tbl_ResidentData[Resident Name '[last, first']],0))&amp;"","")</f>
        <v/>
      </c>
      <c r="C21" s="135" t="str">
        <f>IFERROR(INDEX(Tbl_ResidentData[Diagnosis (RAI)],MATCH(Tbl_PDSAData[[#This Row],[Resident Name (last, first)]],Tbl_ResidentData[Resident Name '[last, first']],0))&amp;"","")</f>
        <v/>
      </c>
      <c r="D21" s="144" t="str">
        <f>IFERROR(INDEX(Tbl_ResidentData[Clinical Notes
'[free text']],MATCH(Tbl_PDSAData[[#This Row],[Resident Name (last, first)]],Tbl_ResidentData[Resident Name '[last, first']],0))&amp;"","")</f>
        <v/>
      </c>
      <c r="E21" s="190"/>
      <c r="F21" s="191"/>
      <c r="G21" s="190"/>
      <c r="H21" s="191"/>
      <c r="I21" s="190"/>
      <c r="J21" s="191"/>
      <c r="K21" s="190"/>
      <c r="L21" s="191"/>
      <c r="M21" s="190"/>
      <c r="N21" s="191"/>
      <c r="O21" s="190"/>
      <c r="P21" s="191"/>
      <c r="Q21" s="190"/>
      <c r="R21" s="191"/>
      <c r="S21" s="190"/>
      <c r="T21" s="191"/>
      <c r="U21" s="190"/>
      <c r="V21" s="191"/>
      <c r="W21" s="190"/>
      <c r="X21" s="191"/>
      <c r="Y21" s="190"/>
      <c r="Z21" s="191"/>
      <c r="AA21" s="190"/>
      <c r="AB21" s="191"/>
      <c r="AC21" s="190"/>
      <c r="AD21" s="191"/>
      <c r="AE21" s="190"/>
      <c r="AF21" s="191"/>
      <c r="AG21" s="190"/>
      <c r="AH21" s="191"/>
      <c r="AI21" s="190"/>
      <c r="AJ21" s="191"/>
      <c r="AK21" s="190"/>
      <c r="AL21" s="191"/>
      <c r="AM21" s="190"/>
      <c r="AN21" s="191"/>
      <c r="AO21" s="190"/>
      <c r="AP21" s="191"/>
      <c r="AQ21" s="190"/>
      <c r="AR21" s="191"/>
      <c r="AS21" s="190"/>
      <c r="AT21" s="191"/>
      <c r="AU21" s="190"/>
      <c r="AV21" s="191"/>
      <c r="AW21" s="190"/>
      <c r="AX21" s="191"/>
      <c r="AY21" s="190"/>
      <c r="AZ21" s="191"/>
      <c r="BA21" s="145" t="str">
        <f>IFERROR(INDEX($E$4:$AZ$4,SUMPRODUCT(MAX(COLUMN(Tbl_PDSAData[[#This Row],[D1]:[M24]])*(ListLookup!$G$3=Tbl_PDSAData[[#This Row],[D1]:[M24]]))-4)),"")</f>
        <v/>
      </c>
      <c r="BB21" s="145" t="str">
        <f>IFERROR(INDEX($E$4:$AZ$4,SUMPRODUCT(MAX(COLUMN(Tbl_PDSAData[[#This Row],[D1]:[M24]])*(ListLookup!$H$3=Tbl_PDSAData[[#This Row],[D1]:[M24]]))-4)),"")</f>
        <v/>
      </c>
    </row>
    <row r="22" spans="1:54" s="136" customFormat="1" x14ac:dyDescent="0.25">
      <c r="A22" s="181"/>
      <c r="B22" s="134" t="str">
        <f>IFERROR(INDEX(Tbl_ResidentData[Physician],MATCH(Tbl_PDSAData[[#This Row],[Resident Name (last, first)]],Tbl_ResidentData[Resident Name '[last, first']],0))&amp;"","")</f>
        <v/>
      </c>
      <c r="C22" s="135" t="str">
        <f>IFERROR(INDEX(Tbl_ResidentData[Diagnosis (RAI)],MATCH(Tbl_PDSAData[[#This Row],[Resident Name (last, first)]],Tbl_ResidentData[Resident Name '[last, first']],0))&amp;"","")</f>
        <v/>
      </c>
      <c r="D22" s="144" t="str">
        <f>IFERROR(INDEX(Tbl_ResidentData[Clinical Notes
'[free text']],MATCH(Tbl_PDSAData[[#This Row],[Resident Name (last, first)]],Tbl_ResidentData[Resident Name '[last, first']],0))&amp;"","")</f>
        <v/>
      </c>
      <c r="E22" s="190"/>
      <c r="F22" s="191"/>
      <c r="G22" s="190"/>
      <c r="H22" s="191"/>
      <c r="I22" s="190"/>
      <c r="J22" s="191"/>
      <c r="K22" s="190"/>
      <c r="L22" s="191"/>
      <c r="M22" s="190"/>
      <c r="N22" s="191"/>
      <c r="O22" s="190"/>
      <c r="P22" s="191"/>
      <c r="Q22" s="190"/>
      <c r="R22" s="191"/>
      <c r="S22" s="190"/>
      <c r="T22" s="191"/>
      <c r="U22" s="190"/>
      <c r="V22" s="191"/>
      <c r="W22" s="190"/>
      <c r="X22" s="191"/>
      <c r="Y22" s="190"/>
      <c r="Z22" s="191"/>
      <c r="AA22" s="190"/>
      <c r="AB22" s="191"/>
      <c r="AC22" s="190"/>
      <c r="AD22" s="191"/>
      <c r="AE22" s="190"/>
      <c r="AF22" s="191"/>
      <c r="AG22" s="190"/>
      <c r="AH22" s="191"/>
      <c r="AI22" s="190"/>
      <c r="AJ22" s="191"/>
      <c r="AK22" s="190"/>
      <c r="AL22" s="191"/>
      <c r="AM22" s="190"/>
      <c r="AN22" s="191"/>
      <c r="AO22" s="190"/>
      <c r="AP22" s="191"/>
      <c r="AQ22" s="190"/>
      <c r="AR22" s="191"/>
      <c r="AS22" s="190"/>
      <c r="AT22" s="191"/>
      <c r="AU22" s="190"/>
      <c r="AV22" s="191"/>
      <c r="AW22" s="190"/>
      <c r="AX22" s="191"/>
      <c r="AY22" s="190"/>
      <c r="AZ22" s="191"/>
      <c r="BA22" s="145" t="str">
        <f>IFERROR(INDEX($E$4:$AZ$4,SUMPRODUCT(MAX(COLUMN(Tbl_PDSAData[[#This Row],[D1]:[M24]])*(ListLookup!$G$3=Tbl_PDSAData[[#This Row],[D1]:[M24]]))-4)),"")</f>
        <v/>
      </c>
      <c r="BB22" s="145" t="str">
        <f>IFERROR(INDEX($E$4:$AZ$4,SUMPRODUCT(MAX(COLUMN(Tbl_PDSAData[[#This Row],[D1]:[M24]])*(ListLookup!$H$3=Tbl_PDSAData[[#This Row],[D1]:[M24]]))-4)),"")</f>
        <v/>
      </c>
    </row>
    <row r="23" spans="1:54" s="136" customFormat="1" x14ac:dyDescent="0.25">
      <c r="A23" s="181"/>
      <c r="B23" s="134" t="str">
        <f>IFERROR(INDEX(Tbl_ResidentData[Physician],MATCH(Tbl_PDSAData[[#This Row],[Resident Name (last, first)]],Tbl_ResidentData[Resident Name '[last, first']],0))&amp;"","")</f>
        <v/>
      </c>
      <c r="C23" s="135" t="str">
        <f>IFERROR(INDEX(Tbl_ResidentData[Diagnosis (RAI)],MATCH(Tbl_PDSAData[[#This Row],[Resident Name (last, first)]],Tbl_ResidentData[Resident Name '[last, first']],0))&amp;"","")</f>
        <v/>
      </c>
      <c r="D23" s="144" t="str">
        <f>IFERROR(INDEX(Tbl_ResidentData[Clinical Notes
'[free text']],MATCH(Tbl_PDSAData[[#This Row],[Resident Name (last, first)]],Tbl_ResidentData[Resident Name '[last, first']],0))&amp;"","")</f>
        <v/>
      </c>
      <c r="E23" s="190"/>
      <c r="F23" s="191"/>
      <c r="G23" s="190"/>
      <c r="H23" s="191"/>
      <c r="I23" s="190"/>
      <c r="J23" s="191"/>
      <c r="K23" s="190"/>
      <c r="L23" s="191"/>
      <c r="M23" s="190"/>
      <c r="N23" s="191"/>
      <c r="O23" s="190"/>
      <c r="P23" s="191"/>
      <c r="Q23" s="190"/>
      <c r="R23" s="191"/>
      <c r="S23" s="190"/>
      <c r="T23" s="191"/>
      <c r="U23" s="190"/>
      <c r="V23" s="191"/>
      <c r="W23" s="190"/>
      <c r="X23" s="191"/>
      <c r="Y23" s="190"/>
      <c r="Z23" s="191"/>
      <c r="AA23" s="190"/>
      <c r="AB23" s="191"/>
      <c r="AC23" s="190"/>
      <c r="AD23" s="191"/>
      <c r="AE23" s="190"/>
      <c r="AF23" s="191"/>
      <c r="AG23" s="190"/>
      <c r="AH23" s="191"/>
      <c r="AI23" s="190"/>
      <c r="AJ23" s="191"/>
      <c r="AK23" s="190"/>
      <c r="AL23" s="191"/>
      <c r="AM23" s="190"/>
      <c r="AN23" s="191"/>
      <c r="AO23" s="190"/>
      <c r="AP23" s="191"/>
      <c r="AQ23" s="190"/>
      <c r="AR23" s="191"/>
      <c r="AS23" s="190"/>
      <c r="AT23" s="191"/>
      <c r="AU23" s="190"/>
      <c r="AV23" s="191"/>
      <c r="AW23" s="190"/>
      <c r="AX23" s="191"/>
      <c r="AY23" s="190"/>
      <c r="AZ23" s="191"/>
      <c r="BA23" s="145" t="str">
        <f>IFERROR(INDEX($E$4:$AZ$4,SUMPRODUCT(MAX(COLUMN(Tbl_PDSAData[[#This Row],[D1]:[M24]])*(ListLookup!$G$3=Tbl_PDSAData[[#This Row],[D1]:[M24]]))-4)),"")</f>
        <v/>
      </c>
      <c r="BB23" s="145" t="str">
        <f>IFERROR(INDEX($E$4:$AZ$4,SUMPRODUCT(MAX(COLUMN(Tbl_PDSAData[[#This Row],[D1]:[M24]])*(ListLookup!$H$3=Tbl_PDSAData[[#This Row],[D1]:[M24]]))-4)),"")</f>
        <v/>
      </c>
    </row>
    <row r="24" spans="1:54" s="136" customFormat="1" x14ac:dyDescent="0.25">
      <c r="A24" s="181"/>
      <c r="B24" s="134" t="str">
        <f>IFERROR(INDEX(Tbl_ResidentData[Physician],MATCH(Tbl_PDSAData[[#This Row],[Resident Name (last, first)]],Tbl_ResidentData[Resident Name '[last, first']],0))&amp;"","")</f>
        <v/>
      </c>
      <c r="C24" s="135" t="str">
        <f>IFERROR(INDEX(Tbl_ResidentData[Diagnosis (RAI)],MATCH(Tbl_PDSAData[[#This Row],[Resident Name (last, first)]],Tbl_ResidentData[Resident Name '[last, first']],0))&amp;"","")</f>
        <v/>
      </c>
      <c r="D24" s="144" t="str">
        <f>IFERROR(INDEX(Tbl_ResidentData[Clinical Notes
'[free text']],MATCH(Tbl_PDSAData[[#This Row],[Resident Name (last, first)]],Tbl_ResidentData[Resident Name '[last, first']],0))&amp;"","")</f>
        <v/>
      </c>
      <c r="E24" s="190"/>
      <c r="F24" s="191"/>
      <c r="G24" s="190"/>
      <c r="H24" s="191"/>
      <c r="I24" s="190"/>
      <c r="J24" s="191"/>
      <c r="K24" s="190"/>
      <c r="L24" s="191"/>
      <c r="M24" s="190"/>
      <c r="N24" s="191"/>
      <c r="O24" s="190"/>
      <c r="P24" s="191"/>
      <c r="Q24" s="190"/>
      <c r="R24" s="191"/>
      <c r="S24" s="190"/>
      <c r="T24" s="191"/>
      <c r="U24" s="190"/>
      <c r="V24" s="191"/>
      <c r="W24" s="190"/>
      <c r="X24" s="191"/>
      <c r="Y24" s="190"/>
      <c r="Z24" s="191"/>
      <c r="AA24" s="190"/>
      <c r="AB24" s="191"/>
      <c r="AC24" s="190"/>
      <c r="AD24" s="191"/>
      <c r="AE24" s="190"/>
      <c r="AF24" s="191"/>
      <c r="AG24" s="190"/>
      <c r="AH24" s="191"/>
      <c r="AI24" s="190"/>
      <c r="AJ24" s="191"/>
      <c r="AK24" s="190"/>
      <c r="AL24" s="191"/>
      <c r="AM24" s="190"/>
      <c r="AN24" s="191"/>
      <c r="AO24" s="190"/>
      <c r="AP24" s="191"/>
      <c r="AQ24" s="190"/>
      <c r="AR24" s="191"/>
      <c r="AS24" s="190"/>
      <c r="AT24" s="191"/>
      <c r="AU24" s="190"/>
      <c r="AV24" s="191"/>
      <c r="AW24" s="190"/>
      <c r="AX24" s="191"/>
      <c r="AY24" s="190"/>
      <c r="AZ24" s="191"/>
      <c r="BA24" s="145" t="str">
        <f>IFERROR(INDEX($E$4:$AZ$4,SUMPRODUCT(MAX(COLUMN(Tbl_PDSAData[[#This Row],[D1]:[M24]])*(ListLookup!$G$3=Tbl_PDSAData[[#This Row],[D1]:[M24]]))-4)),"")</f>
        <v/>
      </c>
      <c r="BB24" s="145" t="str">
        <f>IFERROR(INDEX($E$4:$AZ$4,SUMPRODUCT(MAX(COLUMN(Tbl_PDSAData[[#This Row],[D1]:[M24]])*(ListLookup!$H$3=Tbl_PDSAData[[#This Row],[D1]:[M24]]))-4)),"")</f>
        <v/>
      </c>
    </row>
    <row r="25" spans="1:54" s="136" customFormat="1" x14ac:dyDescent="0.25">
      <c r="A25" s="181"/>
      <c r="B25" s="134" t="str">
        <f>IFERROR(INDEX(Tbl_ResidentData[Physician],MATCH(Tbl_PDSAData[[#This Row],[Resident Name (last, first)]],Tbl_ResidentData[Resident Name '[last, first']],0))&amp;"","")</f>
        <v/>
      </c>
      <c r="C25" s="135" t="str">
        <f>IFERROR(INDEX(Tbl_ResidentData[Diagnosis (RAI)],MATCH(Tbl_PDSAData[[#This Row],[Resident Name (last, first)]],Tbl_ResidentData[Resident Name '[last, first']],0))&amp;"","")</f>
        <v/>
      </c>
      <c r="D25" s="144" t="str">
        <f>IFERROR(INDEX(Tbl_ResidentData[Clinical Notes
'[free text']],MATCH(Tbl_PDSAData[[#This Row],[Resident Name (last, first)]],Tbl_ResidentData[Resident Name '[last, first']],0))&amp;"","")</f>
        <v/>
      </c>
      <c r="E25" s="190"/>
      <c r="F25" s="191"/>
      <c r="G25" s="190"/>
      <c r="H25" s="191"/>
      <c r="I25" s="190"/>
      <c r="J25" s="191"/>
      <c r="K25" s="190"/>
      <c r="L25" s="191"/>
      <c r="M25" s="190"/>
      <c r="N25" s="191"/>
      <c r="O25" s="190"/>
      <c r="P25" s="191"/>
      <c r="Q25" s="190"/>
      <c r="R25" s="191"/>
      <c r="S25" s="190"/>
      <c r="T25" s="191"/>
      <c r="U25" s="190"/>
      <c r="V25" s="191"/>
      <c r="W25" s="190"/>
      <c r="X25" s="191"/>
      <c r="Y25" s="190"/>
      <c r="Z25" s="191"/>
      <c r="AA25" s="190"/>
      <c r="AB25" s="191"/>
      <c r="AC25" s="190"/>
      <c r="AD25" s="191"/>
      <c r="AE25" s="190"/>
      <c r="AF25" s="191"/>
      <c r="AG25" s="190"/>
      <c r="AH25" s="191"/>
      <c r="AI25" s="190"/>
      <c r="AJ25" s="191"/>
      <c r="AK25" s="190"/>
      <c r="AL25" s="191"/>
      <c r="AM25" s="190"/>
      <c r="AN25" s="191"/>
      <c r="AO25" s="190"/>
      <c r="AP25" s="191"/>
      <c r="AQ25" s="190"/>
      <c r="AR25" s="191"/>
      <c r="AS25" s="190"/>
      <c r="AT25" s="191"/>
      <c r="AU25" s="190"/>
      <c r="AV25" s="191"/>
      <c r="AW25" s="190"/>
      <c r="AX25" s="191"/>
      <c r="AY25" s="190"/>
      <c r="AZ25" s="191"/>
      <c r="BA25" s="145" t="str">
        <f>IFERROR(INDEX($E$4:$AZ$4,SUMPRODUCT(MAX(COLUMN(Tbl_PDSAData[[#This Row],[D1]:[M24]])*(ListLookup!$G$3=Tbl_PDSAData[[#This Row],[D1]:[M24]]))-4)),"")</f>
        <v/>
      </c>
      <c r="BB25" s="145" t="str">
        <f>IFERROR(INDEX($E$4:$AZ$4,SUMPRODUCT(MAX(COLUMN(Tbl_PDSAData[[#This Row],[D1]:[M24]])*(ListLookup!$H$3=Tbl_PDSAData[[#This Row],[D1]:[M24]]))-4)),"")</f>
        <v/>
      </c>
    </row>
    <row r="26" spans="1:54" s="136" customFormat="1" x14ac:dyDescent="0.25">
      <c r="A26" s="181"/>
      <c r="B26" s="134" t="str">
        <f>IFERROR(INDEX(Tbl_ResidentData[Physician],MATCH(Tbl_PDSAData[[#This Row],[Resident Name (last, first)]],Tbl_ResidentData[Resident Name '[last, first']],0))&amp;"","")</f>
        <v/>
      </c>
      <c r="C26" s="135" t="str">
        <f>IFERROR(INDEX(Tbl_ResidentData[Diagnosis (RAI)],MATCH(Tbl_PDSAData[[#This Row],[Resident Name (last, first)]],Tbl_ResidentData[Resident Name '[last, first']],0))&amp;"","")</f>
        <v/>
      </c>
      <c r="D26" s="144" t="str">
        <f>IFERROR(INDEX(Tbl_ResidentData[Clinical Notes
'[free text']],MATCH(Tbl_PDSAData[[#This Row],[Resident Name (last, first)]],Tbl_ResidentData[Resident Name '[last, first']],0))&amp;"","")</f>
        <v/>
      </c>
      <c r="E26" s="190"/>
      <c r="F26" s="191"/>
      <c r="G26" s="190"/>
      <c r="H26" s="191"/>
      <c r="I26" s="190"/>
      <c r="J26" s="191"/>
      <c r="K26" s="190"/>
      <c r="L26" s="191"/>
      <c r="M26" s="190"/>
      <c r="N26" s="191"/>
      <c r="O26" s="190"/>
      <c r="P26" s="191"/>
      <c r="Q26" s="190"/>
      <c r="R26" s="191"/>
      <c r="S26" s="190"/>
      <c r="T26" s="191"/>
      <c r="U26" s="190"/>
      <c r="V26" s="191"/>
      <c r="W26" s="190"/>
      <c r="X26" s="191"/>
      <c r="Y26" s="190"/>
      <c r="Z26" s="191"/>
      <c r="AA26" s="190"/>
      <c r="AB26" s="191"/>
      <c r="AC26" s="190"/>
      <c r="AD26" s="191"/>
      <c r="AE26" s="190"/>
      <c r="AF26" s="191"/>
      <c r="AG26" s="190"/>
      <c r="AH26" s="191"/>
      <c r="AI26" s="190"/>
      <c r="AJ26" s="191"/>
      <c r="AK26" s="190"/>
      <c r="AL26" s="191"/>
      <c r="AM26" s="190"/>
      <c r="AN26" s="191"/>
      <c r="AO26" s="190"/>
      <c r="AP26" s="191"/>
      <c r="AQ26" s="190"/>
      <c r="AR26" s="191"/>
      <c r="AS26" s="190"/>
      <c r="AT26" s="191"/>
      <c r="AU26" s="190"/>
      <c r="AV26" s="191"/>
      <c r="AW26" s="190"/>
      <c r="AX26" s="191"/>
      <c r="AY26" s="190"/>
      <c r="AZ26" s="191"/>
      <c r="BA26" s="145" t="str">
        <f>IFERROR(INDEX($E$4:$AZ$4,SUMPRODUCT(MAX(COLUMN(Tbl_PDSAData[[#This Row],[D1]:[M24]])*(ListLookup!$G$3=Tbl_PDSAData[[#This Row],[D1]:[M24]]))-4)),"")</f>
        <v/>
      </c>
      <c r="BB26" s="145" t="str">
        <f>IFERROR(INDEX($E$4:$AZ$4,SUMPRODUCT(MAX(COLUMN(Tbl_PDSAData[[#This Row],[D1]:[M24]])*(ListLookup!$H$3=Tbl_PDSAData[[#This Row],[D1]:[M24]]))-4)),"")</f>
        <v/>
      </c>
    </row>
    <row r="27" spans="1:54" s="136" customFormat="1" x14ac:dyDescent="0.25">
      <c r="A27" s="181"/>
      <c r="B27" s="134" t="str">
        <f>IFERROR(INDEX(Tbl_ResidentData[Physician],MATCH(Tbl_PDSAData[[#This Row],[Resident Name (last, first)]],Tbl_ResidentData[Resident Name '[last, first']],0))&amp;"","")</f>
        <v/>
      </c>
      <c r="C27" s="135" t="str">
        <f>IFERROR(INDEX(Tbl_ResidentData[Diagnosis (RAI)],MATCH(Tbl_PDSAData[[#This Row],[Resident Name (last, first)]],Tbl_ResidentData[Resident Name '[last, first']],0))&amp;"","")</f>
        <v/>
      </c>
      <c r="D27" s="144" t="str">
        <f>IFERROR(INDEX(Tbl_ResidentData[Clinical Notes
'[free text']],MATCH(Tbl_PDSAData[[#This Row],[Resident Name (last, first)]],Tbl_ResidentData[Resident Name '[last, first']],0))&amp;"","")</f>
        <v/>
      </c>
      <c r="E27" s="190"/>
      <c r="F27" s="191"/>
      <c r="G27" s="190"/>
      <c r="H27" s="191"/>
      <c r="I27" s="190"/>
      <c r="J27" s="191"/>
      <c r="K27" s="190"/>
      <c r="L27" s="191"/>
      <c r="M27" s="190"/>
      <c r="N27" s="191"/>
      <c r="O27" s="190"/>
      <c r="P27" s="191"/>
      <c r="Q27" s="190"/>
      <c r="R27" s="191"/>
      <c r="S27" s="190"/>
      <c r="T27" s="191"/>
      <c r="U27" s="190"/>
      <c r="V27" s="191"/>
      <c r="W27" s="190"/>
      <c r="X27" s="191"/>
      <c r="Y27" s="190"/>
      <c r="Z27" s="191"/>
      <c r="AA27" s="190"/>
      <c r="AB27" s="191"/>
      <c r="AC27" s="190"/>
      <c r="AD27" s="191"/>
      <c r="AE27" s="190"/>
      <c r="AF27" s="191"/>
      <c r="AG27" s="190"/>
      <c r="AH27" s="191"/>
      <c r="AI27" s="190"/>
      <c r="AJ27" s="191"/>
      <c r="AK27" s="190"/>
      <c r="AL27" s="191"/>
      <c r="AM27" s="190"/>
      <c r="AN27" s="191"/>
      <c r="AO27" s="190"/>
      <c r="AP27" s="191"/>
      <c r="AQ27" s="190"/>
      <c r="AR27" s="191"/>
      <c r="AS27" s="190"/>
      <c r="AT27" s="191"/>
      <c r="AU27" s="190"/>
      <c r="AV27" s="191"/>
      <c r="AW27" s="190"/>
      <c r="AX27" s="191"/>
      <c r="AY27" s="190"/>
      <c r="AZ27" s="191"/>
      <c r="BA27" s="145" t="str">
        <f>IFERROR(INDEX($E$4:$AZ$4,SUMPRODUCT(MAX(COLUMN(Tbl_PDSAData[[#This Row],[D1]:[M24]])*(ListLookup!$G$3=Tbl_PDSAData[[#This Row],[D1]:[M24]]))-4)),"")</f>
        <v/>
      </c>
      <c r="BB27" s="145" t="str">
        <f>IFERROR(INDEX($E$4:$AZ$4,SUMPRODUCT(MAX(COLUMN(Tbl_PDSAData[[#This Row],[D1]:[M24]])*(ListLookup!$H$3=Tbl_PDSAData[[#This Row],[D1]:[M24]]))-4)),"")</f>
        <v/>
      </c>
    </row>
    <row r="28" spans="1:54" s="136" customFormat="1" x14ac:dyDescent="0.25">
      <c r="A28" s="181"/>
      <c r="B28" s="134" t="str">
        <f>IFERROR(INDEX(Tbl_ResidentData[Physician],MATCH(Tbl_PDSAData[[#This Row],[Resident Name (last, first)]],Tbl_ResidentData[Resident Name '[last, first']],0))&amp;"","")</f>
        <v/>
      </c>
      <c r="C28" s="135" t="str">
        <f>IFERROR(INDEX(Tbl_ResidentData[Diagnosis (RAI)],MATCH(Tbl_PDSAData[[#This Row],[Resident Name (last, first)]],Tbl_ResidentData[Resident Name '[last, first']],0))&amp;"","")</f>
        <v/>
      </c>
      <c r="D28" s="144" t="str">
        <f>IFERROR(INDEX(Tbl_ResidentData[Clinical Notes
'[free text']],MATCH(Tbl_PDSAData[[#This Row],[Resident Name (last, first)]],Tbl_ResidentData[Resident Name '[last, first']],0))&amp;"","")</f>
        <v/>
      </c>
      <c r="E28" s="190"/>
      <c r="F28" s="191"/>
      <c r="G28" s="190"/>
      <c r="H28" s="191"/>
      <c r="I28" s="190"/>
      <c r="J28" s="191"/>
      <c r="K28" s="190"/>
      <c r="L28" s="191"/>
      <c r="M28" s="190"/>
      <c r="N28" s="191"/>
      <c r="O28" s="190"/>
      <c r="P28" s="191"/>
      <c r="Q28" s="190"/>
      <c r="R28" s="191"/>
      <c r="S28" s="190"/>
      <c r="T28" s="191"/>
      <c r="U28" s="190"/>
      <c r="V28" s="191"/>
      <c r="W28" s="190"/>
      <c r="X28" s="191"/>
      <c r="Y28" s="190"/>
      <c r="Z28" s="191"/>
      <c r="AA28" s="190"/>
      <c r="AB28" s="191"/>
      <c r="AC28" s="190"/>
      <c r="AD28" s="191"/>
      <c r="AE28" s="190"/>
      <c r="AF28" s="191"/>
      <c r="AG28" s="190"/>
      <c r="AH28" s="191"/>
      <c r="AI28" s="190"/>
      <c r="AJ28" s="191"/>
      <c r="AK28" s="190"/>
      <c r="AL28" s="191"/>
      <c r="AM28" s="190"/>
      <c r="AN28" s="191"/>
      <c r="AO28" s="190"/>
      <c r="AP28" s="191"/>
      <c r="AQ28" s="190"/>
      <c r="AR28" s="191"/>
      <c r="AS28" s="190"/>
      <c r="AT28" s="191"/>
      <c r="AU28" s="190"/>
      <c r="AV28" s="191"/>
      <c r="AW28" s="190"/>
      <c r="AX28" s="191"/>
      <c r="AY28" s="190"/>
      <c r="AZ28" s="191"/>
      <c r="BA28" s="145" t="str">
        <f>IFERROR(INDEX($E$4:$AZ$4,SUMPRODUCT(MAX(COLUMN(Tbl_PDSAData[[#This Row],[D1]:[M24]])*(ListLookup!$G$3=Tbl_PDSAData[[#This Row],[D1]:[M24]]))-4)),"")</f>
        <v/>
      </c>
      <c r="BB28" s="145" t="str">
        <f>IFERROR(INDEX($E$4:$AZ$4,SUMPRODUCT(MAX(COLUMN(Tbl_PDSAData[[#This Row],[D1]:[M24]])*(ListLookup!$H$3=Tbl_PDSAData[[#This Row],[D1]:[M24]]))-4)),"")</f>
        <v/>
      </c>
    </row>
    <row r="29" spans="1:54" s="136" customFormat="1" x14ac:dyDescent="0.25">
      <c r="A29" s="181"/>
      <c r="B29" s="134" t="str">
        <f>IFERROR(INDEX(Tbl_ResidentData[Physician],MATCH(Tbl_PDSAData[[#This Row],[Resident Name (last, first)]],Tbl_ResidentData[Resident Name '[last, first']],0))&amp;"","")</f>
        <v/>
      </c>
      <c r="C29" s="135" t="str">
        <f>IFERROR(INDEX(Tbl_ResidentData[Diagnosis (RAI)],MATCH(Tbl_PDSAData[[#This Row],[Resident Name (last, first)]],Tbl_ResidentData[Resident Name '[last, first']],0))&amp;"","")</f>
        <v/>
      </c>
      <c r="D29" s="144" t="str">
        <f>IFERROR(INDEX(Tbl_ResidentData[Clinical Notes
'[free text']],MATCH(Tbl_PDSAData[[#This Row],[Resident Name (last, first)]],Tbl_ResidentData[Resident Name '[last, first']],0))&amp;"","")</f>
        <v/>
      </c>
      <c r="E29" s="190"/>
      <c r="F29" s="191"/>
      <c r="G29" s="190"/>
      <c r="H29" s="191"/>
      <c r="I29" s="190"/>
      <c r="J29" s="191"/>
      <c r="K29" s="190"/>
      <c r="L29" s="191"/>
      <c r="M29" s="190"/>
      <c r="N29" s="191"/>
      <c r="O29" s="190"/>
      <c r="P29" s="191"/>
      <c r="Q29" s="190"/>
      <c r="R29" s="191"/>
      <c r="S29" s="190"/>
      <c r="T29" s="191"/>
      <c r="U29" s="190"/>
      <c r="V29" s="191"/>
      <c r="W29" s="190"/>
      <c r="X29" s="191"/>
      <c r="Y29" s="190"/>
      <c r="Z29" s="191"/>
      <c r="AA29" s="190"/>
      <c r="AB29" s="191"/>
      <c r="AC29" s="190"/>
      <c r="AD29" s="191"/>
      <c r="AE29" s="190"/>
      <c r="AF29" s="191"/>
      <c r="AG29" s="190"/>
      <c r="AH29" s="191"/>
      <c r="AI29" s="190"/>
      <c r="AJ29" s="191"/>
      <c r="AK29" s="190"/>
      <c r="AL29" s="191"/>
      <c r="AM29" s="190"/>
      <c r="AN29" s="191"/>
      <c r="AO29" s="190"/>
      <c r="AP29" s="191"/>
      <c r="AQ29" s="190"/>
      <c r="AR29" s="191"/>
      <c r="AS29" s="190"/>
      <c r="AT29" s="191"/>
      <c r="AU29" s="190"/>
      <c r="AV29" s="191"/>
      <c r="AW29" s="190"/>
      <c r="AX29" s="191"/>
      <c r="AY29" s="190"/>
      <c r="AZ29" s="191"/>
      <c r="BA29" s="145" t="str">
        <f>IFERROR(INDEX($E$4:$AZ$4,SUMPRODUCT(MAX(COLUMN(Tbl_PDSAData[[#This Row],[D1]:[M24]])*(ListLookup!$G$3=Tbl_PDSAData[[#This Row],[D1]:[M24]]))-4)),"")</f>
        <v/>
      </c>
      <c r="BB29" s="145" t="str">
        <f>IFERROR(INDEX($E$4:$AZ$4,SUMPRODUCT(MAX(COLUMN(Tbl_PDSAData[[#This Row],[D1]:[M24]])*(ListLookup!$H$3=Tbl_PDSAData[[#This Row],[D1]:[M24]]))-4)),"")</f>
        <v/>
      </c>
    </row>
    <row r="30" spans="1:54" s="136" customFormat="1" x14ac:dyDescent="0.25">
      <c r="A30" s="181"/>
      <c r="B30" s="134" t="str">
        <f>IFERROR(INDEX(Tbl_ResidentData[Physician],MATCH(Tbl_PDSAData[[#This Row],[Resident Name (last, first)]],Tbl_ResidentData[Resident Name '[last, first']],0))&amp;"","")</f>
        <v/>
      </c>
      <c r="C30" s="135" t="str">
        <f>IFERROR(INDEX(Tbl_ResidentData[Diagnosis (RAI)],MATCH(Tbl_PDSAData[[#This Row],[Resident Name (last, first)]],Tbl_ResidentData[Resident Name '[last, first']],0))&amp;"","")</f>
        <v/>
      </c>
      <c r="D30" s="144" t="str">
        <f>IFERROR(INDEX(Tbl_ResidentData[Clinical Notes
'[free text']],MATCH(Tbl_PDSAData[[#This Row],[Resident Name (last, first)]],Tbl_ResidentData[Resident Name '[last, first']],0))&amp;"","")</f>
        <v/>
      </c>
      <c r="E30" s="190"/>
      <c r="F30" s="191"/>
      <c r="G30" s="190"/>
      <c r="H30" s="191"/>
      <c r="I30" s="190"/>
      <c r="J30" s="191"/>
      <c r="K30" s="190"/>
      <c r="L30" s="191"/>
      <c r="M30" s="190"/>
      <c r="N30" s="191"/>
      <c r="O30" s="190"/>
      <c r="P30" s="191"/>
      <c r="Q30" s="190"/>
      <c r="R30" s="191"/>
      <c r="S30" s="190"/>
      <c r="T30" s="191"/>
      <c r="U30" s="190"/>
      <c r="V30" s="191"/>
      <c r="W30" s="190"/>
      <c r="X30" s="191"/>
      <c r="Y30" s="190"/>
      <c r="Z30" s="191"/>
      <c r="AA30" s="190"/>
      <c r="AB30" s="191"/>
      <c r="AC30" s="190"/>
      <c r="AD30" s="191"/>
      <c r="AE30" s="190"/>
      <c r="AF30" s="191"/>
      <c r="AG30" s="190"/>
      <c r="AH30" s="191"/>
      <c r="AI30" s="190"/>
      <c r="AJ30" s="191"/>
      <c r="AK30" s="190"/>
      <c r="AL30" s="191"/>
      <c r="AM30" s="190"/>
      <c r="AN30" s="191"/>
      <c r="AO30" s="190"/>
      <c r="AP30" s="191"/>
      <c r="AQ30" s="190"/>
      <c r="AR30" s="191"/>
      <c r="AS30" s="190"/>
      <c r="AT30" s="191"/>
      <c r="AU30" s="190"/>
      <c r="AV30" s="191"/>
      <c r="AW30" s="190"/>
      <c r="AX30" s="191"/>
      <c r="AY30" s="190"/>
      <c r="AZ30" s="191"/>
      <c r="BA30" s="145" t="str">
        <f>IFERROR(INDEX($E$4:$AZ$4,SUMPRODUCT(MAX(COLUMN(Tbl_PDSAData[[#This Row],[D1]:[M24]])*(ListLookup!$G$3=Tbl_PDSAData[[#This Row],[D1]:[M24]]))-4)),"")</f>
        <v/>
      </c>
      <c r="BB30" s="145" t="str">
        <f>IFERROR(INDEX($E$4:$AZ$4,SUMPRODUCT(MAX(COLUMN(Tbl_PDSAData[[#This Row],[D1]:[M24]])*(ListLookup!$H$3=Tbl_PDSAData[[#This Row],[D1]:[M24]]))-4)),"")</f>
        <v/>
      </c>
    </row>
    <row r="31" spans="1:54" s="136" customFormat="1" x14ac:dyDescent="0.25">
      <c r="A31" s="181"/>
      <c r="B31" s="134" t="str">
        <f>IFERROR(INDEX(Tbl_ResidentData[Physician],MATCH(Tbl_PDSAData[[#This Row],[Resident Name (last, first)]],Tbl_ResidentData[Resident Name '[last, first']],0))&amp;"","")</f>
        <v/>
      </c>
      <c r="C31" s="135" t="str">
        <f>IFERROR(INDEX(Tbl_ResidentData[Diagnosis (RAI)],MATCH(Tbl_PDSAData[[#This Row],[Resident Name (last, first)]],Tbl_ResidentData[Resident Name '[last, first']],0))&amp;"","")</f>
        <v/>
      </c>
      <c r="D31" s="144" t="str">
        <f>IFERROR(INDEX(Tbl_ResidentData[Clinical Notes
'[free text']],MATCH(Tbl_PDSAData[[#This Row],[Resident Name (last, first)]],Tbl_ResidentData[Resident Name '[last, first']],0))&amp;"","")</f>
        <v/>
      </c>
      <c r="E31" s="190"/>
      <c r="F31" s="191"/>
      <c r="G31" s="190"/>
      <c r="H31" s="191"/>
      <c r="I31" s="190"/>
      <c r="J31" s="191"/>
      <c r="K31" s="190"/>
      <c r="L31" s="191"/>
      <c r="M31" s="190"/>
      <c r="N31" s="191"/>
      <c r="O31" s="190"/>
      <c r="P31" s="191"/>
      <c r="Q31" s="190"/>
      <c r="R31" s="191"/>
      <c r="S31" s="190"/>
      <c r="T31" s="191"/>
      <c r="U31" s="190"/>
      <c r="V31" s="191"/>
      <c r="W31" s="190"/>
      <c r="X31" s="191"/>
      <c r="Y31" s="190"/>
      <c r="Z31" s="191"/>
      <c r="AA31" s="190"/>
      <c r="AB31" s="191"/>
      <c r="AC31" s="190"/>
      <c r="AD31" s="191"/>
      <c r="AE31" s="190"/>
      <c r="AF31" s="191"/>
      <c r="AG31" s="190"/>
      <c r="AH31" s="191"/>
      <c r="AI31" s="190"/>
      <c r="AJ31" s="191"/>
      <c r="AK31" s="190"/>
      <c r="AL31" s="191"/>
      <c r="AM31" s="190"/>
      <c r="AN31" s="191"/>
      <c r="AO31" s="190"/>
      <c r="AP31" s="191"/>
      <c r="AQ31" s="190"/>
      <c r="AR31" s="191"/>
      <c r="AS31" s="190"/>
      <c r="AT31" s="191"/>
      <c r="AU31" s="190"/>
      <c r="AV31" s="191"/>
      <c r="AW31" s="190"/>
      <c r="AX31" s="191"/>
      <c r="AY31" s="190"/>
      <c r="AZ31" s="191"/>
      <c r="BA31" s="145" t="str">
        <f>IFERROR(INDEX($E$4:$AZ$4,SUMPRODUCT(MAX(COLUMN(Tbl_PDSAData[[#This Row],[D1]:[M24]])*(ListLookup!$G$3=Tbl_PDSAData[[#This Row],[D1]:[M24]]))-4)),"")</f>
        <v/>
      </c>
      <c r="BB31" s="145" t="str">
        <f>IFERROR(INDEX($E$4:$AZ$4,SUMPRODUCT(MAX(COLUMN(Tbl_PDSAData[[#This Row],[D1]:[M24]])*(ListLookup!$H$3=Tbl_PDSAData[[#This Row],[D1]:[M24]]))-4)),"")</f>
        <v/>
      </c>
    </row>
    <row r="32" spans="1:54" s="136" customFormat="1" x14ac:dyDescent="0.25">
      <c r="A32" s="181"/>
      <c r="B32" s="134" t="str">
        <f>IFERROR(INDEX(Tbl_ResidentData[Physician],MATCH(Tbl_PDSAData[[#This Row],[Resident Name (last, first)]],Tbl_ResidentData[Resident Name '[last, first']],0))&amp;"","")</f>
        <v/>
      </c>
      <c r="C32" s="135" t="str">
        <f>IFERROR(INDEX(Tbl_ResidentData[Diagnosis (RAI)],MATCH(Tbl_PDSAData[[#This Row],[Resident Name (last, first)]],Tbl_ResidentData[Resident Name '[last, first']],0))&amp;"","")</f>
        <v/>
      </c>
      <c r="D32" s="144" t="str">
        <f>IFERROR(INDEX(Tbl_ResidentData[Clinical Notes
'[free text']],MATCH(Tbl_PDSAData[[#This Row],[Resident Name (last, first)]],Tbl_ResidentData[Resident Name '[last, first']],0))&amp;"","")</f>
        <v/>
      </c>
      <c r="E32" s="190"/>
      <c r="F32" s="191"/>
      <c r="G32" s="190"/>
      <c r="H32" s="191"/>
      <c r="I32" s="190"/>
      <c r="J32" s="191"/>
      <c r="K32" s="190"/>
      <c r="L32" s="191"/>
      <c r="M32" s="190"/>
      <c r="N32" s="191"/>
      <c r="O32" s="190"/>
      <c r="P32" s="191"/>
      <c r="Q32" s="190"/>
      <c r="R32" s="191"/>
      <c r="S32" s="190"/>
      <c r="T32" s="191"/>
      <c r="U32" s="190"/>
      <c r="V32" s="191"/>
      <c r="W32" s="190"/>
      <c r="X32" s="191"/>
      <c r="Y32" s="190"/>
      <c r="Z32" s="191"/>
      <c r="AA32" s="190"/>
      <c r="AB32" s="191"/>
      <c r="AC32" s="190"/>
      <c r="AD32" s="191"/>
      <c r="AE32" s="190"/>
      <c r="AF32" s="191"/>
      <c r="AG32" s="190"/>
      <c r="AH32" s="191"/>
      <c r="AI32" s="190"/>
      <c r="AJ32" s="191"/>
      <c r="AK32" s="190"/>
      <c r="AL32" s="191"/>
      <c r="AM32" s="190"/>
      <c r="AN32" s="191"/>
      <c r="AO32" s="190"/>
      <c r="AP32" s="191"/>
      <c r="AQ32" s="190"/>
      <c r="AR32" s="191"/>
      <c r="AS32" s="190"/>
      <c r="AT32" s="191"/>
      <c r="AU32" s="190"/>
      <c r="AV32" s="191"/>
      <c r="AW32" s="190"/>
      <c r="AX32" s="191"/>
      <c r="AY32" s="190"/>
      <c r="AZ32" s="191"/>
      <c r="BA32" s="145" t="str">
        <f>IFERROR(INDEX($E$4:$AZ$4,SUMPRODUCT(MAX(COLUMN(Tbl_PDSAData[[#This Row],[D1]:[M24]])*(ListLookup!$G$3=Tbl_PDSAData[[#This Row],[D1]:[M24]]))-4)),"")</f>
        <v/>
      </c>
      <c r="BB32" s="145" t="str">
        <f>IFERROR(INDEX($E$4:$AZ$4,SUMPRODUCT(MAX(COLUMN(Tbl_PDSAData[[#This Row],[D1]:[M24]])*(ListLookup!$H$3=Tbl_PDSAData[[#This Row],[D1]:[M24]]))-4)),"")</f>
        <v/>
      </c>
    </row>
    <row r="33" spans="1:54" s="136" customFormat="1" x14ac:dyDescent="0.25">
      <c r="A33" s="181"/>
      <c r="B33" s="134" t="str">
        <f>IFERROR(INDEX(Tbl_ResidentData[Physician],MATCH(Tbl_PDSAData[[#This Row],[Resident Name (last, first)]],Tbl_ResidentData[Resident Name '[last, first']],0))&amp;"","")</f>
        <v/>
      </c>
      <c r="C33" s="135" t="str">
        <f>IFERROR(INDEX(Tbl_ResidentData[Diagnosis (RAI)],MATCH(Tbl_PDSAData[[#This Row],[Resident Name (last, first)]],Tbl_ResidentData[Resident Name '[last, first']],0))&amp;"","")</f>
        <v/>
      </c>
      <c r="D33" s="144" t="str">
        <f>IFERROR(INDEX(Tbl_ResidentData[Clinical Notes
'[free text']],MATCH(Tbl_PDSAData[[#This Row],[Resident Name (last, first)]],Tbl_ResidentData[Resident Name '[last, first']],0))&amp;"","")</f>
        <v/>
      </c>
      <c r="E33" s="190"/>
      <c r="F33" s="191"/>
      <c r="G33" s="190"/>
      <c r="H33" s="191"/>
      <c r="I33" s="190"/>
      <c r="J33" s="191"/>
      <c r="K33" s="190"/>
      <c r="L33" s="191"/>
      <c r="M33" s="190"/>
      <c r="N33" s="191"/>
      <c r="O33" s="190"/>
      <c r="P33" s="191"/>
      <c r="Q33" s="190"/>
      <c r="R33" s="191"/>
      <c r="S33" s="190"/>
      <c r="T33" s="191"/>
      <c r="U33" s="190"/>
      <c r="V33" s="191"/>
      <c r="W33" s="190"/>
      <c r="X33" s="191"/>
      <c r="Y33" s="190"/>
      <c r="Z33" s="191"/>
      <c r="AA33" s="190"/>
      <c r="AB33" s="191"/>
      <c r="AC33" s="190"/>
      <c r="AD33" s="191"/>
      <c r="AE33" s="190"/>
      <c r="AF33" s="191"/>
      <c r="AG33" s="190"/>
      <c r="AH33" s="191"/>
      <c r="AI33" s="190"/>
      <c r="AJ33" s="191"/>
      <c r="AK33" s="190"/>
      <c r="AL33" s="191"/>
      <c r="AM33" s="190"/>
      <c r="AN33" s="191"/>
      <c r="AO33" s="190"/>
      <c r="AP33" s="191"/>
      <c r="AQ33" s="190"/>
      <c r="AR33" s="191"/>
      <c r="AS33" s="190"/>
      <c r="AT33" s="191"/>
      <c r="AU33" s="190"/>
      <c r="AV33" s="191"/>
      <c r="AW33" s="190"/>
      <c r="AX33" s="191"/>
      <c r="AY33" s="190"/>
      <c r="AZ33" s="191"/>
      <c r="BA33" s="145" t="str">
        <f>IFERROR(INDEX($E$4:$AZ$4,SUMPRODUCT(MAX(COLUMN(Tbl_PDSAData[[#This Row],[D1]:[M24]])*(ListLookup!$G$3=Tbl_PDSAData[[#This Row],[D1]:[M24]]))-4)),"")</f>
        <v/>
      </c>
      <c r="BB33" s="145" t="str">
        <f>IFERROR(INDEX($E$4:$AZ$4,SUMPRODUCT(MAX(COLUMN(Tbl_PDSAData[[#This Row],[D1]:[M24]])*(ListLookup!$H$3=Tbl_PDSAData[[#This Row],[D1]:[M24]]))-4)),"")</f>
        <v/>
      </c>
    </row>
    <row r="34" spans="1:54" s="136" customFormat="1" x14ac:dyDescent="0.25">
      <c r="A34" s="181"/>
      <c r="B34" s="134" t="str">
        <f>IFERROR(INDEX(Tbl_ResidentData[Physician],MATCH(Tbl_PDSAData[[#This Row],[Resident Name (last, first)]],Tbl_ResidentData[Resident Name '[last, first']],0))&amp;"","")</f>
        <v/>
      </c>
      <c r="C34" s="135" t="str">
        <f>IFERROR(INDEX(Tbl_ResidentData[Diagnosis (RAI)],MATCH(Tbl_PDSAData[[#This Row],[Resident Name (last, first)]],Tbl_ResidentData[Resident Name '[last, first']],0))&amp;"","")</f>
        <v/>
      </c>
      <c r="D34" s="144" t="str">
        <f>IFERROR(INDEX(Tbl_ResidentData[Clinical Notes
'[free text']],MATCH(Tbl_PDSAData[[#This Row],[Resident Name (last, first)]],Tbl_ResidentData[Resident Name '[last, first']],0))&amp;"","")</f>
        <v/>
      </c>
      <c r="E34" s="190"/>
      <c r="F34" s="191"/>
      <c r="G34" s="190"/>
      <c r="H34" s="191"/>
      <c r="I34" s="190"/>
      <c r="J34" s="191"/>
      <c r="K34" s="190"/>
      <c r="L34" s="191"/>
      <c r="M34" s="190"/>
      <c r="N34" s="191"/>
      <c r="O34" s="190"/>
      <c r="P34" s="191"/>
      <c r="Q34" s="190"/>
      <c r="R34" s="191"/>
      <c r="S34" s="190"/>
      <c r="T34" s="191"/>
      <c r="U34" s="190"/>
      <c r="V34" s="191"/>
      <c r="W34" s="190"/>
      <c r="X34" s="191"/>
      <c r="Y34" s="190"/>
      <c r="Z34" s="191"/>
      <c r="AA34" s="190"/>
      <c r="AB34" s="191"/>
      <c r="AC34" s="190"/>
      <c r="AD34" s="191"/>
      <c r="AE34" s="190"/>
      <c r="AF34" s="191"/>
      <c r="AG34" s="190"/>
      <c r="AH34" s="191"/>
      <c r="AI34" s="190"/>
      <c r="AJ34" s="191"/>
      <c r="AK34" s="190"/>
      <c r="AL34" s="191"/>
      <c r="AM34" s="190"/>
      <c r="AN34" s="191"/>
      <c r="AO34" s="190"/>
      <c r="AP34" s="191"/>
      <c r="AQ34" s="190"/>
      <c r="AR34" s="191"/>
      <c r="AS34" s="190"/>
      <c r="AT34" s="191"/>
      <c r="AU34" s="190"/>
      <c r="AV34" s="191"/>
      <c r="AW34" s="190"/>
      <c r="AX34" s="191"/>
      <c r="AY34" s="190"/>
      <c r="AZ34" s="191"/>
      <c r="BA34" s="145" t="str">
        <f>IFERROR(INDEX($E$4:$AZ$4,SUMPRODUCT(MAX(COLUMN(Tbl_PDSAData[[#This Row],[D1]:[M24]])*(ListLookup!$G$3=Tbl_PDSAData[[#This Row],[D1]:[M24]]))-4)),"")</f>
        <v/>
      </c>
      <c r="BB34" s="145" t="str">
        <f>IFERROR(INDEX($E$4:$AZ$4,SUMPRODUCT(MAX(COLUMN(Tbl_PDSAData[[#This Row],[D1]:[M24]])*(ListLookup!$H$3=Tbl_PDSAData[[#This Row],[D1]:[M24]]))-4)),"")</f>
        <v/>
      </c>
    </row>
    <row r="35" spans="1:54" s="74" customFormat="1" x14ac:dyDescent="0.25">
      <c r="A35" s="189"/>
      <c r="B35" s="134" t="str">
        <f>IFERROR(INDEX(Tbl_ResidentData[Physician],MATCH(Tbl_PDSAData[[#This Row],[Resident Name (last, first)]],Tbl_ResidentData[Resident Name '[last, first']],0))&amp;"","")</f>
        <v/>
      </c>
      <c r="C35" s="135" t="str">
        <f>IFERROR(INDEX(Tbl_ResidentData[Diagnosis (RAI)],MATCH(Tbl_PDSAData[[#This Row],[Resident Name (last, first)]],Tbl_ResidentData[Resident Name '[last, first']],0))&amp;"","")</f>
        <v/>
      </c>
      <c r="D35" s="144" t="str">
        <f>IFERROR(INDEX(Tbl_ResidentData[Clinical Notes
'[free text']],MATCH(Tbl_PDSAData[[#This Row],[Resident Name (last, first)]],Tbl_ResidentData[Resident Name '[last, first']],0))&amp;"","")</f>
        <v/>
      </c>
      <c r="E35" s="190"/>
      <c r="F35" s="191"/>
      <c r="G35" s="190"/>
      <c r="H35" s="191"/>
      <c r="I35" s="190"/>
      <c r="J35" s="191"/>
      <c r="K35" s="190"/>
      <c r="L35" s="191"/>
      <c r="M35" s="190"/>
      <c r="N35" s="191"/>
      <c r="O35" s="190"/>
      <c r="P35" s="191"/>
      <c r="Q35" s="190"/>
      <c r="R35" s="191"/>
      <c r="S35" s="190"/>
      <c r="T35" s="191"/>
      <c r="U35" s="190"/>
      <c r="V35" s="191"/>
      <c r="W35" s="190"/>
      <c r="X35" s="191"/>
      <c r="Y35" s="190"/>
      <c r="Z35" s="191"/>
      <c r="AA35" s="190"/>
      <c r="AB35" s="191"/>
      <c r="AC35" s="190"/>
      <c r="AD35" s="191"/>
      <c r="AE35" s="190"/>
      <c r="AF35" s="191"/>
      <c r="AG35" s="190"/>
      <c r="AH35" s="191"/>
      <c r="AI35" s="190"/>
      <c r="AJ35" s="191"/>
      <c r="AK35" s="190"/>
      <c r="AL35" s="191"/>
      <c r="AM35" s="190"/>
      <c r="AN35" s="191"/>
      <c r="AO35" s="190"/>
      <c r="AP35" s="191"/>
      <c r="AQ35" s="190"/>
      <c r="AR35" s="191"/>
      <c r="AS35" s="190"/>
      <c r="AT35" s="191"/>
      <c r="AU35" s="190"/>
      <c r="AV35" s="191"/>
      <c r="AW35" s="190"/>
      <c r="AX35" s="191"/>
      <c r="AY35" s="190"/>
      <c r="AZ35" s="191"/>
      <c r="BA35" s="145" t="str">
        <f>IFERROR(INDEX($E$4:$AZ$4,SUMPRODUCT(MAX(COLUMN(Tbl_PDSAData[[#This Row],[D1]:[M24]])*(ListLookup!$G$3=Tbl_PDSAData[[#This Row],[D1]:[M24]]))-4)),"")</f>
        <v/>
      </c>
      <c r="BB35" s="145" t="str">
        <f>IFERROR(INDEX($E$4:$AZ$4,SUMPRODUCT(MAX(COLUMN(Tbl_PDSAData[[#This Row],[D1]:[M24]])*(ListLookup!$H$3=Tbl_PDSAData[[#This Row],[D1]:[M24]]))-4)),"")</f>
        <v/>
      </c>
    </row>
    <row r="36" spans="1:54" s="74" customFormat="1" x14ac:dyDescent="0.25">
      <c r="A36" s="189"/>
      <c r="B36" s="134" t="str">
        <f>IFERROR(INDEX(Tbl_ResidentData[Physician],MATCH(Tbl_PDSAData[[#This Row],[Resident Name (last, first)]],Tbl_ResidentData[Resident Name '[last, first']],0))&amp;"","")</f>
        <v/>
      </c>
      <c r="C36" s="135" t="str">
        <f>IFERROR(INDEX(Tbl_ResidentData[Diagnosis (RAI)],MATCH(Tbl_PDSAData[[#This Row],[Resident Name (last, first)]],Tbl_ResidentData[Resident Name '[last, first']],0))&amp;"","")</f>
        <v/>
      </c>
      <c r="D36" s="144" t="str">
        <f>IFERROR(INDEX(Tbl_ResidentData[Clinical Notes
'[free text']],MATCH(Tbl_PDSAData[[#This Row],[Resident Name (last, first)]],Tbl_ResidentData[Resident Name '[last, first']],0))&amp;"","")</f>
        <v/>
      </c>
      <c r="E36" s="190"/>
      <c r="F36" s="191"/>
      <c r="G36" s="190"/>
      <c r="H36" s="191"/>
      <c r="I36" s="190"/>
      <c r="J36" s="191"/>
      <c r="K36" s="190"/>
      <c r="L36" s="191"/>
      <c r="M36" s="190"/>
      <c r="N36" s="191"/>
      <c r="O36" s="190"/>
      <c r="P36" s="191"/>
      <c r="Q36" s="190"/>
      <c r="R36" s="191"/>
      <c r="S36" s="190"/>
      <c r="T36" s="191"/>
      <c r="U36" s="190"/>
      <c r="V36" s="191"/>
      <c r="W36" s="190"/>
      <c r="X36" s="191"/>
      <c r="Y36" s="190"/>
      <c r="Z36" s="191"/>
      <c r="AA36" s="190"/>
      <c r="AB36" s="191"/>
      <c r="AC36" s="190"/>
      <c r="AD36" s="191"/>
      <c r="AE36" s="190"/>
      <c r="AF36" s="191"/>
      <c r="AG36" s="190"/>
      <c r="AH36" s="191"/>
      <c r="AI36" s="190"/>
      <c r="AJ36" s="191"/>
      <c r="AK36" s="190"/>
      <c r="AL36" s="191"/>
      <c r="AM36" s="190"/>
      <c r="AN36" s="191"/>
      <c r="AO36" s="190"/>
      <c r="AP36" s="191"/>
      <c r="AQ36" s="190"/>
      <c r="AR36" s="191"/>
      <c r="AS36" s="190"/>
      <c r="AT36" s="191"/>
      <c r="AU36" s="190"/>
      <c r="AV36" s="191"/>
      <c r="AW36" s="190"/>
      <c r="AX36" s="191"/>
      <c r="AY36" s="190"/>
      <c r="AZ36" s="191"/>
      <c r="BA36" s="145" t="str">
        <f>IFERROR(INDEX($E$4:$AZ$4,SUMPRODUCT(MAX(COLUMN(Tbl_PDSAData[[#This Row],[D1]:[M24]])*(ListLookup!$G$3=Tbl_PDSAData[[#This Row],[D1]:[M24]]))-4)),"")</f>
        <v/>
      </c>
      <c r="BB36" s="145" t="str">
        <f>IFERROR(INDEX($E$4:$AZ$4,SUMPRODUCT(MAX(COLUMN(Tbl_PDSAData[[#This Row],[D1]:[M24]])*(ListLookup!$H$3=Tbl_PDSAData[[#This Row],[D1]:[M24]]))-4)),"")</f>
        <v/>
      </c>
    </row>
    <row r="37" spans="1:54" s="74" customFormat="1" x14ac:dyDescent="0.25">
      <c r="A37" s="189"/>
      <c r="B37" s="134" t="str">
        <f>IFERROR(INDEX(Tbl_ResidentData[Physician],MATCH(Tbl_PDSAData[[#This Row],[Resident Name (last, first)]],Tbl_ResidentData[Resident Name '[last, first']],0))&amp;"","")</f>
        <v/>
      </c>
      <c r="C37" s="135" t="str">
        <f>IFERROR(INDEX(Tbl_ResidentData[Diagnosis (RAI)],MATCH(Tbl_PDSAData[[#This Row],[Resident Name (last, first)]],Tbl_ResidentData[Resident Name '[last, first']],0))&amp;"","")</f>
        <v/>
      </c>
      <c r="D37" s="144" t="str">
        <f>IFERROR(INDEX(Tbl_ResidentData[Clinical Notes
'[free text']],MATCH(Tbl_PDSAData[[#This Row],[Resident Name (last, first)]],Tbl_ResidentData[Resident Name '[last, first']],0))&amp;"","")</f>
        <v/>
      </c>
      <c r="E37" s="190"/>
      <c r="F37" s="191"/>
      <c r="G37" s="190"/>
      <c r="H37" s="191"/>
      <c r="I37" s="190"/>
      <c r="J37" s="191"/>
      <c r="K37" s="190"/>
      <c r="L37" s="191"/>
      <c r="M37" s="190"/>
      <c r="N37" s="191"/>
      <c r="O37" s="190"/>
      <c r="P37" s="191"/>
      <c r="Q37" s="190"/>
      <c r="R37" s="191"/>
      <c r="S37" s="190"/>
      <c r="T37" s="191"/>
      <c r="U37" s="190"/>
      <c r="V37" s="191"/>
      <c r="W37" s="190"/>
      <c r="X37" s="191"/>
      <c r="Y37" s="190"/>
      <c r="Z37" s="191"/>
      <c r="AA37" s="190"/>
      <c r="AB37" s="191"/>
      <c r="AC37" s="190"/>
      <c r="AD37" s="191"/>
      <c r="AE37" s="190"/>
      <c r="AF37" s="191"/>
      <c r="AG37" s="190"/>
      <c r="AH37" s="191"/>
      <c r="AI37" s="190"/>
      <c r="AJ37" s="191"/>
      <c r="AK37" s="190"/>
      <c r="AL37" s="191"/>
      <c r="AM37" s="190"/>
      <c r="AN37" s="191"/>
      <c r="AO37" s="190"/>
      <c r="AP37" s="191"/>
      <c r="AQ37" s="190"/>
      <c r="AR37" s="191"/>
      <c r="AS37" s="190"/>
      <c r="AT37" s="191"/>
      <c r="AU37" s="190"/>
      <c r="AV37" s="191"/>
      <c r="AW37" s="190"/>
      <c r="AX37" s="191"/>
      <c r="AY37" s="190"/>
      <c r="AZ37" s="191"/>
      <c r="BA37" s="145" t="str">
        <f>IFERROR(INDEX($E$4:$AZ$4,SUMPRODUCT(MAX(COLUMN(Tbl_PDSAData[[#This Row],[D1]:[M24]])*(ListLookup!$G$3=Tbl_PDSAData[[#This Row],[D1]:[M24]]))-4)),"")</f>
        <v/>
      </c>
      <c r="BB37" s="145" t="str">
        <f>IFERROR(INDEX($E$4:$AZ$4,SUMPRODUCT(MAX(COLUMN(Tbl_PDSAData[[#This Row],[D1]:[M24]])*(ListLookup!$H$3=Tbl_PDSAData[[#This Row],[D1]:[M24]]))-4)),"")</f>
        <v/>
      </c>
    </row>
    <row r="38" spans="1:54" s="74" customFormat="1" x14ac:dyDescent="0.25">
      <c r="A38" s="189"/>
      <c r="B38" s="134" t="str">
        <f>IFERROR(INDEX(Tbl_ResidentData[Physician],MATCH(Tbl_PDSAData[[#This Row],[Resident Name (last, first)]],Tbl_ResidentData[Resident Name '[last, first']],0))&amp;"","")</f>
        <v/>
      </c>
      <c r="C38" s="135" t="str">
        <f>IFERROR(INDEX(Tbl_ResidentData[Diagnosis (RAI)],MATCH(Tbl_PDSAData[[#This Row],[Resident Name (last, first)]],Tbl_ResidentData[Resident Name '[last, first']],0))&amp;"","")</f>
        <v/>
      </c>
      <c r="D38" s="144" t="str">
        <f>IFERROR(INDEX(Tbl_ResidentData[Clinical Notes
'[free text']],MATCH(Tbl_PDSAData[[#This Row],[Resident Name (last, first)]],Tbl_ResidentData[Resident Name '[last, first']],0))&amp;"","")</f>
        <v/>
      </c>
      <c r="E38" s="190"/>
      <c r="F38" s="191"/>
      <c r="G38" s="190"/>
      <c r="H38" s="191"/>
      <c r="I38" s="190"/>
      <c r="J38" s="191"/>
      <c r="K38" s="190"/>
      <c r="L38" s="191"/>
      <c r="M38" s="190"/>
      <c r="N38" s="191"/>
      <c r="O38" s="190"/>
      <c r="P38" s="191"/>
      <c r="Q38" s="190"/>
      <c r="R38" s="191"/>
      <c r="S38" s="190"/>
      <c r="T38" s="191"/>
      <c r="U38" s="190"/>
      <c r="V38" s="191"/>
      <c r="W38" s="190"/>
      <c r="X38" s="191"/>
      <c r="Y38" s="190"/>
      <c r="Z38" s="191"/>
      <c r="AA38" s="190"/>
      <c r="AB38" s="191"/>
      <c r="AC38" s="190"/>
      <c r="AD38" s="191"/>
      <c r="AE38" s="190"/>
      <c r="AF38" s="191"/>
      <c r="AG38" s="190"/>
      <c r="AH38" s="191"/>
      <c r="AI38" s="190"/>
      <c r="AJ38" s="191"/>
      <c r="AK38" s="190"/>
      <c r="AL38" s="191"/>
      <c r="AM38" s="190"/>
      <c r="AN38" s="191"/>
      <c r="AO38" s="190"/>
      <c r="AP38" s="191"/>
      <c r="AQ38" s="190"/>
      <c r="AR38" s="191"/>
      <c r="AS38" s="190"/>
      <c r="AT38" s="191"/>
      <c r="AU38" s="190"/>
      <c r="AV38" s="191"/>
      <c r="AW38" s="190"/>
      <c r="AX38" s="191"/>
      <c r="AY38" s="190"/>
      <c r="AZ38" s="191"/>
      <c r="BA38" s="145" t="str">
        <f>IFERROR(INDEX($E$4:$AZ$4,SUMPRODUCT(MAX(COLUMN(Tbl_PDSAData[[#This Row],[D1]:[M24]])*(ListLookup!$G$3=Tbl_PDSAData[[#This Row],[D1]:[M24]]))-4)),"")</f>
        <v/>
      </c>
      <c r="BB38" s="145" t="str">
        <f>IFERROR(INDEX($E$4:$AZ$4,SUMPRODUCT(MAX(COLUMN(Tbl_PDSAData[[#This Row],[D1]:[M24]])*(ListLookup!$H$3=Tbl_PDSAData[[#This Row],[D1]:[M24]]))-4)),"")</f>
        <v/>
      </c>
    </row>
    <row r="39" spans="1:54" s="74" customFormat="1" x14ac:dyDescent="0.25">
      <c r="A39" s="189"/>
      <c r="B39" s="134" t="str">
        <f>IFERROR(INDEX(Tbl_ResidentData[Physician],MATCH(Tbl_PDSAData[[#This Row],[Resident Name (last, first)]],Tbl_ResidentData[Resident Name '[last, first']],0))&amp;"","")</f>
        <v/>
      </c>
      <c r="C39" s="135" t="str">
        <f>IFERROR(INDEX(Tbl_ResidentData[Diagnosis (RAI)],MATCH(Tbl_PDSAData[[#This Row],[Resident Name (last, first)]],Tbl_ResidentData[Resident Name '[last, first']],0))&amp;"","")</f>
        <v/>
      </c>
      <c r="D39" s="144" t="str">
        <f>IFERROR(INDEX(Tbl_ResidentData[Clinical Notes
'[free text']],MATCH(Tbl_PDSAData[[#This Row],[Resident Name (last, first)]],Tbl_ResidentData[Resident Name '[last, first']],0))&amp;"","")</f>
        <v/>
      </c>
      <c r="E39" s="190"/>
      <c r="F39" s="191"/>
      <c r="G39" s="190"/>
      <c r="H39" s="191"/>
      <c r="I39" s="190"/>
      <c r="J39" s="191"/>
      <c r="K39" s="190"/>
      <c r="L39" s="191"/>
      <c r="M39" s="190"/>
      <c r="N39" s="191"/>
      <c r="O39" s="190"/>
      <c r="P39" s="191"/>
      <c r="Q39" s="190"/>
      <c r="R39" s="191"/>
      <c r="S39" s="190"/>
      <c r="T39" s="191"/>
      <c r="U39" s="190"/>
      <c r="V39" s="191"/>
      <c r="W39" s="190"/>
      <c r="X39" s="191"/>
      <c r="Y39" s="190"/>
      <c r="Z39" s="191"/>
      <c r="AA39" s="190"/>
      <c r="AB39" s="191"/>
      <c r="AC39" s="190"/>
      <c r="AD39" s="191"/>
      <c r="AE39" s="190"/>
      <c r="AF39" s="191"/>
      <c r="AG39" s="190"/>
      <c r="AH39" s="191"/>
      <c r="AI39" s="190"/>
      <c r="AJ39" s="191"/>
      <c r="AK39" s="190"/>
      <c r="AL39" s="191"/>
      <c r="AM39" s="190"/>
      <c r="AN39" s="191"/>
      <c r="AO39" s="190"/>
      <c r="AP39" s="191"/>
      <c r="AQ39" s="190"/>
      <c r="AR39" s="191"/>
      <c r="AS39" s="190"/>
      <c r="AT39" s="191"/>
      <c r="AU39" s="190"/>
      <c r="AV39" s="191"/>
      <c r="AW39" s="190"/>
      <c r="AX39" s="191"/>
      <c r="AY39" s="190"/>
      <c r="AZ39" s="191"/>
      <c r="BA39" s="145" t="str">
        <f>IFERROR(INDEX($E$4:$AZ$4,SUMPRODUCT(MAX(COLUMN(Tbl_PDSAData[[#This Row],[D1]:[M24]])*(ListLookup!$G$3=Tbl_PDSAData[[#This Row],[D1]:[M24]]))-4)),"")</f>
        <v/>
      </c>
      <c r="BB39" s="145" t="str">
        <f>IFERROR(INDEX($E$4:$AZ$4,SUMPRODUCT(MAX(COLUMN(Tbl_PDSAData[[#This Row],[D1]:[M24]])*(ListLookup!$H$3=Tbl_PDSAData[[#This Row],[D1]:[M24]]))-4)),"")</f>
        <v/>
      </c>
    </row>
    <row r="40" spans="1:54" s="74" customFormat="1" x14ac:dyDescent="0.25">
      <c r="A40" s="189"/>
      <c r="B40" s="134" t="str">
        <f>IFERROR(INDEX(Tbl_ResidentData[Physician],MATCH(Tbl_PDSAData[[#This Row],[Resident Name (last, first)]],Tbl_ResidentData[Resident Name '[last, first']],0))&amp;"","")</f>
        <v/>
      </c>
      <c r="C40" s="135" t="str">
        <f>IFERROR(INDEX(Tbl_ResidentData[Diagnosis (RAI)],MATCH(Tbl_PDSAData[[#This Row],[Resident Name (last, first)]],Tbl_ResidentData[Resident Name '[last, first']],0))&amp;"","")</f>
        <v/>
      </c>
      <c r="D40" s="144" t="str">
        <f>IFERROR(INDEX(Tbl_ResidentData[Clinical Notes
'[free text']],MATCH(Tbl_PDSAData[[#This Row],[Resident Name (last, first)]],Tbl_ResidentData[Resident Name '[last, first']],0))&amp;"","")</f>
        <v/>
      </c>
      <c r="E40" s="190"/>
      <c r="F40" s="191"/>
      <c r="G40" s="190"/>
      <c r="H40" s="191"/>
      <c r="I40" s="190"/>
      <c r="J40" s="191"/>
      <c r="K40" s="190"/>
      <c r="L40" s="191"/>
      <c r="M40" s="190"/>
      <c r="N40" s="191"/>
      <c r="O40" s="190"/>
      <c r="P40" s="191"/>
      <c r="Q40" s="190"/>
      <c r="R40" s="191"/>
      <c r="S40" s="190"/>
      <c r="T40" s="191"/>
      <c r="U40" s="190"/>
      <c r="V40" s="191"/>
      <c r="W40" s="190"/>
      <c r="X40" s="191"/>
      <c r="Y40" s="190"/>
      <c r="Z40" s="191"/>
      <c r="AA40" s="190"/>
      <c r="AB40" s="191"/>
      <c r="AC40" s="190"/>
      <c r="AD40" s="191"/>
      <c r="AE40" s="190"/>
      <c r="AF40" s="191"/>
      <c r="AG40" s="190"/>
      <c r="AH40" s="191"/>
      <c r="AI40" s="190"/>
      <c r="AJ40" s="191"/>
      <c r="AK40" s="190"/>
      <c r="AL40" s="191"/>
      <c r="AM40" s="190"/>
      <c r="AN40" s="191"/>
      <c r="AO40" s="190"/>
      <c r="AP40" s="191"/>
      <c r="AQ40" s="190"/>
      <c r="AR40" s="191"/>
      <c r="AS40" s="190"/>
      <c r="AT40" s="191"/>
      <c r="AU40" s="190"/>
      <c r="AV40" s="191"/>
      <c r="AW40" s="190"/>
      <c r="AX40" s="191"/>
      <c r="AY40" s="190"/>
      <c r="AZ40" s="191"/>
      <c r="BA40" s="145" t="str">
        <f>IFERROR(INDEX($E$4:$AZ$4,SUMPRODUCT(MAX(COLUMN(Tbl_PDSAData[[#This Row],[D1]:[M24]])*(ListLookup!$G$3=Tbl_PDSAData[[#This Row],[D1]:[M24]]))-4)),"")</f>
        <v/>
      </c>
      <c r="BB40" s="145" t="str">
        <f>IFERROR(INDEX($E$4:$AZ$4,SUMPRODUCT(MAX(COLUMN(Tbl_PDSAData[[#This Row],[D1]:[M24]])*(ListLookup!$H$3=Tbl_PDSAData[[#This Row],[D1]:[M24]]))-4)),"")</f>
        <v/>
      </c>
    </row>
    <row r="41" spans="1:54" s="74" customFormat="1" x14ac:dyDescent="0.25">
      <c r="A41" s="189"/>
      <c r="B41" s="134" t="str">
        <f>IFERROR(INDEX(Tbl_ResidentData[Physician],MATCH(Tbl_PDSAData[[#This Row],[Resident Name (last, first)]],Tbl_ResidentData[Resident Name '[last, first']],0))&amp;"","")</f>
        <v/>
      </c>
      <c r="C41" s="135" t="str">
        <f>IFERROR(INDEX(Tbl_ResidentData[Diagnosis (RAI)],MATCH(Tbl_PDSAData[[#This Row],[Resident Name (last, first)]],Tbl_ResidentData[Resident Name '[last, first']],0))&amp;"","")</f>
        <v/>
      </c>
      <c r="D41" s="144" t="str">
        <f>IFERROR(INDEX(Tbl_ResidentData[Clinical Notes
'[free text']],MATCH(Tbl_PDSAData[[#This Row],[Resident Name (last, first)]],Tbl_ResidentData[Resident Name '[last, first']],0))&amp;"","")</f>
        <v/>
      </c>
      <c r="E41" s="190"/>
      <c r="F41" s="191"/>
      <c r="G41" s="190"/>
      <c r="H41" s="191"/>
      <c r="I41" s="190"/>
      <c r="J41" s="191"/>
      <c r="K41" s="190"/>
      <c r="L41" s="191"/>
      <c r="M41" s="190"/>
      <c r="N41" s="191"/>
      <c r="O41" s="190"/>
      <c r="P41" s="191"/>
      <c r="Q41" s="190"/>
      <c r="R41" s="191"/>
      <c r="S41" s="190"/>
      <c r="T41" s="191"/>
      <c r="U41" s="190"/>
      <c r="V41" s="191"/>
      <c r="W41" s="190"/>
      <c r="X41" s="191"/>
      <c r="Y41" s="190"/>
      <c r="Z41" s="191"/>
      <c r="AA41" s="190"/>
      <c r="AB41" s="191"/>
      <c r="AC41" s="190"/>
      <c r="AD41" s="191"/>
      <c r="AE41" s="190"/>
      <c r="AF41" s="191"/>
      <c r="AG41" s="190"/>
      <c r="AH41" s="191"/>
      <c r="AI41" s="190"/>
      <c r="AJ41" s="191"/>
      <c r="AK41" s="190"/>
      <c r="AL41" s="191"/>
      <c r="AM41" s="190"/>
      <c r="AN41" s="191"/>
      <c r="AO41" s="190"/>
      <c r="AP41" s="191"/>
      <c r="AQ41" s="190"/>
      <c r="AR41" s="191"/>
      <c r="AS41" s="190"/>
      <c r="AT41" s="191"/>
      <c r="AU41" s="190"/>
      <c r="AV41" s="191"/>
      <c r="AW41" s="190"/>
      <c r="AX41" s="191"/>
      <c r="AY41" s="190"/>
      <c r="AZ41" s="191"/>
      <c r="BA41" s="145" t="str">
        <f>IFERROR(INDEX($E$4:$AZ$4,SUMPRODUCT(MAX(COLUMN(Tbl_PDSAData[[#This Row],[D1]:[M24]])*(ListLookup!$G$3=Tbl_PDSAData[[#This Row],[D1]:[M24]]))-4)),"")</f>
        <v/>
      </c>
      <c r="BB41" s="145" t="str">
        <f>IFERROR(INDEX($E$4:$AZ$4,SUMPRODUCT(MAX(COLUMN(Tbl_PDSAData[[#This Row],[D1]:[M24]])*(ListLookup!$H$3=Tbl_PDSAData[[#This Row],[D1]:[M24]]))-4)),"")</f>
        <v/>
      </c>
    </row>
    <row r="42" spans="1:54" s="74" customFormat="1" x14ac:dyDescent="0.25">
      <c r="A42" s="189"/>
      <c r="B42" s="134" t="str">
        <f>IFERROR(INDEX(Tbl_ResidentData[Physician],MATCH(Tbl_PDSAData[[#This Row],[Resident Name (last, first)]],Tbl_ResidentData[Resident Name '[last, first']],0))&amp;"","")</f>
        <v/>
      </c>
      <c r="C42" s="135" t="str">
        <f>IFERROR(INDEX(Tbl_ResidentData[Diagnosis (RAI)],MATCH(Tbl_PDSAData[[#This Row],[Resident Name (last, first)]],Tbl_ResidentData[Resident Name '[last, first']],0))&amp;"","")</f>
        <v/>
      </c>
      <c r="D42" s="144" t="str">
        <f>IFERROR(INDEX(Tbl_ResidentData[Clinical Notes
'[free text']],MATCH(Tbl_PDSAData[[#This Row],[Resident Name (last, first)]],Tbl_ResidentData[Resident Name '[last, first']],0))&amp;"","")</f>
        <v/>
      </c>
      <c r="E42" s="190"/>
      <c r="F42" s="191"/>
      <c r="G42" s="190"/>
      <c r="H42" s="191"/>
      <c r="I42" s="190"/>
      <c r="J42" s="191"/>
      <c r="K42" s="190"/>
      <c r="L42" s="191"/>
      <c r="M42" s="190"/>
      <c r="N42" s="191"/>
      <c r="O42" s="190"/>
      <c r="P42" s="191"/>
      <c r="Q42" s="190"/>
      <c r="R42" s="191"/>
      <c r="S42" s="190"/>
      <c r="T42" s="191"/>
      <c r="U42" s="190"/>
      <c r="V42" s="191"/>
      <c r="W42" s="190"/>
      <c r="X42" s="191"/>
      <c r="Y42" s="190"/>
      <c r="Z42" s="191"/>
      <c r="AA42" s="190"/>
      <c r="AB42" s="191"/>
      <c r="AC42" s="190"/>
      <c r="AD42" s="191"/>
      <c r="AE42" s="190"/>
      <c r="AF42" s="191"/>
      <c r="AG42" s="190"/>
      <c r="AH42" s="191"/>
      <c r="AI42" s="190"/>
      <c r="AJ42" s="191"/>
      <c r="AK42" s="190"/>
      <c r="AL42" s="191"/>
      <c r="AM42" s="190"/>
      <c r="AN42" s="191"/>
      <c r="AO42" s="190"/>
      <c r="AP42" s="191"/>
      <c r="AQ42" s="190"/>
      <c r="AR42" s="191"/>
      <c r="AS42" s="190"/>
      <c r="AT42" s="191"/>
      <c r="AU42" s="190"/>
      <c r="AV42" s="191"/>
      <c r="AW42" s="190"/>
      <c r="AX42" s="191"/>
      <c r="AY42" s="190"/>
      <c r="AZ42" s="191"/>
      <c r="BA42" s="145" t="str">
        <f>IFERROR(INDEX($E$4:$AZ$4,SUMPRODUCT(MAX(COLUMN(Tbl_PDSAData[[#This Row],[D1]:[M24]])*(ListLookup!$G$3=Tbl_PDSAData[[#This Row],[D1]:[M24]]))-4)),"")</f>
        <v/>
      </c>
      <c r="BB42" s="145" t="str">
        <f>IFERROR(INDEX($E$4:$AZ$4,SUMPRODUCT(MAX(COLUMN(Tbl_PDSAData[[#This Row],[D1]:[M24]])*(ListLookup!$H$3=Tbl_PDSAData[[#This Row],[D1]:[M24]]))-4)),"")</f>
        <v/>
      </c>
    </row>
    <row r="43" spans="1:54" s="74" customFormat="1" x14ac:dyDescent="0.25">
      <c r="A43" s="189"/>
      <c r="B43" s="134" t="str">
        <f>IFERROR(INDEX(Tbl_ResidentData[Physician],MATCH(Tbl_PDSAData[[#This Row],[Resident Name (last, first)]],Tbl_ResidentData[Resident Name '[last, first']],0))&amp;"","")</f>
        <v/>
      </c>
      <c r="C43" s="135" t="str">
        <f>IFERROR(INDEX(Tbl_ResidentData[Diagnosis (RAI)],MATCH(Tbl_PDSAData[[#This Row],[Resident Name (last, first)]],Tbl_ResidentData[Resident Name '[last, first']],0))&amp;"","")</f>
        <v/>
      </c>
      <c r="D43" s="144" t="str">
        <f>IFERROR(INDEX(Tbl_ResidentData[Clinical Notes
'[free text']],MATCH(Tbl_PDSAData[[#This Row],[Resident Name (last, first)]],Tbl_ResidentData[Resident Name '[last, first']],0))&amp;"","")</f>
        <v/>
      </c>
      <c r="E43" s="190"/>
      <c r="F43" s="191"/>
      <c r="G43" s="190"/>
      <c r="H43" s="191"/>
      <c r="I43" s="190"/>
      <c r="J43" s="191"/>
      <c r="K43" s="190"/>
      <c r="L43" s="191"/>
      <c r="M43" s="190"/>
      <c r="N43" s="191"/>
      <c r="O43" s="190"/>
      <c r="P43" s="191"/>
      <c r="Q43" s="190"/>
      <c r="R43" s="191"/>
      <c r="S43" s="190"/>
      <c r="T43" s="191"/>
      <c r="U43" s="190"/>
      <c r="V43" s="191"/>
      <c r="W43" s="190"/>
      <c r="X43" s="191"/>
      <c r="Y43" s="190"/>
      <c r="Z43" s="191"/>
      <c r="AA43" s="190"/>
      <c r="AB43" s="191"/>
      <c r="AC43" s="190"/>
      <c r="AD43" s="191"/>
      <c r="AE43" s="190"/>
      <c r="AF43" s="191"/>
      <c r="AG43" s="190"/>
      <c r="AH43" s="191"/>
      <c r="AI43" s="190"/>
      <c r="AJ43" s="191"/>
      <c r="AK43" s="190"/>
      <c r="AL43" s="191"/>
      <c r="AM43" s="190"/>
      <c r="AN43" s="191"/>
      <c r="AO43" s="190"/>
      <c r="AP43" s="191"/>
      <c r="AQ43" s="190"/>
      <c r="AR43" s="191"/>
      <c r="AS43" s="190"/>
      <c r="AT43" s="191"/>
      <c r="AU43" s="190"/>
      <c r="AV43" s="191"/>
      <c r="AW43" s="190"/>
      <c r="AX43" s="191"/>
      <c r="AY43" s="190"/>
      <c r="AZ43" s="191"/>
      <c r="BA43" s="145" t="str">
        <f>IFERROR(INDEX($E$4:$AZ$4,SUMPRODUCT(MAX(COLUMN(Tbl_PDSAData[[#This Row],[D1]:[M24]])*(ListLookup!$G$3=Tbl_PDSAData[[#This Row],[D1]:[M24]]))-4)),"")</f>
        <v/>
      </c>
      <c r="BB43" s="145" t="str">
        <f>IFERROR(INDEX($E$4:$AZ$4,SUMPRODUCT(MAX(COLUMN(Tbl_PDSAData[[#This Row],[D1]:[M24]])*(ListLookup!$H$3=Tbl_PDSAData[[#This Row],[D1]:[M24]]))-4)),"")</f>
        <v/>
      </c>
    </row>
    <row r="44" spans="1:54" s="74" customFormat="1" x14ac:dyDescent="0.25">
      <c r="A44" s="189"/>
      <c r="B44" s="134" t="str">
        <f>IFERROR(INDEX(Tbl_ResidentData[Physician],MATCH(Tbl_PDSAData[[#This Row],[Resident Name (last, first)]],Tbl_ResidentData[Resident Name '[last, first']],0))&amp;"","")</f>
        <v/>
      </c>
      <c r="C44" s="135" t="str">
        <f>IFERROR(INDEX(Tbl_ResidentData[Diagnosis (RAI)],MATCH(Tbl_PDSAData[[#This Row],[Resident Name (last, first)]],Tbl_ResidentData[Resident Name '[last, first']],0))&amp;"","")</f>
        <v/>
      </c>
      <c r="D44" s="144" t="str">
        <f>IFERROR(INDEX(Tbl_ResidentData[Clinical Notes
'[free text']],MATCH(Tbl_PDSAData[[#This Row],[Resident Name (last, first)]],Tbl_ResidentData[Resident Name '[last, first']],0))&amp;"","")</f>
        <v/>
      </c>
      <c r="E44" s="190"/>
      <c r="F44" s="191"/>
      <c r="G44" s="190"/>
      <c r="H44" s="191"/>
      <c r="I44" s="190"/>
      <c r="J44" s="191"/>
      <c r="K44" s="190"/>
      <c r="L44" s="191"/>
      <c r="M44" s="190"/>
      <c r="N44" s="191"/>
      <c r="O44" s="190"/>
      <c r="P44" s="191"/>
      <c r="Q44" s="190"/>
      <c r="R44" s="191"/>
      <c r="S44" s="190"/>
      <c r="T44" s="191"/>
      <c r="U44" s="190"/>
      <c r="V44" s="191"/>
      <c r="W44" s="190"/>
      <c r="X44" s="191"/>
      <c r="Y44" s="190"/>
      <c r="Z44" s="191"/>
      <c r="AA44" s="190"/>
      <c r="AB44" s="191"/>
      <c r="AC44" s="190"/>
      <c r="AD44" s="191"/>
      <c r="AE44" s="190"/>
      <c r="AF44" s="191"/>
      <c r="AG44" s="190"/>
      <c r="AH44" s="191"/>
      <c r="AI44" s="190"/>
      <c r="AJ44" s="191"/>
      <c r="AK44" s="190"/>
      <c r="AL44" s="191"/>
      <c r="AM44" s="190"/>
      <c r="AN44" s="191"/>
      <c r="AO44" s="190"/>
      <c r="AP44" s="191"/>
      <c r="AQ44" s="190"/>
      <c r="AR44" s="191"/>
      <c r="AS44" s="190"/>
      <c r="AT44" s="191"/>
      <c r="AU44" s="190"/>
      <c r="AV44" s="191"/>
      <c r="AW44" s="190"/>
      <c r="AX44" s="191"/>
      <c r="AY44" s="190"/>
      <c r="AZ44" s="191"/>
      <c r="BA44" s="145" t="str">
        <f>IFERROR(INDEX($E$4:$AZ$4,SUMPRODUCT(MAX(COLUMN(Tbl_PDSAData[[#This Row],[D1]:[M24]])*(ListLookup!$G$3=Tbl_PDSAData[[#This Row],[D1]:[M24]]))-4)),"")</f>
        <v/>
      </c>
      <c r="BB44" s="145" t="str">
        <f>IFERROR(INDEX($E$4:$AZ$4,SUMPRODUCT(MAX(COLUMN(Tbl_PDSAData[[#This Row],[D1]:[M24]])*(ListLookup!$H$3=Tbl_PDSAData[[#This Row],[D1]:[M24]]))-4)),"")</f>
        <v/>
      </c>
    </row>
    <row r="45" spans="1:54" s="74" customFormat="1" x14ac:dyDescent="0.25">
      <c r="A45" s="189"/>
      <c r="B45" s="134" t="str">
        <f>IFERROR(INDEX(Tbl_ResidentData[Physician],MATCH(Tbl_PDSAData[[#This Row],[Resident Name (last, first)]],Tbl_ResidentData[Resident Name '[last, first']],0))&amp;"","")</f>
        <v/>
      </c>
      <c r="C45" s="135" t="str">
        <f>IFERROR(INDEX(Tbl_ResidentData[Diagnosis (RAI)],MATCH(Tbl_PDSAData[[#This Row],[Resident Name (last, first)]],Tbl_ResidentData[Resident Name '[last, first']],0))&amp;"","")</f>
        <v/>
      </c>
      <c r="D45" s="144" t="str">
        <f>IFERROR(INDEX(Tbl_ResidentData[Clinical Notes
'[free text']],MATCH(Tbl_PDSAData[[#This Row],[Resident Name (last, first)]],Tbl_ResidentData[Resident Name '[last, first']],0))&amp;"","")</f>
        <v/>
      </c>
      <c r="E45" s="190"/>
      <c r="F45" s="191"/>
      <c r="G45" s="190"/>
      <c r="H45" s="191"/>
      <c r="I45" s="190"/>
      <c r="J45" s="191"/>
      <c r="K45" s="190"/>
      <c r="L45" s="191"/>
      <c r="M45" s="190"/>
      <c r="N45" s="191"/>
      <c r="O45" s="190"/>
      <c r="P45" s="191"/>
      <c r="Q45" s="190"/>
      <c r="R45" s="191"/>
      <c r="S45" s="190"/>
      <c r="T45" s="191"/>
      <c r="U45" s="190"/>
      <c r="V45" s="191"/>
      <c r="W45" s="190"/>
      <c r="X45" s="191"/>
      <c r="Y45" s="190"/>
      <c r="Z45" s="191"/>
      <c r="AA45" s="190"/>
      <c r="AB45" s="191"/>
      <c r="AC45" s="190"/>
      <c r="AD45" s="191"/>
      <c r="AE45" s="190"/>
      <c r="AF45" s="191"/>
      <c r="AG45" s="190"/>
      <c r="AH45" s="191"/>
      <c r="AI45" s="190"/>
      <c r="AJ45" s="191"/>
      <c r="AK45" s="190"/>
      <c r="AL45" s="191"/>
      <c r="AM45" s="190"/>
      <c r="AN45" s="191"/>
      <c r="AO45" s="190"/>
      <c r="AP45" s="191"/>
      <c r="AQ45" s="190"/>
      <c r="AR45" s="191"/>
      <c r="AS45" s="190"/>
      <c r="AT45" s="191"/>
      <c r="AU45" s="190"/>
      <c r="AV45" s="191"/>
      <c r="AW45" s="190"/>
      <c r="AX45" s="191"/>
      <c r="AY45" s="190"/>
      <c r="AZ45" s="191"/>
      <c r="BA45" s="145" t="str">
        <f>IFERROR(INDEX($E$4:$AZ$4,SUMPRODUCT(MAX(COLUMN(Tbl_PDSAData[[#This Row],[D1]:[M24]])*(ListLookup!$G$3=Tbl_PDSAData[[#This Row],[D1]:[M24]]))-4)),"")</f>
        <v/>
      </c>
      <c r="BB45" s="145" t="str">
        <f>IFERROR(INDEX($E$4:$AZ$4,SUMPRODUCT(MAX(COLUMN(Tbl_PDSAData[[#This Row],[D1]:[M24]])*(ListLookup!$H$3=Tbl_PDSAData[[#This Row],[D1]:[M24]]))-4)),"")</f>
        <v/>
      </c>
    </row>
    <row r="46" spans="1:54" s="74" customFormat="1" x14ac:dyDescent="0.25">
      <c r="A46" s="189"/>
      <c r="B46" s="134" t="str">
        <f>IFERROR(INDEX(Tbl_ResidentData[Physician],MATCH(Tbl_PDSAData[[#This Row],[Resident Name (last, first)]],Tbl_ResidentData[Resident Name '[last, first']],0))&amp;"","")</f>
        <v/>
      </c>
      <c r="C46" s="135" t="str">
        <f>IFERROR(INDEX(Tbl_ResidentData[Diagnosis (RAI)],MATCH(Tbl_PDSAData[[#This Row],[Resident Name (last, first)]],Tbl_ResidentData[Resident Name '[last, first']],0))&amp;"","")</f>
        <v/>
      </c>
      <c r="D46" s="144" t="str">
        <f>IFERROR(INDEX(Tbl_ResidentData[Clinical Notes
'[free text']],MATCH(Tbl_PDSAData[[#This Row],[Resident Name (last, first)]],Tbl_ResidentData[Resident Name '[last, first']],0))&amp;"","")</f>
        <v/>
      </c>
      <c r="E46" s="190"/>
      <c r="F46" s="191"/>
      <c r="G46" s="190"/>
      <c r="H46" s="191"/>
      <c r="I46" s="190"/>
      <c r="J46" s="191"/>
      <c r="K46" s="190"/>
      <c r="L46" s="191"/>
      <c r="M46" s="190"/>
      <c r="N46" s="191"/>
      <c r="O46" s="190"/>
      <c r="P46" s="191"/>
      <c r="Q46" s="190"/>
      <c r="R46" s="191"/>
      <c r="S46" s="190"/>
      <c r="T46" s="191"/>
      <c r="U46" s="190"/>
      <c r="V46" s="191"/>
      <c r="W46" s="190"/>
      <c r="X46" s="191"/>
      <c r="Y46" s="190"/>
      <c r="Z46" s="191"/>
      <c r="AA46" s="190"/>
      <c r="AB46" s="191"/>
      <c r="AC46" s="190"/>
      <c r="AD46" s="191"/>
      <c r="AE46" s="190"/>
      <c r="AF46" s="191"/>
      <c r="AG46" s="190"/>
      <c r="AH46" s="191"/>
      <c r="AI46" s="190"/>
      <c r="AJ46" s="191"/>
      <c r="AK46" s="190"/>
      <c r="AL46" s="191"/>
      <c r="AM46" s="190"/>
      <c r="AN46" s="191"/>
      <c r="AO46" s="190"/>
      <c r="AP46" s="191"/>
      <c r="AQ46" s="190"/>
      <c r="AR46" s="191"/>
      <c r="AS46" s="190"/>
      <c r="AT46" s="191"/>
      <c r="AU46" s="190"/>
      <c r="AV46" s="191"/>
      <c r="AW46" s="190"/>
      <c r="AX46" s="191"/>
      <c r="AY46" s="190"/>
      <c r="AZ46" s="191"/>
      <c r="BA46" s="145" t="str">
        <f>IFERROR(INDEX($E$4:$AZ$4,SUMPRODUCT(MAX(COLUMN(Tbl_PDSAData[[#This Row],[D1]:[M24]])*(ListLookup!$G$3=Tbl_PDSAData[[#This Row],[D1]:[M24]]))-4)),"")</f>
        <v/>
      </c>
      <c r="BB46" s="145" t="str">
        <f>IFERROR(INDEX($E$4:$AZ$4,SUMPRODUCT(MAX(COLUMN(Tbl_PDSAData[[#This Row],[D1]:[M24]])*(ListLookup!$H$3=Tbl_PDSAData[[#This Row],[D1]:[M24]]))-4)),"")</f>
        <v/>
      </c>
    </row>
    <row r="47" spans="1:54" s="74" customFormat="1" x14ac:dyDescent="0.25">
      <c r="A47" s="189"/>
      <c r="B47" s="134" t="str">
        <f>IFERROR(INDEX(Tbl_ResidentData[Physician],MATCH(Tbl_PDSAData[[#This Row],[Resident Name (last, first)]],Tbl_ResidentData[Resident Name '[last, first']],0))&amp;"","")</f>
        <v/>
      </c>
      <c r="C47" s="135" t="str">
        <f>IFERROR(INDEX(Tbl_ResidentData[Diagnosis (RAI)],MATCH(Tbl_PDSAData[[#This Row],[Resident Name (last, first)]],Tbl_ResidentData[Resident Name '[last, first']],0))&amp;"","")</f>
        <v/>
      </c>
      <c r="D47" s="144" t="str">
        <f>IFERROR(INDEX(Tbl_ResidentData[Clinical Notes
'[free text']],MATCH(Tbl_PDSAData[[#This Row],[Resident Name (last, first)]],Tbl_ResidentData[Resident Name '[last, first']],0))&amp;"","")</f>
        <v/>
      </c>
      <c r="E47" s="190"/>
      <c r="F47" s="191"/>
      <c r="G47" s="190"/>
      <c r="H47" s="191"/>
      <c r="I47" s="190"/>
      <c r="J47" s="191"/>
      <c r="K47" s="190"/>
      <c r="L47" s="191"/>
      <c r="M47" s="190"/>
      <c r="N47" s="191"/>
      <c r="O47" s="190"/>
      <c r="P47" s="191"/>
      <c r="Q47" s="190"/>
      <c r="R47" s="191"/>
      <c r="S47" s="190"/>
      <c r="T47" s="191"/>
      <c r="U47" s="190"/>
      <c r="V47" s="191"/>
      <c r="W47" s="190"/>
      <c r="X47" s="191"/>
      <c r="Y47" s="190"/>
      <c r="Z47" s="191"/>
      <c r="AA47" s="190"/>
      <c r="AB47" s="191"/>
      <c r="AC47" s="190"/>
      <c r="AD47" s="191"/>
      <c r="AE47" s="190"/>
      <c r="AF47" s="191"/>
      <c r="AG47" s="190"/>
      <c r="AH47" s="191"/>
      <c r="AI47" s="190"/>
      <c r="AJ47" s="191"/>
      <c r="AK47" s="190"/>
      <c r="AL47" s="191"/>
      <c r="AM47" s="190"/>
      <c r="AN47" s="191"/>
      <c r="AO47" s="190"/>
      <c r="AP47" s="191"/>
      <c r="AQ47" s="190"/>
      <c r="AR47" s="191"/>
      <c r="AS47" s="190"/>
      <c r="AT47" s="191"/>
      <c r="AU47" s="190"/>
      <c r="AV47" s="191"/>
      <c r="AW47" s="190"/>
      <c r="AX47" s="191"/>
      <c r="AY47" s="190"/>
      <c r="AZ47" s="191"/>
      <c r="BA47" s="145" t="str">
        <f>IFERROR(INDEX($E$4:$AZ$4,SUMPRODUCT(MAX(COLUMN(Tbl_PDSAData[[#This Row],[D1]:[M24]])*(ListLookup!$G$3=Tbl_PDSAData[[#This Row],[D1]:[M24]]))-4)),"")</f>
        <v/>
      </c>
      <c r="BB47" s="145" t="str">
        <f>IFERROR(INDEX($E$4:$AZ$4,SUMPRODUCT(MAX(COLUMN(Tbl_PDSAData[[#This Row],[D1]:[M24]])*(ListLookup!$H$3=Tbl_PDSAData[[#This Row],[D1]:[M24]]))-4)),"")</f>
        <v/>
      </c>
    </row>
    <row r="48" spans="1:54" s="74" customFormat="1" x14ac:dyDescent="0.25">
      <c r="A48" s="189"/>
      <c r="B48" s="134" t="str">
        <f>IFERROR(INDEX(Tbl_ResidentData[Physician],MATCH(Tbl_PDSAData[[#This Row],[Resident Name (last, first)]],Tbl_ResidentData[Resident Name '[last, first']],0))&amp;"","")</f>
        <v/>
      </c>
      <c r="C48" s="135" t="str">
        <f>IFERROR(INDEX(Tbl_ResidentData[Diagnosis (RAI)],MATCH(Tbl_PDSAData[[#This Row],[Resident Name (last, first)]],Tbl_ResidentData[Resident Name '[last, first']],0))&amp;"","")</f>
        <v/>
      </c>
      <c r="D48" s="144" t="str">
        <f>IFERROR(INDEX(Tbl_ResidentData[Clinical Notes
'[free text']],MATCH(Tbl_PDSAData[[#This Row],[Resident Name (last, first)]],Tbl_ResidentData[Resident Name '[last, first']],0))&amp;"","")</f>
        <v/>
      </c>
      <c r="E48" s="190"/>
      <c r="F48" s="191"/>
      <c r="G48" s="190"/>
      <c r="H48" s="191"/>
      <c r="I48" s="190"/>
      <c r="J48" s="191"/>
      <c r="K48" s="190"/>
      <c r="L48" s="191"/>
      <c r="M48" s="190"/>
      <c r="N48" s="191"/>
      <c r="O48" s="190"/>
      <c r="P48" s="191"/>
      <c r="Q48" s="190"/>
      <c r="R48" s="191"/>
      <c r="S48" s="190"/>
      <c r="T48" s="191"/>
      <c r="U48" s="190"/>
      <c r="V48" s="191"/>
      <c r="W48" s="190"/>
      <c r="X48" s="191"/>
      <c r="Y48" s="190"/>
      <c r="Z48" s="191"/>
      <c r="AA48" s="190"/>
      <c r="AB48" s="191"/>
      <c r="AC48" s="190"/>
      <c r="AD48" s="191"/>
      <c r="AE48" s="190"/>
      <c r="AF48" s="191"/>
      <c r="AG48" s="190"/>
      <c r="AH48" s="191"/>
      <c r="AI48" s="190"/>
      <c r="AJ48" s="191"/>
      <c r="AK48" s="190"/>
      <c r="AL48" s="191"/>
      <c r="AM48" s="190"/>
      <c r="AN48" s="191"/>
      <c r="AO48" s="190"/>
      <c r="AP48" s="191"/>
      <c r="AQ48" s="190"/>
      <c r="AR48" s="191"/>
      <c r="AS48" s="190"/>
      <c r="AT48" s="191"/>
      <c r="AU48" s="190"/>
      <c r="AV48" s="191"/>
      <c r="AW48" s="190"/>
      <c r="AX48" s="191"/>
      <c r="AY48" s="190"/>
      <c r="AZ48" s="191"/>
      <c r="BA48" s="145" t="str">
        <f>IFERROR(INDEX($E$4:$AZ$4,SUMPRODUCT(MAX(COLUMN(Tbl_PDSAData[[#This Row],[D1]:[M24]])*(ListLookup!$G$3=Tbl_PDSAData[[#This Row],[D1]:[M24]]))-4)),"")</f>
        <v/>
      </c>
      <c r="BB48" s="145" t="str">
        <f>IFERROR(INDEX($E$4:$AZ$4,SUMPRODUCT(MAX(COLUMN(Tbl_PDSAData[[#This Row],[D1]:[M24]])*(ListLookup!$H$3=Tbl_PDSAData[[#This Row],[D1]:[M24]]))-4)),"")</f>
        <v/>
      </c>
    </row>
    <row r="49" spans="1:54" s="74" customFormat="1" x14ac:dyDescent="0.25">
      <c r="A49" s="189"/>
      <c r="B49" s="134" t="str">
        <f>IFERROR(INDEX(Tbl_ResidentData[Physician],MATCH(Tbl_PDSAData[[#This Row],[Resident Name (last, first)]],Tbl_ResidentData[Resident Name '[last, first']],0))&amp;"","")</f>
        <v/>
      </c>
      <c r="C49" s="135" t="str">
        <f>IFERROR(INDEX(Tbl_ResidentData[Diagnosis (RAI)],MATCH(Tbl_PDSAData[[#This Row],[Resident Name (last, first)]],Tbl_ResidentData[Resident Name '[last, first']],0))&amp;"","")</f>
        <v/>
      </c>
      <c r="D49" s="144" t="str">
        <f>IFERROR(INDEX(Tbl_ResidentData[Clinical Notes
'[free text']],MATCH(Tbl_PDSAData[[#This Row],[Resident Name (last, first)]],Tbl_ResidentData[Resident Name '[last, first']],0))&amp;"","")</f>
        <v/>
      </c>
      <c r="E49" s="190"/>
      <c r="F49" s="191"/>
      <c r="G49" s="190"/>
      <c r="H49" s="191"/>
      <c r="I49" s="190"/>
      <c r="J49" s="191"/>
      <c r="K49" s="190"/>
      <c r="L49" s="191"/>
      <c r="M49" s="190"/>
      <c r="N49" s="191"/>
      <c r="O49" s="190"/>
      <c r="P49" s="191"/>
      <c r="Q49" s="190"/>
      <c r="R49" s="191"/>
      <c r="S49" s="190"/>
      <c r="T49" s="191"/>
      <c r="U49" s="190"/>
      <c r="V49" s="191"/>
      <c r="W49" s="190"/>
      <c r="X49" s="191"/>
      <c r="Y49" s="190"/>
      <c r="Z49" s="191"/>
      <c r="AA49" s="190"/>
      <c r="AB49" s="191"/>
      <c r="AC49" s="190"/>
      <c r="AD49" s="191"/>
      <c r="AE49" s="190"/>
      <c r="AF49" s="191"/>
      <c r="AG49" s="190"/>
      <c r="AH49" s="191"/>
      <c r="AI49" s="190"/>
      <c r="AJ49" s="191"/>
      <c r="AK49" s="190"/>
      <c r="AL49" s="191"/>
      <c r="AM49" s="190"/>
      <c r="AN49" s="191"/>
      <c r="AO49" s="190"/>
      <c r="AP49" s="191"/>
      <c r="AQ49" s="190"/>
      <c r="AR49" s="191"/>
      <c r="AS49" s="190"/>
      <c r="AT49" s="191"/>
      <c r="AU49" s="190"/>
      <c r="AV49" s="191"/>
      <c r="AW49" s="190"/>
      <c r="AX49" s="191"/>
      <c r="AY49" s="190"/>
      <c r="AZ49" s="191"/>
      <c r="BA49" s="145" t="str">
        <f>IFERROR(INDEX($E$4:$AZ$4,SUMPRODUCT(MAX(COLUMN(Tbl_PDSAData[[#This Row],[D1]:[M24]])*(ListLookup!$G$3=Tbl_PDSAData[[#This Row],[D1]:[M24]]))-4)),"")</f>
        <v/>
      </c>
      <c r="BB49" s="145" t="str">
        <f>IFERROR(INDEX($E$4:$AZ$4,SUMPRODUCT(MAX(COLUMN(Tbl_PDSAData[[#This Row],[D1]:[M24]])*(ListLookup!$H$3=Tbl_PDSAData[[#This Row],[D1]:[M24]]))-4)),"")</f>
        <v/>
      </c>
    </row>
    <row r="50" spans="1:54" s="74" customFormat="1" x14ac:dyDescent="0.25">
      <c r="A50" s="189"/>
      <c r="B50" s="134" t="str">
        <f>IFERROR(INDEX(Tbl_ResidentData[Physician],MATCH(Tbl_PDSAData[[#This Row],[Resident Name (last, first)]],Tbl_ResidentData[Resident Name '[last, first']],0))&amp;"","")</f>
        <v/>
      </c>
      <c r="C50" s="135" t="str">
        <f>IFERROR(INDEX(Tbl_ResidentData[Diagnosis (RAI)],MATCH(Tbl_PDSAData[[#This Row],[Resident Name (last, first)]],Tbl_ResidentData[Resident Name '[last, first']],0))&amp;"","")</f>
        <v/>
      </c>
      <c r="D50" s="144" t="str">
        <f>IFERROR(INDEX(Tbl_ResidentData[Clinical Notes
'[free text']],MATCH(Tbl_PDSAData[[#This Row],[Resident Name (last, first)]],Tbl_ResidentData[Resident Name '[last, first']],0))&amp;"","")</f>
        <v/>
      </c>
      <c r="E50" s="190"/>
      <c r="F50" s="191"/>
      <c r="G50" s="190"/>
      <c r="H50" s="191"/>
      <c r="I50" s="190"/>
      <c r="J50" s="191"/>
      <c r="K50" s="190"/>
      <c r="L50" s="191"/>
      <c r="M50" s="190"/>
      <c r="N50" s="191"/>
      <c r="O50" s="190"/>
      <c r="P50" s="191"/>
      <c r="Q50" s="190"/>
      <c r="R50" s="191"/>
      <c r="S50" s="190"/>
      <c r="T50" s="191"/>
      <c r="U50" s="190"/>
      <c r="V50" s="191"/>
      <c r="W50" s="190"/>
      <c r="X50" s="191"/>
      <c r="Y50" s="190"/>
      <c r="Z50" s="191"/>
      <c r="AA50" s="190"/>
      <c r="AB50" s="191"/>
      <c r="AC50" s="190"/>
      <c r="AD50" s="191"/>
      <c r="AE50" s="190"/>
      <c r="AF50" s="191"/>
      <c r="AG50" s="190"/>
      <c r="AH50" s="191"/>
      <c r="AI50" s="190"/>
      <c r="AJ50" s="191"/>
      <c r="AK50" s="190"/>
      <c r="AL50" s="191"/>
      <c r="AM50" s="190"/>
      <c r="AN50" s="191"/>
      <c r="AO50" s="190"/>
      <c r="AP50" s="191"/>
      <c r="AQ50" s="190"/>
      <c r="AR50" s="191"/>
      <c r="AS50" s="190"/>
      <c r="AT50" s="191"/>
      <c r="AU50" s="190"/>
      <c r="AV50" s="191"/>
      <c r="AW50" s="190"/>
      <c r="AX50" s="191"/>
      <c r="AY50" s="190"/>
      <c r="AZ50" s="191"/>
      <c r="BA50" s="145" t="str">
        <f>IFERROR(INDEX($E$4:$AZ$4,SUMPRODUCT(MAX(COLUMN(Tbl_PDSAData[[#This Row],[D1]:[M24]])*(ListLookup!$G$3=Tbl_PDSAData[[#This Row],[D1]:[M24]]))-4)),"")</f>
        <v/>
      </c>
      <c r="BB50" s="145" t="str">
        <f>IFERROR(INDEX($E$4:$AZ$4,SUMPRODUCT(MAX(COLUMN(Tbl_PDSAData[[#This Row],[D1]:[M24]])*(ListLookup!$H$3=Tbl_PDSAData[[#This Row],[D1]:[M24]]))-4)),"")</f>
        <v/>
      </c>
    </row>
    <row r="51" spans="1:54" s="74" customFormat="1" x14ac:dyDescent="0.25">
      <c r="A51" s="189"/>
      <c r="B51" s="134" t="str">
        <f>IFERROR(INDEX(Tbl_ResidentData[Physician],MATCH(Tbl_PDSAData[[#This Row],[Resident Name (last, first)]],Tbl_ResidentData[Resident Name '[last, first']],0))&amp;"","")</f>
        <v/>
      </c>
      <c r="C51" s="135" t="str">
        <f>IFERROR(INDEX(Tbl_ResidentData[Diagnosis (RAI)],MATCH(Tbl_PDSAData[[#This Row],[Resident Name (last, first)]],Tbl_ResidentData[Resident Name '[last, first']],0))&amp;"","")</f>
        <v/>
      </c>
      <c r="D51" s="144" t="str">
        <f>IFERROR(INDEX(Tbl_ResidentData[Clinical Notes
'[free text']],MATCH(Tbl_PDSAData[[#This Row],[Resident Name (last, first)]],Tbl_ResidentData[Resident Name '[last, first']],0))&amp;"","")</f>
        <v/>
      </c>
      <c r="E51" s="190"/>
      <c r="F51" s="191"/>
      <c r="G51" s="190"/>
      <c r="H51" s="191"/>
      <c r="I51" s="190"/>
      <c r="J51" s="191"/>
      <c r="K51" s="190"/>
      <c r="L51" s="191"/>
      <c r="M51" s="190"/>
      <c r="N51" s="191"/>
      <c r="O51" s="190"/>
      <c r="P51" s="191"/>
      <c r="Q51" s="190"/>
      <c r="R51" s="191"/>
      <c r="S51" s="190"/>
      <c r="T51" s="191"/>
      <c r="U51" s="190"/>
      <c r="V51" s="191"/>
      <c r="W51" s="190"/>
      <c r="X51" s="191"/>
      <c r="Y51" s="190"/>
      <c r="Z51" s="191"/>
      <c r="AA51" s="190"/>
      <c r="AB51" s="191"/>
      <c r="AC51" s="190"/>
      <c r="AD51" s="191"/>
      <c r="AE51" s="190"/>
      <c r="AF51" s="191"/>
      <c r="AG51" s="190"/>
      <c r="AH51" s="191"/>
      <c r="AI51" s="190"/>
      <c r="AJ51" s="191"/>
      <c r="AK51" s="190"/>
      <c r="AL51" s="191"/>
      <c r="AM51" s="190"/>
      <c r="AN51" s="191"/>
      <c r="AO51" s="190"/>
      <c r="AP51" s="191"/>
      <c r="AQ51" s="190"/>
      <c r="AR51" s="191"/>
      <c r="AS51" s="190"/>
      <c r="AT51" s="191"/>
      <c r="AU51" s="190"/>
      <c r="AV51" s="191"/>
      <c r="AW51" s="190"/>
      <c r="AX51" s="191"/>
      <c r="AY51" s="190"/>
      <c r="AZ51" s="191"/>
      <c r="BA51" s="145" t="str">
        <f>IFERROR(INDEX($E$4:$AZ$4,SUMPRODUCT(MAX(COLUMN(Tbl_PDSAData[[#This Row],[D1]:[M24]])*(ListLookup!$G$3=Tbl_PDSAData[[#This Row],[D1]:[M24]]))-4)),"")</f>
        <v/>
      </c>
      <c r="BB51" s="145" t="str">
        <f>IFERROR(INDEX($E$4:$AZ$4,SUMPRODUCT(MAX(COLUMN(Tbl_PDSAData[[#This Row],[D1]:[M24]])*(ListLookup!$H$3=Tbl_PDSAData[[#This Row],[D1]:[M24]]))-4)),"")</f>
        <v/>
      </c>
    </row>
    <row r="52" spans="1:54" s="74" customFormat="1" x14ac:dyDescent="0.25">
      <c r="A52" s="189"/>
      <c r="B52" s="134" t="str">
        <f>IFERROR(INDEX(Tbl_ResidentData[Physician],MATCH(Tbl_PDSAData[[#This Row],[Resident Name (last, first)]],Tbl_ResidentData[Resident Name '[last, first']],0))&amp;"","")</f>
        <v/>
      </c>
      <c r="C52" s="135" t="str">
        <f>IFERROR(INDEX(Tbl_ResidentData[Diagnosis (RAI)],MATCH(Tbl_PDSAData[[#This Row],[Resident Name (last, first)]],Tbl_ResidentData[Resident Name '[last, first']],0))&amp;"","")</f>
        <v/>
      </c>
      <c r="D52" s="144" t="str">
        <f>IFERROR(INDEX(Tbl_ResidentData[Clinical Notes
'[free text']],MATCH(Tbl_PDSAData[[#This Row],[Resident Name (last, first)]],Tbl_ResidentData[Resident Name '[last, first']],0))&amp;"","")</f>
        <v/>
      </c>
      <c r="E52" s="190"/>
      <c r="F52" s="191"/>
      <c r="G52" s="190"/>
      <c r="H52" s="191"/>
      <c r="I52" s="190"/>
      <c r="J52" s="191"/>
      <c r="K52" s="190"/>
      <c r="L52" s="191"/>
      <c r="M52" s="190"/>
      <c r="N52" s="191"/>
      <c r="O52" s="190"/>
      <c r="P52" s="191"/>
      <c r="Q52" s="190"/>
      <c r="R52" s="191"/>
      <c r="S52" s="190"/>
      <c r="T52" s="191"/>
      <c r="U52" s="190"/>
      <c r="V52" s="191"/>
      <c r="W52" s="190"/>
      <c r="X52" s="191"/>
      <c r="Y52" s="190"/>
      <c r="Z52" s="191"/>
      <c r="AA52" s="190"/>
      <c r="AB52" s="191"/>
      <c r="AC52" s="190"/>
      <c r="AD52" s="191"/>
      <c r="AE52" s="190"/>
      <c r="AF52" s="191"/>
      <c r="AG52" s="190"/>
      <c r="AH52" s="191"/>
      <c r="AI52" s="190"/>
      <c r="AJ52" s="191"/>
      <c r="AK52" s="190"/>
      <c r="AL52" s="191"/>
      <c r="AM52" s="190"/>
      <c r="AN52" s="191"/>
      <c r="AO52" s="190"/>
      <c r="AP52" s="191"/>
      <c r="AQ52" s="190"/>
      <c r="AR52" s="191"/>
      <c r="AS52" s="190"/>
      <c r="AT52" s="191"/>
      <c r="AU52" s="190"/>
      <c r="AV52" s="191"/>
      <c r="AW52" s="190"/>
      <c r="AX52" s="191"/>
      <c r="AY52" s="190"/>
      <c r="AZ52" s="191"/>
      <c r="BA52" s="145" t="str">
        <f>IFERROR(INDEX($E$4:$AZ$4,SUMPRODUCT(MAX(COLUMN(Tbl_PDSAData[[#This Row],[D1]:[M24]])*(ListLookup!$G$3=Tbl_PDSAData[[#This Row],[D1]:[M24]]))-4)),"")</f>
        <v/>
      </c>
      <c r="BB52" s="145" t="str">
        <f>IFERROR(INDEX($E$4:$AZ$4,SUMPRODUCT(MAX(COLUMN(Tbl_PDSAData[[#This Row],[D1]:[M24]])*(ListLookup!$H$3=Tbl_PDSAData[[#This Row],[D1]:[M24]]))-4)),"")</f>
        <v/>
      </c>
    </row>
    <row r="53" spans="1:54" s="74" customFormat="1" x14ac:dyDescent="0.25">
      <c r="A53" s="189"/>
      <c r="B53" s="134" t="str">
        <f>IFERROR(INDEX(Tbl_ResidentData[Physician],MATCH(Tbl_PDSAData[[#This Row],[Resident Name (last, first)]],Tbl_ResidentData[Resident Name '[last, first']],0))&amp;"","")</f>
        <v/>
      </c>
      <c r="C53" s="135" t="str">
        <f>IFERROR(INDEX(Tbl_ResidentData[Diagnosis (RAI)],MATCH(Tbl_PDSAData[[#This Row],[Resident Name (last, first)]],Tbl_ResidentData[Resident Name '[last, first']],0))&amp;"","")</f>
        <v/>
      </c>
      <c r="D53" s="144" t="str">
        <f>IFERROR(INDEX(Tbl_ResidentData[Clinical Notes
'[free text']],MATCH(Tbl_PDSAData[[#This Row],[Resident Name (last, first)]],Tbl_ResidentData[Resident Name '[last, first']],0))&amp;"","")</f>
        <v/>
      </c>
      <c r="E53" s="190"/>
      <c r="F53" s="191"/>
      <c r="G53" s="190"/>
      <c r="H53" s="191"/>
      <c r="I53" s="190"/>
      <c r="J53" s="191"/>
      <c r="K53" s="190"/>
      <c r="L53" s="191"/>
      <c r="M53" s="190"/>
      <c r="N53" s="191"/>
      <c r="O53" s="190"/>
      <c r="P53" s="191"/>
      <c r="Q53" s="190"/>
      <c r="R53" s="191"/>
      <c r="S53" s="190"/>
      <c r="T53" s="191"/>
      <c r="U53" s="190"/>
      <c r="V53" s="191"/>
      <c r="W53" s="190"/>
      <c r="X53" s="191"/>
      <c r="Y53" s="190"/>
      <c r="Z53" s="191"/>
      <c r="AA53" s="190"/>
      <c r="AB53" s="191"/>
      <c r="AC53" s="190"/>
      <c r="AD53" s="191"/>
      <c r="AE53" s="190"/>
      <c r="AF53" s="191"/>
      <c r="AG53" s="190"/>
      <c r="AH53" s="191"/>
      <c r="AI53" s="190"/>
      <c r="AJ53" s="191"/>
      <c r="AK53" s="190"/>
      <c r="AL53" s="191"/>
      <c r="AM53" s="190"/>
      <c r="AN53" s="191"/>
      <c r="AO53" s="190"/>
      <c r="AP53" s="191"/>
      <c r="AQ53" s="190"/>
      <c r="AR53" s="191"/>
      <c r="AS53" s="190"/>
      <c r="AT53" s="191"/>
      <c r="AU53" s="190"/>
      <c r="AV53" s="191"/>
      <c r="AW53" s="190"/>
      <c r="AX53" s="191"/>
      <c r="AY53" s="190"/>
      <c r="AZ53" s="191"/>
      <c r="BA53" s="145" t="str">
        <f>IFERROR(INDEX($E$4:$AZ$4,SUMPRODUCT(MAX(COLUMN(Tbl_PDSAData[[#This Row],[D1]:[M24]])*(ListLookup!$G$3=Tbl_PDSAData[[#This Row],[D1]:[M24]]))-4)),"")</f>
        <v/>
      </c>
      <c r="BB53" s="145" t="str">
        <f>IFERROR(INDEX($E$4:$AZ$4,SUMPRODUCT(MAX(COLUMN(Tbl_PDSAData[[#This Row],[D1]:[M24]])*(ListLookup!$H$3=Tbl_PDSAData[[#This Row],[D1]:[M24]]))-4)),"")</f>
        <v/>
      </c>
    </row>
    <row r="54" spans="1:54" s="74" customFormat="1" x14ac:dyDescent="0.25">
      <c r="A54" s="189"/>
      <c r="B54" s="134" t="str">
        <f>IFERROR(INDEX(Tbl_ResidentData[Physician],MATCH(Tbl_PDSAData[[#This Row],[Resident Name (last, first)]],Tbl_ResidentData[Resident Name '[last, first']],0))&amp;"","")</f>
        <v/>
      </c>
      <c r="C54" s="135" t="str">
        <f>IFERROR(INDEX(Tbl_ResidentData[Diagnosis (RAI)],MATCH(Tbl_PDSAData[[#This Row],[Resident Name (last, first)]],Tbl_ResidentData[Resident Name '[last, first']],0))&amp;"","")</f>
        <v/>
      </c>
      <c r="D54" s="144" t="str">
        <f>IFERROR(INDEX(Tbl_ResidentData[Clinical Notes
'[free text']],MATCH(Tbl_PDSAData[[#This Row],[Resident Name (last, first)]],Tbl_ResidentData[Resident Name '[last, first']],0))&amp;"","")</f>
        <v/>
      </c>
      <c r="E54" s="190"/>
      <c r="F54" s="191"/>
      <c r="G54" s="190"/>
      <c r="H54" s="191"/>
      <c r="I54" s="190"/>
      <c r="J54" s="191"/>
      <c r="K54" s="190"/>
      <c r="L54" s="191"/>
      <c r="M54" s="190"/>
      <c r="N54" s="191"/>
      <c r="O54" s="190"/>
      <c r="P54" s="191"/>
      <c r="Q54" s="190"/>
      <c r="R54" s="191"/>
      <c r="S54" s="190"/>
      <c r="T54" s="191"/>
      <c r="U54" s="190"/>
      <c r="V54" s="191"/>
      <c r="W54" s="190"/>
      <c r="X54" s="191"/>
      <c r="Y54" s="190"/>
      <c r="Z54" s="191"/>
      <c r="AA54" s="190"/>
      <c r="AB54" s="191"/>
      <c r="AC54" s="190"/>
      <c r="AD54" s="191"/>
      <c r="AE54" s="190"/>
      <c r="AF54" s="191"/>
      <c r="AG54" s="190"/>
      <c r="AH54" s="191"/>
      <c r="AI54" s="190"/>
      <c r="AJ54" s="191"/>
      <c r="AK54" s="190"/>
      <c r="AL54" s="191"/>
      <c r="AM54" s="190"/>
      <c r="AN54" s="191"/>
      <c r="AO54" s="190"/>
      <c r="AP54" s="191"/>
      <c r="AQ54" s="190"/>
      <c r="AR54" s="191"/>
      <c r="AS54" s="190"/>
      <c r="AT54" s="191"/>
      <c r="AU54" s="190"/>
      <c r="AV54" s="191"/>
      <c r="AW54" s="190"/>
      <c r="AX54" s="191"/>
      <c r="AY54" s="190"/>
      <c r="AZ54" s="191"/>
      <c r="BA54" s="145" t="str">
        <f>IFERROR(INDEX($E$4:$AZ$4,SUMPRODUCT(MAX(COLUMN(Tbl_PDSAData[[#This Row],[D1]:[M24]])*(ListLookup!$G$3=Tbl_PDSAData[[#This Row],[D1]:[M24]]))-4)),"")</f>
        <v/>
      </c>
      <c r="BB54" s="145" t="str">
        <f>IFERROR(INDEX($E$4:$AZ$4,SUMPRODUCT(MAX(COLUMN(Tbl_PDSAData[[#This Row],[D1]:[M24]])*(ListLookup!$H$3=Tbl_PDSAData[[#This Row],[D1]:[M24]]))-4)),"")</f>
        <v/>
      </c>
    </row>
    <row r="55" spans="1:54" s="74" customFormat="1" x14ac:dyDescent="0.25">
      <c r="A55" s="189"/>
      <c r="B55" s="134" t="str">
        <f>IFERROR(INDEX(Tbl_ResidentData[Physician],MATCH(Tbl_PDSAData[[#This Row],[Resident Name (last, first)]],Tbl_ResidentData[Resident Name '[last, first']],0))&amp;"","")</f>
        <v/>
      </c>
      <c r="C55" s="135" t="str">
        <f>IFERROR(INDEX(Tbl_ResidentData[Diagnosis (RAI)],MATCH(Tbl_PDSAData[[#This Row],[Resident Name (last, first)]],Tbl_ResidentData[Resident Name '[last, first']],0))&amp;"","")</f>
        <v/>
      </c>
      <c r="D55" s="144" t="str">
        <f>IFERROR(INDEX(Tbl_ResidentData[Clinical Notes
'[free text']],MATCH(Tbl_PDSAData[[#This Row],[Resident Name (last, first)]],Tbl_ResidentData[Resident Name '[last, first']],0))&amp;"","")</f>
        <v/>
      </c>
      <c r="E55" s="190"/>
      <c r="F55" s="191"/>
      <c r="G55" s="190"/>
      <c r="H55" s="191"/>
      <c r="I55" s="190"/>
      <c r="J55" s="191"/>
      <c r="K55" s="190"/>
      <c r="L55" s="191"/>
      <c r="M55" s="190"/>
      <c r="N55" s="191"/>
      <c r="O55" s="190"/>
      <c r="P55" s="191"/>
      <c r="Q55" s="190"/>
      <c r="R55" s="191"/>
      <c r="S55" s="190"/>
      <c r="T55" s="191"/>
      <c r="U55" s="190"/>
      <c r="V55" s="191"/>
      <c r="W55" s="190"/>
      <c r="X55" s="191"/>
      <c r="Y55" s="190"/>
      <c r="Z55" s="191"/>
      <c r="AA55" s="190"/>
      <c r="AB55" s="191"/>
      <c r="AC55" s="190"/>
      <c r="AD55" s="191"/>
      <c r="AE55" s="190"/>
      <c r="AF55" s="191"/>
      <c r="AG55" s="190"/>
      <c r="AH55" s="191"/>
      <c r="AI55" s="190"/>
      <c r="AJ55" s="191"/>
      <c r="AK55" s="190"/>
      <c r="AL55" s="191"/>
      <c r="AM55" s="190"/>
      <c r="AN55" s="191"/>
      <c r="AO55" s="190"/>
      <c r="AP55" s="191"/>
      <c r="AQ55" s="190"/>
      <c r="AR55" s="191"/>
      <c r="AS55" s="190"/>
      <c r="AT55" s="191"/>
      <c r="AU55" s="190"/>
      <c r="AV55" s="191"/>
      <c r="AW55" s="190"/>
      <c r="AX55" s="191"/>
      <c r="AY55" s="190"/>
      <c r="AZ55" s="191"/>
      <c r="BA55" s="145" t="str">
        <f>IFERROR(INDEX($E$4:$AZ$4,SUMPRODUCT(MAX(COLUMN(Tbl_PDSAData[[#This Row],[D1]:[M24]])*(ListLookup!$G$3=Tbl_PDSAData[[#This Row],[D1]:[M24]]))-4)),"")</f>
        <v/>
      </c>
      <c r="BB55" s="145" t="str">
        <f>IFERROR(INDEX($E$4:$AZ$4,SUMPRODUCT(MAX(COLUMN(Tbl_PDSAData[[#This Row],[D1]:[M24]])*(ListLookup!$H$3=Tbl_PDSAData[[#This Row],[D1]:[M24]]))-4)),"")</f>
        <v/>
      </c>
    </row>
    <row r="56" spans="1:54" s="74" customFormat="1" x14ac:dyDescent="0.25">
      <c r="A56" s="189"/>
      <c r="B56" s="134" t="str">
        <f>IFERROR(INDEX(Tbl_ResidentData[Physician],MATCH(Tbl_PDSAData[[#This Row],[Resident Name (last, first)]],Tbl_ResidentData[Resident Name '[last, first']],0))&amp;"","")</f>
        <v/>
      </c>
      <c r="C56" s="135" t="str">
        <f>IFERROR(INDEX(Tbl_ResidentData[Diagnosis (RAI)],MATCH(Tbl_PDSAData[[#This Row],[Resident Name (last, first)]],Tbl_ResidentData[Resident Name '[last, first']],0))&amp;"","")</f>
        <v/>
      </c>
      <c r="D56" s="144" t="str">
        <f>IFERROR(INDEX(Tbl_ResidentData[Clinical Notes
'[free text']],MATCH(Tbl_PDSAData[[#This Row],[Resident Name (last, first)]],Tbl_ResidentData[Resident Name '[last, first']],0))&amp;"","")</f>
        <v/>
      </c>
      <c r="E56" s="190"/>
      <c r="F56" s="191"/>
      <c r="G56" s="190"/>
      <c r="H56" s="191"/>
      <c r="I56" s="190"/>
      <c r="J56" s="191"/>
      <c r="K56" s="190"/>
      <c r="L56" s="191"/>
      <c r="M56" s="190"/>
      <c r="N56" s="191"/>
      <c r="O56" s="190"/>
      <c r="P56" s="191"/>
      <c r="Q56" s="190"/>
      <c r="R56" s="191"/>
      <c r="S56" s="190"/>
      <c r="T56" s="191"/>
      <c r="U56" s="190"/>
      <c r="V56" s="191"/>
      <c r="W56" s="190"/>
      <c r="X56" s="191"/>
      <c r="Y56" s="190"/>
      <c r="Z56" s="191"/>
      <c r="AA56" s="190"/>
      <c r="AB56" s="191"/>
      <c r="AC56" s="190"/>
      <c r="AD56" s="191"/>
      <c r="AE56" s="190"/>
      <c r="AF56" s="191"/>
      <c r="AG56" s="190"/>
      <c r="AH56" s="191"/>
      <c r="AI56" s="190"/>
      <c r="AJ56" s="191"/>
      <c r="AK56" s="190"/>
      <c r="AL56" s="191"/>
      <c r="AM56" s="190"/>
      <c r="AN56" s="191"/>
      <c r="AO56" s="190"/>
      <c r="AP56" s="191"/>
      <c r="AQ56" s="190"/>
      <c r="AR56" s="191"/>
      <c r="AS56" s="190"/>
      <c r="AT56" s="191"/>
      <c r="AU56" s="190"/>
      <c r="AV56" s="191"/>
      <c r="AW56" s="190"/>
      <c r="AX56" s="191"/>
      <c r="AY56" s="190"/>
      <c r="AZ56" s="191"/>
      <c r="BA56" s="145" t="str">
        <f>IFERROR(INDEX($E$4:$AZ$4,SUMPRODUCT(MAX(COLUMN(Tbl_PDSAData[[#This Row],[D1]:[M24]])*(ListLookup!$G$3=Tbl_PDSAData[[#This Row],[D1]:[M24]]))-4)),"")</f>
        <v/>
      </c>
      <c r="BB56" s="145" t="str">
        <f>IFERROR(INDEX($E$4:$AZ$4,SUMPRODUCT(MAX(COLUMN(Tbl_PDSAData[[#This Row],[D1]:[M24]])*(ListLookup!$H$3=Tbl_PDSAData[[#This Row],[D1]:[M24]]))-4)),"")</f>
        <v/>
      </c>
    </row>
    <row r="57" spans="1:54" s="74" customFormat="1" x14ac:dyDescent="0.25">
      <c r="A57" s="189"/>
      <c r="B57" s="134" t="str">
        <f>IFERROR(INDEX(Tbl_ResidentData[Physician],MATCH(Tbl_PDSAData[[#This Row],[Resident Name (last, first)]],Tbl_ResidentData[Resident Name '[last, first']],0))&amp;"","")</f>
        <v/>
      </c>
      <c r="C57" s="135" t="str">
        <f>IFERROR(INDEX(Tbl_ResidentData[Diagnosis (RAI)],MATCH(Tbl_PDSAData[[#This Row],[Resident Name (last, first)]],Tbl_ResidentData[Resident Name '[last, first']],0))&amp;"","")</f>
        <v/>
      </c>
      <c r="D57" s="144" t="str">
        <f>IFERROR(INDEX(Tbl_ResidentData[Clinical Notes
'[free text']],MATCH(Tbl_PDSAData[[#This Row],[Resident Name (last, first)]],Tbl_ResidentData[Resident Name '[last, first']],0))&amp;"","")</f>
        <v/>
      </c>
      <c r="E57" s="190"/>
      <c r="F57" s="191"/>
      <c r="G57" s="190"/>
      <c r="H57" s="191"/>
      <c r="I57" s="190"/>
      <c r="J57" s="191"/>
      <c r="K57" s="190"/>
      <c r="L57" s="191"/>
      <c r="M57" s="190"/>
      <c r="N57" s="191"/>
      <c r="O57" s="190"/>
      <c r="P57" s="191"/>
      <c r="Q57" s="190"/>
      <c r="R57" s="191"/>
      <c r="S57" s="190"/>
      <c r="T57" s="191"/>
      <c r="U57" s="190"/>
      <c r="V57" s="191"/>
      <c r="W57" s="190"/>
      <c r="X57" s="191"/>
      <c r="Y57" s="190"/>
      <c r="Z57" s="191"/>
      <c r="AA57" s="190"/>
      <c r="AB57" s="191"/>
      <c r="AC57" s="190"/>
      <c r="AD57" s="191"/>
      <c r="AE57" s="190"/>
      <c r="AF57" s="191"/>
      <c r="AG57" s="190"/>
      <c r="AH57" s="191"/>
      <c r="AI57" s="190"/>
      <c r="AJ57" s="191"/>
      <c r="AK57" s="190"/>
      <c r="AL57" s="191"/>
      <c r="AM57" s="190"/>
      <c r="AN57" s="191"/>
      <c r="AO57" s="190"/>
      <c r="AP57" s="191"/>
      <c r="AQ57" s="190"/>
      <c r="AR57" s="191"/>
      <c r="AS57" s="190"/>
      <c r="AT57" s="191"/>
      <c r="AU57" s="190"/>
      <c r="AV57" s="191"/>
      <c r="AW57" s="190"/>
      <c r="AX57" s="191"/>
      <c r="AY57" s="190"/>
      <c r="AZ57" s="191"/>
      <c r="BA57" s="145" t="str">
        <f>IFERROR(INDEX($E$4:$AZ$4,SUMPRODUCT(MAX(COLUMN(Tbl_PDSAData[[#This Row],[D1]:[M24]])*(ListLookup!$G$3=Tbl_PDSAData[[#This Row],[D1]:[M24]]))-4)),"")</f>
        <v/>
      </c>
      <c r="BB57" s="145" t="str">
        <f>IFERROR(INDEX($E$4:$AZ$4,SUMPRODUCT(MAX(COLUMN(Tbl_PDSAData[[#This Row],[D1]:[M24]])*(ListLookup!$H$3=Tbl_PDSAData[[#This Row],[D1]:[M24]]))-4)),"")</f>
        <v/>
      </c>
    </row>
    <row r="58" spans="1:54" s="74" customFormat="1" x14ac:dyDescent="0.25">
      <c r="A58" s="189"/>
      <c r="B58" s="134" t="str">
        <f>IFERROR(INDEX(Tbl_ResidentData[Physician],MATCH(Tbl_PDSAData[[#This Row],[Resident Name (last, first)]],Tbl_ResidentData[Resident Name '[last, first']],0))&amp;"","")</f>
        <v/>
      </c>
      <c r="C58" s="135" t="str">
        <f>IFERROR(INDEX(Tbl_ResidentData[Diagnosis (RAI)],MATCH(Tbl_PDSAData[[#This Row],[Resident Name (last, first)]],Tbl_ResidentData[Resident Name '[last, first']],0))&amp;"","")</f>
        <v/>
      </c>
      <c r="D58" s="144" t="str">
        <f>IFERROR(INDEX(Tbl_ResidentData[Clinical Notes
'[free text']],MATCH(Tbl_PDSAData[[#This Row],[Resident Name (last, first)]],Tbl_ResidentData[Resident Name '[last, first']],0))&amp;"","")</f>
        <v/>
      </c>
      <c r="E58" s="190"/>
      <c r="F58" s="191"/>
      <c r="G58" s="190"/>
      <c r="H58" s="191"/>
      <c r="I58" s="190"/>
      <c r="J58" s="191"/>
      <c r="K58" s="190"/>
      <c r="L58" s="191"/>
      <c r="M58" s="190"/>
      <c r="N58" s="191"/>
      <c r="O58" s="190"/>
      <c r="P58" s="191"/>
      <c r="Q58" s="190"/>
      <c r="R58" s="191"/>
      <c r="S58" s="190"/>
      <c r="T58" s="191"/>
      <c r="U58" s="190"/>
      <c r="V58" s="191"/>
      <c r="W58" s="190"/>
      <c r="X58" s="191"/>
      <c r="Y58" s="190"/>
      <c r="Z58" s="191"/>
      <c r="AA58" s="190"/>
      <c r="AB58" s="191"/>
      <c r="AC58" s="190"/>
      <c r="AD58" s="191"/>
      <c r="AE58" s="190"/>
      <c r="AF58" s="191"/>
      <c r="AG58" s="190"/>
      <c r="AH58" s="191"/>
      <c r="AI58" s="190"/>
      <c r="AJ58" s="191"/>
      <c r="AK58" s="190"/>
      <c r="AL58" s="191"/>
      <c r="AM58" s="190"/>
      <c r="AN58" s="191"/>
      <c r="AO58" s="190"/>
      <c r="AP58" s="191"/>
      <c r="AQ58" s="190"/>
      <c r="AR58" s="191"/>
      <c r="AS58" s="190"/>
      <c r="AT58" s="191"/>
      <c r="AU58" s="190"/>
      <c r="AV58" s="191"/>
      <c r="AW58" s="190"/>
      <c r="AX58" s="191"/>
      <c r="AY58" s="190"/>
      <c r="AZ58" s="191"/>
      <c r="BA58" s="145" t="str">
        <f>IFERROR(INDEX($E$4:$AZ$4,SUMPRODUCT(MAX(COLUMN(Tbl_PDSAData[[#This Row],[D1]:[M24]])*(ListLookup!$G$3=Tbl_PDSAData[[#This Row],[D1]:[M24]]))-4)),"")</f>
        <v/>
      </c>
      <c r="BB58" s="145" t="str">
        <f>IFERROR(INDEX($E$4:$AZ$4,SUMPRODUCT(MAX(COLUMN(Tbl_PDSAData[[#This Row],[D1]:[M24]])*(ListLookup!$H$3=Tbl_PDSAData[[#This Row],[D1]:[M24]]))-4)),"")</f>
        <v/>
      </c>
    </row>
    <row r="59" spans="1:54" s="74" customFormat="1" x14ac:dyDescent="0.25">
      <c r="A59" s="189"/>
      <c r="B59" s="134" t="str">
        <f>IFERROR(INDEX(Tbl_ResidentData[Physician],MATCH(Tbl_PDSAData[[#This Row],[Resident Name (last, first)]],Tbl_ResidentData[Resident Name '[last, first']],0))&amp;"","")</f>
        <v/>
      </c>
      <c r="C59" s="135" t="str">
        <f>IFERROR(INDEX(Tbl_ResidentData[Diagnosis (RAI)],MATCH(Tbl_PDSAData[[#This Row],[Resident Name (last, first)]],Tbl_ResidentData[Resident Name '[last, first']],0))&amp;"","")</f>
        <v/>
      </c>
      <c r="D59" s="144" t="str">
        <f>IFERROR(INDEX(Tbl_ResidentData[Clinical Notes
'[free text']],MATCH(Tbl_PDSAData[[#This Row],[Resident Name (last, first)]],Tbl_ResidentData[Resident Name '[last, first']],0))&amp;"","")</f>
        <v/>
      </c>
      <c r="E59" s="190"/>
      <c r="F59" s="191"/>
      <c r="G59" s="190"/>
      <c r="H59" s="191"/>
      <c r="I59" s="190"/>
      <c r="J59" s="191"/>
      <c r="K59" s="190"/>
      <c r="L59" s="191"/>
      <c r="M59" s="190"/>
      <c r="N59" s="191"/>
      <c r="O59" s="190"/>
      <c r="P59" s="191"/>
      <c r="Q59" s="190"/>
      <c r="R59" s="191"/>
      <c r="S59" s="190"/>
      <c r="T59" s="191"/>
      <c r="U59" s="190"/>
      <c r="V59" s="191"/>
      <c r="W59" s="190"/>
      <c r="X59" s="191"/>
      <c r="Y59" s="190"/>
      <c r="Z59" s="191"/>
      <c r="AA59" s="190"/>
      <c r="AB59" s="191"/>
      <c r="AC59" s="190"/>
      <c r="AD59" s="191"/>
      <c r="AE59" s="190"/>
      <c r="AF59" s="191"/>
      <c r="AG59" s="190"/>
      <c r="AH59" s="191"/>
      <c r="AI59" s="190"/>
      <c r="AJ59" s="191"/>
      <c r="AK59" s="190"/>
      <c r="AL59" s="191"/>
      <c r="AM59" s="190"/>
      <c r="AN59" s="191"/>
      <c r="AO59" s="190"/>
      <c r="AP59" s="191"/>
      <c r="AQ59" s="190"/>
      <c r="AR59" s="191"/>
      <c r="AS59" s="190"/>
      <c r="AT59" s="191"/>
      <c r="AU59" s="190"/>
      <c r="AV59" s="191"/>
      <c r="AW59" s="190"/>
      <c r="AX59" s="191"/>
      <c r="AY59" s="190"/>
      <c r="AZ59" s="191"/>
      <c r="BA59" s="145" t="str">
        <f>IFERROR(INDEX($E$4:$AZ$4,SUMPRODUCT(MAX(COLUMN(Tbl_PDSAData[[#This Row],[D1]:[M24]])*(ListLookup!$G$3=Tbl_PDSAData[[#This Row],[D1]:[M24]]))-4)),"")</f>
        <v/>
      </c>
      <c r="BB59" s="145" t="str">
        <f>IFERROR(INDEX($E$4:$AZ$4,SUMPRODUCT(MAX(COLUMN(Tbl_PDSAData[[#This Row],[D1]:[M24]])*(ListLookup!$H$3=Tbl_PDSAData[[#This Row],[D1]:[M24]]))-4)),"")</f>
        <v/>
      </c>
    </row>
    <row r="60" spans="1:54" s="74" customFormat="1" x14ac:dyDescent="0.25">
      <c r="A60" s="189"/>
      <c r="B60" s="134" t="str">
        <f>IFERROR(INDEX(Tbl_ResidentData[Physician],MATCH(Tbl_PDSAData[[#This Row],[Resident Name (last, first)]],Tbl_ResidentData[Resident Name '[last, first']],0))&amp;"","")</f>
        <v/>
      </c>
      <c r="C60" s="135" t="str">
        <f>IFERROR(INDEX(Tbl_ResidentData[Diagnosis (RAI)],MATCH(Tbl_PDSAData[[#This Row],[Resident Name (last, first)]],Tbl_ResidentData[Resident Name '[last, first']],0))&amp;"","")</f>
        <v/>
      </c>
      <c r="D60" s="144" t="str">
        <f>IFERROR(INDEX(Tbl_ResidentData[Clinical Notes
'[free text']],MATCH(Tbl_PDSAData[[#This Row],[Resident Name (last, first)]],Tbl_ResidentData[Resident Name '[last, first']],0))&amp;"","")</f>
        <v/>
      </c>
      <c r="E60" s="190"/>
      <c r="F60" s="191"/>
      <c r="G60" s="190"/>
      <c r="H60" s="191"/>
      <c r="I60" s="190"/>
      <c r="J60" s="191"/>
      <c r="K60" s="190"/>
      <c r="L60" s="191"/>
      <c r="M60" s="190"/>
      <c r="N60" s="191"/>
      <c r="O60" s="190"/>
      <c r="P60" s="191"/>
      <c r="Q60" s="190"/>
      <c r="R60" s="191"/>
      <c r="S60" s="190"/>
      <c r="T60" s="191"/>
      <c r="U60" s="190"/>
      <c r="V60" s="191"/>
      <c r="W60" s="190"/>
      <c r="X60" s="191"/>
      <c r="Y60" s="190"/>
      <c r="Z60" s="191"/>
      <c r="AA60" s="190"/>
      <c r="AB60" s="191"/>
      <c r="AC60" s="190"/>
      <c r="AD60" s="191"/>
      <c r="AE60" s="190"/>
      <c r="AF60" s="191"/>
      <c r="AG60" s="190"/>
      <c r="AH60" s="191"/>
      <c r="AI60" s="190"/>
      <c r="AJ60" s="191"/>
      <c r="AK60" s="190"/>
      <c r="AL60" s="191"/>
      <c r="AM60" s="190"/>
      <c r="AN60" s="191"/>
      <c r="AO60" s="190"/>
      <c r="AP60" s="191"/>
      <c r="AQ60" s="190"/>
      <c r="AR60" s="191"/>
      <c r="AS60" s="190"/>
      <c r="AT60" s="191"/>
      <c r="AU60" s="190"/>
      <c r="AV60" s="191"/>
      <c r="AW60" s="190"/>
      <c r="AX60" s="191"/>
      <c r="AY60" s="190"/>
      <c r="AZ60" s="191"/>
      <c r="BA60" s="145" t="str">
        <f>IFERROR(INDEX($E$4:$AZ$4,SUMPRODUCT(MAX(COLUMN(Tbl_PDSAData[[#This Row],[D1]:[M24]])*(ListLookup!$G$3=Tbl_PDSAData[[#This Row],[D1]:[M24]]))-4)),"")</f>
        <v/>
      </c>
      <c r="BB60" s="145" t="str">
        <f>IFERROR(INDEX($E$4:$AZ$4,SUMPRODUCT(MAX(COLUMN(Tbl_PDSAData[[#This Row],[D1]:[M24]])*(ListLookup!$H$3=Tbl_PDSAData[[#This Row],[D1]:[M24]]))-4)),"")</f>
        <v/>
      </c>
    </row>
    <row r="61" spans="1:54" s="74" customFormat="1" x14ac:dyDescent="0.25">
      <c r="A61" s="189"/>
      <c r="B61" s="134" t="str">
        <f>IFERROR(INDEX(Tbl_ResidentData[Physician],MATCH(Tbl_PDSAData[[#This Row],[Resident Name (last, first)]],Tbl_ResidentData[Resident Name '[last, first']],0))&amp;"","")</f>
        <v/>
      </c>
      <c r="C61" s="135" t="str">
        <f>IFERROR(INDEX(Tbl_ResidentData[Diagnosis (RAI)],MATCH(Tbl_PDSAData[[#This Row],[Resident Name (last, first)]],Tbl_ResidentData[Resident Name '[last, first']],0))&amp;"","")</f>
        <v/>
      </c>
      <c r="D61" s="144" t="str">
        <f>IFERROR(INDEX(Tbl_ResidentData[Clinical Notes
'[free text']],MATCH(Tbl_PDSAData[[#This Row],[Resident Name (last, first)]],Tbl_ResidentData[Resident Name '[last, first']],0))&amp;"","")</f>
        <v/>
      </c>
      <c r="E61" s="190"/>
      <c r="F61" s="191"/>
      <c r="G61" s="190"/>
      <c r="H61" s="191"/>
      <c r="I61" s="190"/>
      <c r="J61" s="191"/>
      <c r="K61" s="190"/>
      <c r="L61" s="191"/>
      <c r="M61" s="190"/>
      <c r="N61" s="191"/>
      <c r="O61" s="190"/>
      <c r="P61" s="191"/>
      <c r="Q61" s="190"/>
      <c r="R61" s="191"/>
      <c r="S61" s="190"/>
      <c r="T61" s="191"/>
      <c r="U61" s="190"/>
      <c r="V61" s="191"/>
      <c r="W61" s="190"/>
      <c r="X61" s="191"/>
      <c r="Y61" s="190"/>
      <c r="Z61" s="191"/>
      <c r="AA61" s="190"/>
      <c r="AB61" s="191"/>
      <c r="AC61" s="190"/>
      <c r="AD61" s="191"/>
      <c r="AE61" s="190"/>
      <c r="AF61" s="191"/>
      <c r="AG61" s="190"/>
      <c r="AH61" s="191"/>
      <c r="AI61" s="190"/>
      <c r="AJ61" s="191"/>
      <c r="AK61" s="190"/>
      <c r="AL61" s="191"/>
      <c r="AM61" s="190"/>
      <c r="AN61" s="191"/>
      <c r="AO61" s="190"/>
      <c r="AP61" s="191"/>
      <c r="AQ61" s="190"/>
      <c r="AR61" s="191"/>
      <c r="AS61" s="190"/>
      <c r="AT61" s="191"/>
      <c r="AU61" s="190"/>
      <c r="AV61" s="191"/>
      <c r="AW61" s="190"/>
      <c r="AX61" s="191"/>
      <c r="AY61" s="190"/>
      <c r="AZ61" s="191"/>
      <c r="BA61" s="145" t="str">
        <f>IFERROR(INDEX($E$4:$AZ$4,SUMPRODUCT(MAX(COLUMN(Tbl_PDSAData[[#This Row],[D1]:[M24]])*(ListLookup!$G$3=Tbl_PDSAData[[#This Row],[D1]:[M24]]))-4)),"")</f>
        <v/>
      </c>
      <c r="BB61" s="145" t="str">
        <f>IFERROR(INDEX($E$4:$AZ$4,SUMPRODUCT(MAX(COLUMN(Tbl_PDSAData[[#This Row],[D1]:[M24]])*(ListLookup!$H$3=Tbl_PDSAData[[#This Row],[D1]:[M24]]))-4)),"")</f>
        <v/>
      </c>
    </row>
    <row r="62" spans="1:54" s="74" customFormat="1" x14ac:dyDescent="0.25">
      <c r="A62" s="189"/>
      <c r="B62" s="134" t="str">
        <f>IFERROR(INDEX(Tbl_ResidentData[Physician],MATCH(Tbl_PDSAData[[#This Row],[Resident Name (last, first)]],Tbl_ResidentData[Resident Name '[last, first']],0))&amp;"","")</f>
        <v/>
      </c>
      <c r="C62" s="135" t="str">
        <f>IFERROR(INDEX(Tbl_ResidentData[Diagnosis (RAI)],MATCH(Tbl_PDSAData[[#This Row],[Resident Name (last, first)]],Tbl_ResidentData[Resident Name '[last, first']],0))&amp;"","")</f>
        <v/>
      </c>
      <c r="D62" s="144" t="str">
        <f>IFERROR(INDEX(Tbl_ResidentData[Clinical Notes
'[free text']],MATCH(Tbl_PDSAData[[#This Row],[Resident Name (last, first)]],Tbl_ResidentData[Resident Name '[last, first']],0))&amp;"","")</f>
        <v/>
      </c>
      <c r="E62" s="190"/>
      <c r="F62" s="191"/>
      <c r="G62" s="190"/>
      <c r="H62" s="191"/>
      <c r="I62" s="190"/>
      <c r="J62" s="191"/>
      <c r="K62" s="190"/>
      <c r="L62" s="191"/>
      <c r="M62" s="190"/>
      <c r="N62" s="191"/>
      <c r="O62" s="190"/>
      <c r="P62" s="191"/>
      <c r="Q62" s="190"/>
      <c r="R62" s="191"/>
      <c r="S62" s="190"/>
      <c r="T62" s="191"/>
      <c r="U62" s="190"/>
      <c r="V62" s="191"/>
      <c r="W62" s="190"/>
      <c r="X62" s="191"/>
      <c r="Y62" s="190"/>
      <c r="Z62" s="191"/>
      <c r="AA62" s="190"/>
      <c r="AB62" s="191"/>
      <c r="AC62" s="190"/>
      <c r="AD62" s="191"/>
      <c r="AE62" s="190"/>
      <c r="AF62" s="191"/>
      <c r="AG62" s="190"/>
      <c r="AH62" s="191"/>
      <c r="AI62" s="190"/>
      <c r="AJ62" s="191"/>
      <c r="AK62" s="190"/>
      <c r="AL62" s="191"/>
      <c r="AM62" s="190"/>
      <c r="AN62" s="191"/>
      <c r="AO62" s="190"/>
      <c r="AP62" s="191"/>
      <c r="AQ62" s="190"/>
      <c r="AR62" s="191"/>
      <c r="AS62" s="190"/>
      <c r="AT62" s="191"/>
      <c r="AU62" s="190"/>
      <c r="AV62" s="191"/>
      <c r="AW62" s="190"/>
      <c r="AX62" s="191"/>
      <c r="AY62" s="190"/>
      <c r="AZ62" s="191"/>
      <c r="BA62" s="145" t="str">
        <f>IFERROR(INDEX($E$4:$AZ$4,SUMPRODUCT(MAX(COLUMN(Tbl_PDSAData[[#This Row],[D1]:[M24]])*(ListLookup!$G$3=Tbl_PDSAData[[#This Row],[D1]:[M24]]))-4)),"")</f>
        <v/>
      </c>
      <c r="BB62" s="145" t="str">
        <f>IFERROR(INDEX($E$4:$AZ$4,SUMPRODUCT(MAX(COLUMN(Tbl_PDSAData[[#This Row],[D1]:[M24]])*(ListLookup!$H$3=Tbl_PDSAData[[#This Row],[D1]:[M24]]))-4)),"")</f>
        <v/>
      </c>
    </row>
    <row r="63" spans="1:54" s="74" customFormat="1" x14ac:dyDescent="0.25">
      <c r="A63" s="189"/>
      <c r="B63" s="134" t="str">
        <f>IFERROR(INDEX(Tbl_ResidentData[Physician],MATCH(Tbl_PDSAData[[#This Row],[Resident Name (last, first)]],Tbl_ResidentData[Resident Name '[last, first']],0))&amp;"","")</f>
        <v/>
      </c>
      <c r="C63" s="135" t="str">
        <f>IFERROR(INDEX(Tbl_ResidentData[Diagnosis (RAI)],MATCH(Tbl_PDSAData[[#This Row],[Resident Name (last, first)]],Tbl_ResidentData[Resident Name '[last, first']],0))&amp;"","")</f>
        <v/>
      </c>
      <c r="D63" s="144" t="str">
        <f>IFERROR(INDEX(Tbl_ResidentData[Clinical Notes
'[free text']],MATCH(Tbl_PDSAData[[#This Row],[Resident Name (last, first)]],Tbl_ResidentData[Resident Name '[last, first']],0))&amp;"","")</f>
        <v/>
      </c>
      <c r="E63" s="190"/>
      <c r="F63" s="191"/>
      <c r="G63" s="190"/>
      <c r="H63" s="191"/>
      <c r="I63" s="190"/>
      <c r="J63" s="191"/>
      <c r="K63" s="190"/>
      <c r="L63" s="191"/>
      <c r="M63" s="190"/>
      <c r="N63" s="191"/>
      <c r="O63" s="190"/>
      <c r="P63" s="191"/>
      <c r="Q63" s="190"/>
      <c r="R63" s="191"/>
      <c r="S63" s="190"/>
      <c r="T63" s="191"/>
      <c r="U63" s="190"/>
      <c r="V63" s="191"/>
      <c r="W63" s="190"/>
      <c r="X63" s="191"/>
      <c r="Y63" s="190"/>
      <c r="Z63" s="191"/>
      <c r="AA63" s="190"/>
      <c r="AB63" s="191"/>
      <c r="AC63" s="190"/>
      <c r="AD63" s="191"/>
      <c r="AE63" s="190"/>
      <c r="AF63" s="191"/>
      <c r="AG63" s="190"/>
      <c r="AH63" s="191"/>
      <c r="AI63" s="190"/>
      <c r="AJ63" s="191"/>
      <c r="AK63" s="190"/>
      <c r="AL63" s="191"/>
      <c r="AM63" s="190"/>
      <c r="AN63" s="191"/>
      <c r="AO63" s="190"/>
      <c r="AP63" s="191"/>
      <c r="AQ63" s="190"/>
      <c r="AR63" s="191"/>
      <c r="AS63" s="190"/>
      <c r="AT63" s="191"/>
      <c r="AU63" s="190"/>
      <c r="AV63" s="191"/>
      <c r="AW63" s="190"/>
      <c r="AX63" s="191"/>
      <c r="AY63" s="190"/>
      <c r="AZ63" s="191"/>
      <c r="BA63" s="145" t="str">
        <f>IFERROR(INDEX($E$4:$AZ$4,SUMPRODUCT(MAX(COLUMN(Tbl_PDSAData[[#This Row],[D1]:[M24]])*(ListLookup!$G$3=Tbl_PDSAData[[#This Row],[D1]:[M24]]))-4)),"")</f>
        <v/>
      </c>
      <c r="BB63" s="145" t="str">
        <f>IFERROR(INDEX($E$4:$AZ$4,SUMPRODUCT(MAX(COLUMN(Tbl_PDSAData[[#This Row],[D1]:[M24]])*(ListLookup!$H$3=Tbl_PDSAData[[#This Row],[D1]:[M24]]))-4)),"")</f>
        <v/>
      </c>
    </row>
    <row r="64" spans="1:54" s="74" customFormat="1" x14ac:dyDescent="0.25">
      <c r="A64" s="189"/>
      <c r="B64" s="134" t="str">
        <f>IFERROR(INDEX(Tbl_ResidentData[Physician],MATCH(Tbl_PDSAData[[#This Row],[Resident Name (last, first)]],Tbl_ResidentData[Resident Name '[last, first']],0))&amp;"","")</f>
        <v/>
      </c>
      <c r="C64" s="135" t="str">
        <f>IFERROR(INDEX(Tbl_ResidentData[Diagnosis (RAI)],MATCH(Tbl_PDSAData[[#This Row],[Resident Name (last, first)]],Tbl_ResidentData[Resident Name '[last, first']],0))&amp;"","")</f>
        <v/>
      </c>
      <c r="D64" s="144" t="str">
        <f>IFERROR(INDEX(Tbl_ResidentData[Clinical Notes
'[free text']],MATCH(Tbl_PDSAData[[#This Row],[Resident Name (last, first)]],Tbl_ResidentData[Resident Name '[last, first']],0))&amp;"","")</f>
        <v/>
      </c>
      <c r="E64" s="190"/>
      <c r="F64" s="191"/>
      <c r="G64" s="190"/>
      <c r="H64" s="191"/>
      <c r="I64" s="190"/>
      <c r="J64" s="191"/>
      <c r="K64" s="190"/>
      <c r="L64" s="191"/>
      <c r="M64" s="190"/>
      <c r="N64" s="191"/>
      <c r="O64" s="190"/>
      <c r="P64" s="191"/>
      <c r="Q64" s="190"/>
      <c r="R64" s="191"/>
      <c r="S64" s="190"/>
      <c r="T64" s="191"/>
      <c r="U64" s="190"/>
      <c r="V64" s="191"/>
      <c r="W64" s="190"/>
      <c r="X64" s="191"/>
      <c r="Y64" s="190"/>
      <c r="Z64" s="191"/>
      <c r="AA64" s="190"/>
      <c r="AB64" s="191"/>
      <c r="AC64" s="190"/>
      <c r="AD64" s="191"/>
      <c r="AE64" s="190"/>
      <c r="AF64" s="191"/>
      <c r="AG64" s="190"/>
      <c r="AH64" s="191"/>
      <c r="AI64" s="190"/>
      <c r="AJ64" s="191"/>
      <c r="AK64" s="190"/>
      <c r="AL64" s="191"/>
      <c r="AM64" s="190"/>
      <c r="AN64" s="191"/>
      <c r="AO64" s="190"/>
      <c r="AP64" s="191"/>
      <c r="AQ64" s="190"/>
      <c r="AR64" s="191"/>
      <c r="AS64" s="190"/>
      <c r="AT64" s="191"/>
      <c r="AU64" s="190"/>
      <c r="AV64" s="191"/>
      <c r="AW64" s="190"/>
      <c r="AX64" s="191"/>
      <c r="AY64" s="190"/>
      <c r="AZ64" s="191"/>
      <c r="BA64" s="145" t="str">
        <f>IFERROR(INDEX($E$4:$AZ$4,SUMPRODUCT(MAX(COLUMN(Tbl_PDSAData[[#This Row],[D1]:[M24]])*(ListLookup!$G$3=Tbl_PDSAData[[#This Row],[D1]:[M24]]))-4)),"")</f>
        <v/>
      </c>
      <c r="BB64" s="145" t="str">
        <f>IFERROR(INDEX($E$4:$AZ$4,SUMPRODUCT(MAX(COLUMN(Tbl_PDSAData[[#This Row],[D1]:[M24]])*(ListLookup!$H$3=Tbl_PDSAData[[#This Row],[D1]:[M24]]))-4)),"")</f>
        <v/>
      </c>
    </row>
    <row r="65" spans="1:54" s="74" customFormat="1" x14ac:dyDescent="0.25">
      <c r="A65" s="189"/>
      <c r="B65" s="134" t="str">
        <f>IFERROR(INDEX(Tbl_ResidentData[Physician],MATCH(Tbl_PDSAData[[#This Row],[Resident Name (last, first)]],Tbl_ResidentData[Resident Name '[last, first']],0))&amp;"","")</f>
        <v/>
      </c>
      <c r="C65" s="135" t="str">
        <f>IFERROR(INDEX(Tbl_ResidentData[Diagnosis (RAI)],MATCH(Tbl_PDSAData[[#This Row],[Resident Name (last, first)]],Tbl_ResidentData[Resident Name '[last, first']],0))&amp;"","")</f>
        <v/>
      </c>
      <c r="D65" s="144" t="str">
        <f>IFERROR(INDEX(Tbl_ResidentData[Clinical Notes
'[free text']],MATCH(Tbl_PDSAData[[#This Row],[Resident Name (last, first)]],Tbl_ResidentData[Resident Name '[last, first']],0))&amp;"","")</f>
        <v/>
      </c>
      <c r="E65" s="190"/>
      <c r="F65" s="191"/>
      <c r="G65" s="190"/>
      <c r="H65" s="191"/>
      <c r="I65" s="190"/>
      <c r="J65" s="191"/>
      <c r="K65" s="190"/>
      <c r="L65" s="191"/>
      <c r="M65" s="190"/>
      <c r="N65" s="191"/>
      <c r="O65" s="190"/>
      <c r="P65" s="191"/>
      <c r="Q65" s="190"/>
      <c r="R65" s="191"/>
      <c r="S65" s="190"/>
      <c r="T65" s="191"/>
      <c r="U65" s="190"/>
      <c r="V65" s="191"/>
      <c r="W65" s="190"/>
      <c r="X65" s="191"/>
      <c r="Y65" s="190"/>
      <c r="Z65" s="191"/>
      <c r="AA65" s="190"/>
      <c r="AB65" s="191"/>
      <c r="AC65" s="190"/>
      <c r="AD65" s="191"/>
      <c r="AE65" s="190"/>
      <c r="AF65" s="191"/>
      <c r="AG65" s="190"/>
      <c r="AH65" s="191"/>
      <c r="AI65" s="190"/>
      <c r="AJ65" s="191"/>
      <c r="AK65" s="190"/>
      <c r="AL65" s="191"/>
      <c r="AM65" s="190"/>
      <c r="AN65" s="191"/>
      <c r="AO65" s="190"/>
      <c r="AP65" s="191"/>
      <c r="AQ65" s="190"/>
      <c r="AR65" s="191"/>
      <c r="AS65" s="190"/>
      <c r="AT65" s="191"/>
      <c r="AU65" s="190"/>
      <c r="AV65" s="191"/>
      <c r="AW65" s="190"/>
      <c r="AX65" s="191"/>
      <c r="AY65" s="190"/>
      <c r="AZ65" s="191"/>
      <c r="BA65" s="145" t="str">
        <f>IFERROR(INDEX($E$4:$AZ$4,SUMPRODUCT(MAX(COLUMN(Tbl_PDSAData[[#This Row],[D1]:[M24]])*(ListLookup!$G$3=Tbl_PDSAData[[#This Row],[D1]:[M24]]))-4)),"")</f>
        <v/>
      </c>
      <c r="BB65" s="145" t="str">
        <f>IFERROR(INDEX($E$4:$AZ$4,SUMPRODUCT(MAX(COLUMN(Tbl_PDSAData[[#This Row],[D1]:[M24]])*(ListLookup!$H$3=Tbl_PDSAData[[#This Row],[D1]:[M24]]))-4)),"")</f>
        <v/>
      </c>
    </row>
    <row r="66" spans="1:54" s="74" customFormat="1" x14ac:dyDescent="0.25">
      <c r="A66" s="189"/>
      <c r="B66" s="134" t="str">
        <f>IFERROR(INDEX(Tbl_ResidentData[Physician],MATCH(Tbl_PDSAData[[#This Row],[Resident Name (last, first)]],Tbl_ResidentData[Resident Name '[last, first']],0))&amp;"","")</f>
        <v/>
      </c>
      <c r="C66" s="135" t="str">
        <f>IFERROR(INDEX(Tbl_ResidentData[Diagnosis (RAI)],MATCH(Tbl_PDSAData[[#This Row],[Resident Name (last, first)]],Tbl_ResidentData[Resident Name '[last, first']],0))&amp;"","")</f>
        <v/>
      </c>
      <c r="D66" s="144" t="str">
        <f>IFERROR(INDEX(Tbl_ResidentData[Clinical Notes
'[free text']],MATCH(Tbl_PDSAData[[#This Row],[Resident Name (last, first)]],Tbl_ResidentData[Resident Name '[last, first']],0))&amp;"","")</f>
        <v/>
      </c>
      <c r="E66" s="190"/>
      <c r="F66" s="191"/>
      <c r="G66" s="190"/>
      <c r="H66" s="191"/>
      <c r="I66" s="190"/>
      <c r="J66" s="191"/>
      <c r="K66" s="190"/>
      <c r="L66" s="191"/>
      <c r="M66" s="190"/>
      <c r="N66" s="191"/>
      <c r="O66" s="190"/>
      <c r="P66" s="191"/>
      <c r="Q66" s="190"/>
      <c r="R66" s="191"/>
      <c r="S66" s="190"/>
      <c r="T66" s="191"/>
      <c r="U66" s="190"/>
      <c r="V66" s="191"/>
      <c r="W66" s="190"/>
      <c r="X66" s="191"/>
      <c r="Y66" s="190"/>
      <c r="Z66" s="191"/>
      <c r="AA66" s="190"/>
      <c r="AB66" s="191"/>
      <c r="AC66" s="190"/>
      <c r="AD66" s="191"/>
      <c r="AE66" s="190"/>
      <c r="AF66" s="191"/>
      <c r="AG66" s="190"/>
      <c r="AH66" s="191"/>
      <c r="AI66" s="190"/>
      <c r="AJ66" s="191"/>
      <c r="AK66" s="190"/>
      <c r="AL66" s="191"/>
      <c r="AM66" s="190"/>
      <c r="AN66" s="191"/>
      <c r="AO66" s="190"/>
      <c r="AP66" s="191"/>
      <c r="AQ66" s="190"/>
      <c r="AR66" s="191"/>
      <c r="AS66" s="190"/>
      <c r="AT66" s="191"/>
      <c r="AU66" s="190"/>
      <c r="AV66" s="191"/>
      <c r="AW66" s="190"/>
      <c r="AX66" s="191"/>
      <c r="AY66" s="190"/>
      <c r="AZ66" s="191"/>
      <c r="BA66" s="145" t="str">
        <f>IFERROR(INDEX($E$4:$AZ$4,SUMPRODUCT(MAX(COLUMN(Tbl_PDSAData[[#This Row],[D1]:[M24]])*(ListLookup!$G$3=Tbl_PDSAData[[#This Row],[D1]:[M24]]))-4)),"")</f>
        <v/>
      </c>
      <c r="BB66" s="145" t="str">
        <f>IFERROR(INDEX($E$4:$AZ$4,SUMPRODUCT(MAX(COLUMN(Tbl_PDSAData[[#This Row],[D1]:[M24]])*(ListLookup!$H$3=Tbl_PDSAData[[#This Row],[D1]:[M24]]))-4)),"")</f>
        <v/>
      </c>
    </row>
    <row r="67" spans="1:54" s="74" customFormat="1" x14ac:dyDescent="0.25">
      <c r="A67" s="189"/>
      <c r="B67" s="134" t="str">
        <f>IFERROR(INDEX(Tbl_ResidentData[Physician],MATCH(Tbl_PDSAData[[#This Row],[Resident Name (last, first)]],Tbl_ResidentData[Resident Name '[last, first']],0))&amp;"","")</f>
        <v/>
      </c>
      <c r="C67" s="135" t="str">
        <f>IFERROR(INDEX(Tbl_ResidentData[Diagnosis (RAI)],MATCH(Tbl_PDSAData[[#This Row],[Resident Name (last, first)]],Tbl_ResidentData[Resident Name '[last, first']],0))&amp;"","")</f>
        <v/>
      </c>
      <c r="D67" s="144" t="str">
        <f>IFERROR(INDEX(Tbl_ResidentData[Clinical Notes
'[free text']],MATCH(Tbl_PDSAData[[#This Row],[Resident Name (last, first)]],Tbl_ResidentData[Resident Name '[last, first']],0))&amp;"","")</f>
        <v/>
      </c>
      <c r="E67" s="190"/>
      <c r="F67" s="191"/>
      <c r="G67" s="190"/>
      <c r="H67" s="191"/>
      <c r="I67" s="190"/>
      <c r="J67" s="191"/>
      <c r="K67" s="190"/>
      <c r="L67" s="191"/>
      <c r="M67" s="190"/>
      <c r="N67" s="191"/>
      <c r="O67" s="190"/>
      <c r="P67" s="191"/>
      <c r="Q67" s="190"/>
      <c r="R67" s="191"/>
      <c r="S67" s="190"/>
      <c r="T67" s="191"/>
      <c r="U67" s="190"/>
      <c r="V67" s="191"/>
      <c r="W67" s="190"/>
      <c r="X67" s="191"/>
      <c r="Y67" s="190"/>
      <c r="Z67" s="191"/>
      <c r="AA67" s="190"/>
      <c r="AB67" s="191"/>
      <c r="AC67" s="190"/>
      <c r="AD67" s="191"/>
      <c r="AE67" s="190"/>
      <c r="AF67" s="191"/>
      <c r="AG67" s="190"/>
      <c r="AH67" s="191"/>
      <c r="AI67" s="190"/>
      <c r="AJ67" s="191"/>
      <c r="AK67" s="190"/>
      <c r="AL67" s="191"/>
      <c r="AM67" s="190"/>
      <c r="AN67" s="191"/>
      <c r="AO67" s="190"/>
      <c r="AP67" s="191"/>
      <c r="AQ67" s="190"/>
      <c r="AR67" s="191"/>
      <c r="AS67" s="190"/>
      <c r="AT67" s="191"/>
      <c r="AU67" s="190"/>
      <c r="AV67" s="191"/>
      <c r="AW67" s="190"/>
      <c r="AX67" s="191"/>
      <c r="AY67" s="190"/>
      <c r="AZ67" s="191"/>
      <c r="BA67" s="145" t="str">
        <f>IFERROR(INDEX($E$4:$AZ$4,SUMPRODUCT(MAX(COLUMN(Tbl_PDSAData[[#This Row],[D1]:[M24]])*(ListLookup!$G$3=Tbl_PDSAData[[#This Row],[D1]:[M24]]))-4)),"")</f>
        <v/>
      </c>
      <c r="BB67" s="145" t="str">
        <f>IFERROR(INDEX($E$4:$AZ$4,SUMPRODUCT(MAX(COLUMN(Tbl_PDSAData[[#This Row],[D1]:[M24]])*(ListLookup!$H$3=Tbl_PDSAData[[#This Row],[D1]:[M24]]))-4)),"")</f>
        <v/>
      </c>
    </row>
    <row r="68" spans="1:54" s="74" customFormat="1" x14ac:dyDescent="0.25">
      <c r="A68" s="189"/>
      <c r="B68" s="134" t="str">
        <f>IFERROR(INDEX(Tbl_ResidentData[Physician],MATCH(Tbl_PDSAData[[#This Row],[Resident Name (last, first)]],Tbl_ResidentData[Resident Name '[last, first']],0))&amp;"","")</f>
        <v/>
      </c>
      <c r="C68" s="135" t="str">
        <f>IFERROR(INDEX(Tbl_ResidentData[Diagnosis (RAI)],MATCH(Tbl_PDSAData[[#This Row],[Resident Name (last, first)]],Tbl_ResidentData[Resident Name '[last, first']],0))&amp;"","")</f>
        <v/>
      </c>
      <c r="D68" s="144" t="str">
        <f>IFERROR(INDEX(Tbl_ResidentData[Clinical Notes
'[free text']],MATCH(Tbl_PDSAData[[#This Row],[Resident Name (last, first)]],Tbl_ResidentData[Resident Name '[last, first']],0))&amp;"","")</f>
        <v/>
      </c>
      <c r="E68" s="190"/>
      <c r="F68" s="191"/>
      <c r="G68" s="190"/>
      <c r="H68" s="191"/>
      <c r="I68" s="190"/>
      <c r="J68" s="191"/>
      <c r="K68" s="190"/>
      <c r="L68" s="191"/>
      <c r="M68" s="190"/>
      <c r="N68" s="191"/>
      <c r="O68" s="190"/>
      <c r="P68" s="191"/>
      <c r="Q68" s="190"/>
      <c r="R68" s="191"/>
      <c r="S68" s="190"/>
      <c r="T68" s="191"/>
      <c r="U68" s="190"/>
      <c r="V68" s="191"/>
      <c r="W68" s="190"/>
      <c r="X68" s="191"/>
      <c r="Y68" s="190"/>
      <c r="Z68" s="191"/>
      <c r="AA68" s="190"/>
      <c r="AB68" s="191"/>
      <c r="AC68" s="190"/>
      <c r="AD68" s="191"/>
      <c r="AE68" s="190"/>
      <c r="AF68" s="191"/>
      <c r="AG68" s="190"/>
      <c r="AH68" s="191"/>
      <c r="AI68" s="190"/>
      <c r="AJ68" s="191"/>
      <c r="AK68" s="190"/>
      <c r="AL68" s="191"/>
      <c r="AM68" s="190"/>
      <c r="AN68" s="191"/>
      <c r="AO68" s="190"/>
      <c r="AP68" s="191"/>
      <c r="AQ68" s="190"/>
      <c r="AR68" s="191"/>
      <c r="AS68" s="190"/>
      <c r="AT68" s="191"/>
      <c r="AU68" s="190"/>
      <c r="AV68" s="191"/>
      <c r="AW68" s="190"/>
      <c r="AX68" s="191"/>
      <c r="AY68" s="190"/>
      <c r="AZ68" s="191"/>
      <c r="BA68" s="145" t="str">
        <f>IFERROR(INDEX($E$4:$AZ$4,SUMPRODUCT(MAX(COLUMN(Tbl_PDSAData[[#This Row],[D1]:[M24]])*(ListLookup!$G$3=Tbl_PDSAData[[#This Row],[D1]:[M24]]))-4)),"")</f>
        <v/>
      </c>
      <c r="BB68" s="145" t="str">
        <f>IFERROR(INDEX($E$4:$AZ$4,SUMPRODUCT(MAX(COLUMN(Tbl_PDSAData[[#This Row],[D1]:[M24]])*(ListLookup!$H$3=Tbl_PDSAData[[#This Row],[D1]:[M24]]))-4)),"")</f>
        <v/>
      </c>
    </row>
    <row r="69" spans="1:54" s="74" customFormat="1" x14ac:dyDescent="0.25">
      <c r="A69" s="189"/>
      <c r="B69" s="134" t="str">
        <f>IFERROR(INDEX(Tbl_ResidentData[Physician],MATCH(Tbl_PDSAData[[#This Row],[Resident Name (last, first)]],Tbl_ResidentData[Resident Name '[last, first']],0))&amp;"","")</f>
        <v/>
      </c>
      <c r="C69" s="135" t="str">
        <f>IFERROR(INDEX(Tbl_ResidentData[Diagnosis (RAI)],MATCH(Tbl_PDSAData[[#This Row],[Resident Name (last, first)]],Tbl_ResidentData[Resident Name '[last, first']],0))&amp;"","")</f>
        <v/>
      </c>
      <c r="D69" s="144" t="str">
        <f>IFERROR(INDEX(Tbl_ResidentData[Clinical Notes
'[free text']],MATCH(Tbl_PDSAData[[#This Row],[Resident Name (last, first)]],Tbl_ResidentData[Resident Name '[last, first']],0))&amp;"","")</f>
        <v/>
      </c>
      <c r="E69" s="190"/>
      <c r="F69" s="191"/>
      <c r="G69" s="190"/>
      <c r="H69" s="191"/>
      <c r="I69" s="190"/>
      <c r="J69" s="191"/>
      <c r="K69" s="190"/>
      <c r="L69" s="191"/>
      <c r="M69" s="190"/>
      <c r="N69" s="191"/>
      <c r="O69" s="190"/>
      <c r="P69" s="191"/>
      <c r="Q69" s="190"/>
      <c r="R69" s="191"/>
      <c r="S69" s="190"/>
      <c r="T69" s="191"/>
      <c r="U69" s="190"/>
      <c r="V69" s="191"/>
      <c r="W69" s="190"/>
      <c r="X69" s="191"/>
      <c r="Y69" s="190"/>
      <c r="Z69" s="191"/>
      <c r="AA69" s="190"/>
      <c r="AB69" s="191"/>
      <c r="AC69" s="190"/>
      <c r="AD69" s="191"/>
      <c r="AE69" s="190"/>
      <c r="AF69" s="191"/>
      <c r="AG69" s="190"/>
      <c r="AH69" s="191"/>
      <c r="AI69" s="190"/>
      <c r="AJ69" s="191"/>
      <c r="AK69" s="190"/>
      <c r="AL69" s="191"/>
      <c r="AM69" s="190"/>
      <c r="AN69" s="191"/>
      <c r="AO69" s="190"/>
      <c r="AP69" s="191"/>
      <c r="AQ69" s="190"/>
      <c r="AR69" s="191"/>
      <c r="AS69" s="190"/>
      <c r="AT69" s="191"/>
      <c r="AU69" s="190"/>
      <c r="AV69" s="191"/>
      <c r="AW69" s="190"/>
      <c r="AX69" s="191"/>
      <c r="AY69" s="190"/>
      <c r="AZ69" s="191"/>
      <c r="BA69" s="145" t="str">
        <f>IFERROR(INDEX($E$4:$AZ$4,SUMPRODUCT(MAX(COLUMN(Tbl_PDSAData[[#This Row],[D1]:[M24]])*(ListLookup!$G$3=Tbl_PDSAData[[#This Row],[D1]:[M24]]))-4)),"")</f>
        <v/>
      </c>
      <c r="BB69" s="145" t="str">
        <f>IFERROR(INDEX($E$4:$AZ$4,SUMPRODUCT(MAX(COLUMN(Tbl_PDSAData[[#This Row],[D1]:[M24]])*(ListLookup!$H$3=Tbl_PDSAData[[#This Row],[D1]:[M24]]))-4)),"")</f>
        <v/>
      </c>
    </row>
    <row r="70" spans="1:54" s="74" customFormat="1" x14ac:dyDescent="0.25">
      <c r="A70" s="189"/>
      <c r="B70" s="134" t="str">
        <f>IFERROR(INDEX(Tbl_ResidentData[Physician],MATCH(Tbl_PDSAData[[#This Row],[Resident Name (last, first)]],Tbl_ResidentData[Resident Name '[last, first']],0))&amp;"","")</f>
        <v/>
      </c>
      <c r="C70" s="135" t="str">
        <f>IFERROR(INDEX(Tbl_ResidentData[Diagnosis (RAI)],MATCH(Tbl_PDSAData[[#This Row],[Resident Name (last, first)]],Tbl_ResidentData[Resident Name '[last, first']],0))&amp;"","")</f>
        <v/>
      </c>
      <c r="D70" s="144" t="str">
        <f>IFERROR(INDEX(Tbl_ResidentData[Clinical Notes
'[free text']],MATCH(Tbl_PDSAData[[#This Row],[Resident Name (last, first)]],Tbl_ResidentData[Resident Name '[last, first']],0))&amp;"","")</f>
        <v/>
      </c>
      <c r="E70" s="190"/>
      <c r="F70" s="191"/>
      <c r="G70" s="190"/>
      <c r="H70" s="191"/>
      <c r="I70" s="190"/>
      <c r="J70" s="191"/>
      <c r="K70" s="190"/>
      <c r="L70" s="191"/>
      <c r="M70" s="190"/>
      <c r="N70" s="191"/>
      <c r="O70" s="190"/>
      <c r="P70" s="191"/>
      <c r="Q70" s="190"/>
      <c r="R70" s="191"/>
      <c r="S70" s="190"/>
      <c r="T70" s="191"/>
      <c r="U70" s="190"/>
      <c r="V70" s="191"/>
      <c r="W70" s="190"/>
      <c r="X70" s="191"/>
      <c r="Y70" s="190"/>
      <c r="Z70" s="191"/>
      <c r="AA70" s="190"/>
      <c r="AB70" s="191"/>
      <c r="AC70" s="190"/>
      <c r="AD70" s="191"/>
      <c r="AE70" s="190"/>
      <c r="AF70" s="191"/>
      <c r="AG70" s="190"/>
      <c r="AH70" s="191"/>
      <c r="AI70" s="190"/>
      <c r="AJ70" s="191"/>
      <c r="AK70" s="190"/>
      <c r="AL70" s="191"/>
      <c r="AM70" s="190"/>
      <c r="AN70" s="191"/>
      <c r="AO70" s="190"/>
      <c r="AP70" s="191"/>
      <c r="AQ70" s="190"/>
      <c r="AR70" s="191"/>
      <c r="AS70" s="190"/>
      <c r="AT70" s="191"/>
      <c r="AU70" s="190"/>
      <c r="AV70" s="191"/>
      <c r="AW70" s="190"/>
      <c r="AX70" s="191"/>
      <c r="AY70" s="190"/>
      <c r="AZ70" s="191"/>
      <c r="BA70" s="145" t="str">
        <f>IFERROR(INDEX($E$4:$AZ$4,SUMPRODUCT(MAX(COLUMN(Tbl_PDSAData[[#This Row],[D1]:[M24]])*(ListLookup!$G$3=Tbl_PDSAData[[#This Row],[D1]:[M24]]))-4)),"")</f>
        <v/>
      </c>
      <c r="BB70" s="145" t="str">
        <f>IFERROR(INDEX($E$4:$AZ$4,SUMPRODUCT(MAX(COLUMN(Tbl_PDSAData[[#This Row],[D1]:[M24]])*(ListLookup!$H$3=Tbl_PDSAData[[#This Row],[D1]:[M24]]))-4)),"")</f>
        <v/>
      </c>
    </row>
    <row r="71" spans="1:54" s="74" customFormat="1" x14ac:dyDescent="0.25">
      <c r="A71" s="189"/>
      <c r="B71" s="134" t="str">
        <f>IFERROR(INDEX(Tbl_ResidentData[Physician],MATCH(Tbl_PDSAData[[#This Row],[Resident Name (last, first)]],Tbl_ResidentData[Resident Name '[last, first']],0))&amp;"","")</f>
        <v/>
      </c>
      <c r="C71" s="135" t="str">
        <f>IFERROR(INDEX(Tbl_ResidentData[Diagnosis (RAI)],MATCH(Tbl_PDSAData[[#This Row],[Resident Name (last, first)]],Tbl_ResidentData[Resident Name '[last, first']],0))&amp;"","")</f>
        <v/>
      </c>
      <c r="D71" s="144" t="str">
        <f>IFERROR(INDEX(Tbl_ResidentData[Clinical Notes
'[free text']],MATCH(Tbl_PDSAData[[#This Row],[Resident Name (last, first)]],Tbl_ResidentData[Resident Name '[last, first']],0))&amp;"","")</f>
        <v/>
      </c>
      <c r="E71" s="190"/>
      <c r="F71" s="191"/>
      <c r="G71" s="190"/>
      <c r="H71" s="191"/>
      <c r="I71" s="190"/>
      <c r="J71" s="191"/>
      <c r="K71" s="190"/>
      <c r="L71" s="191"/>
      <c r="M71" s="190"/>
      <c r="N71" s="191"/>
      <c r="O71" s="190"/>
      <c r="P71" s="191"/>
      <c r="Q71" s="190"/>
      <c r="R71" s="191"/>
      <c r="S71" s="190"/>
      <c r="T71" s="191"/>
      <c r="U71" s="190"/>
      <c r="V71" s="191"/>
      <c r="W71" s="190"/>
      <c r="X71" s="191"/>
      <c r="Y71" s="190"/>
      <c r="Z71" s="191"/>
      <c r="AA71" s="190"/>
      <c r="AB71" s="191"/>
      <c r="AC71" s="190"/>
      <c r="AD71" s="191"/>
      <c r="AE71" s="190"/>
      <c r="AF71" s="191"/>
      <c r="AG71" s="190"/>
      <c r="AH71" s="191"/>
      <c r="AI71" s="190"/>
      <c r="AJ71" s="191"/>
      <c r="AK71" s="190"/>
      <c r="AL71" s="191"/>
      <c r="AM71" s="190"/>
      <c r="AN71" s="191"/>
      <c r="AO71" s="190"/>
      <c r="AP71" s="191"/>
      <c r="AQ71" s="190"/>
      <c r="AR71" s="191"/>
      <c r="AS71" s="190"/>
      <c r="AT71" s="191"/>
      <c r="AU71" s="190"/>
      <c r="AV71" s="191"/>
      <c r="AW71" s="190"/>
      <c r="AX71" s="191"/>
      <c r="AY71" s="190"/>
      <c r="AZ71" s="191"/>
      <c r="BA71" s="145" t="str">
        <f>IFERROR(INDEX($E$4:$AZ$4,SUMPRODUCT(MAX(COLUMN(Tbl_PDSAData[[#This Row],[D1]:[M24]])*(ListLookup!$G$3=Tbl_PDSAData[[#This Row],[D1]:[M24]]))-4)),"")</f>
        <v/>
      </c>
      <c r="BB71" s="145" t="str">
        <f>IFERROR(INDEX($E$4:$AZ$4,SUMPRODUCT(MAX(COLUMN(Tbl_PDSAData[[#This Row],[D1]:[M24]])*(ListLookup!$H$3=Tbl_PDSAData[[#This Row],[D1]:[M24]]))-4)),"")</f>
        <v/>
      </c>
    </row>
    <row r="72" spans="1:54" s="74" customFormat="1" x14ac:dyDescent="0.25">
      <c r="A72" s="189"/>
      <c r="B72" s="134" t="str">
        <f>IFERROR(INDEX(Tbl_ResidentData[Physician],MATCH(Tbl_PDSAData[[#This Row],[Resident Name (last, first)]],Tbl_ResidentData[Resident Name '[last, first']],0))&amp;"","")</f>
        <v/>
      </c>
      <c r="C72" s="135" t="str">
        <f>IFERROR(INDEX(Tbl_ResidentData[Diagnosis (RAI)],MATCH(Tbl_PDSAData[[#This Row],[Resident Name (last, first)]],Tbl_ResidentData[Resident Name '[last, first']],0))&amp;"","")</f>
        <v/>
      </c>
      <c r="D72" s="144" t="str">
        <f>IFERROR(INDEX(Tbl_ResidentData[Clinical Notes
'[free text']],MATCH(Tbl_PDSAData[[#This Row],[Resident Name (last, first)]],Tbl_ResidentData[Resident Name '[last, first']],0))&amp;"","")</f>
        <v/>
      </c>
      <c r="E72" s="190"/>
      <c r="F72" s="191"/>
      <c r="G72" s="190"/>
      <c r="H72" s="191"/>
      <c r="I72" s="190"/>
      <c r="J72" s="191"/>
      <c r="K72" s="190"/>
      <c r="L72" s="191"/>
      <c r="M72" s="190"/>
      <c r="N72" s="191"/>
      <c r="O72" s="190"/>
      <c r="P72" s="191"/>
      <c r="Q72" s="190"/>
      <c r="R72" s="191"/>
      <c r="S72" s="190"/>
      <c r="T72" s="191"/>
      <c r="U72" s="190"/>
      <c r="V72" s="191"/>
      <c r="W72" s="190"/>
      <c r="X72" s="191"/>
      <c r="Y72" s="190"/>
      <c r="Z72" s="191"/>
      <c r="AA72" s="190"/>
      <c r="AB72" s="191"/>
      <c r="AC72" s="190"/>
      <c r="AD72" s="191"/>
      <c r="AE72" s="190"/>
      <c r="AF72" s="191"/>
      <c r="AG72" s="190"/>
      <c r="AH72" s="191"/>
      <c r="AI72" s="190"/>
      <c r="AJ72" s="191"/>
      <c r="AK72" s="190"/>
      <c r="AL72" s="191"/>
      <c r="AM72" s="190"/>
      <c r="AN72" s="191"/>
      <c r="AO72" s="190"/>
      <c r="AP72" s="191"/>
      <c r="AQ72" s="190"/>
      <c r="AR72" s="191"/>
      <c r="AS72" s="190"/>
      <c r="AT72" s="191"/>
      <c r="AU72" s="190"/>
      <c r="AV72" s="191"/>
      <c r="AW72" s="190"/>
      <c r="AX72" s="191"/>
      <c r="AY72" s="190"/>
      <c r="AZ72" s="191"/>
      <c r="BA72" s="145" t="str">
        <f>IFERROR(INDEX($E$4:$AZ$4,SUMPRODUCT(MAX(COLUMN(Tbl_PDSAData[[#This Row],[D1]:[M24]])*(ListLookup!$G$3=Tbl_PDSAData[[#This Row],[D1]:[M24]]))-4)),"")</f>
        <v/>
      </c>
      <c r="BB72" s="145" t="str">
        <f>IFERROR(INDEX($E$4:$AZ$4,SUMPRODUCT(MAX(COLUMN(Tbl_PDSAData[[#This Row],[D1]:[M24]])*(ListLookup!$H$3=Tbl_PDSAData[[#This Row],[D1]:[M24]]))-4)),"")</f>
        <v/>
      </c>
    </row>
    <row r="73" spans="1:54" s="74" customFormat="1" x14ac:dyDescent="0.25">
      <c r="A73" s="189"/>
      <c r="B73" s="134" t="str">
        <f>IFERROR(INDEX(Tbl_ResidentData[Physician],MATCH(Tbl_PDSAData[[#This Row],[Resident Name (last, first)]],Tbl_ResidentData[Resident Name '[last, first']],0))&amp;"","")</f>
        <v/>
      </c>
      <c r="C73" s="135" t="str">
        <f>IFERROR(INDEX(Tbl_ResidentData[Diagnosis (RAI)],MATCH(Tbl_PDSAData[[#This Row],[Resident Name (last, first)]],Tbl_ResidentData[Resident Name '[last, first']],0))&amp;"","")</f>
        <v/>
      </c>
      <c r="D73" s="144" t="str">
        <f>IFERROR(INDEX(Tbl_ResidentData[Clinical Notes
'[free text']],MATCH(Tbl_PDSAData[[#This Row],[Resident Name (last, first)]],Tbl_ResidentData[Resident Name '[last, first']],0))&amp;"","")</f>
        <v/>
      </c>
      <c r="E73" s="190"/>
      <c r="F73" s="191"/>
      <c r="G73" s="190"/>
      <c r="H73" s="191"/>
      <c r="I73" s="190"/>
      <c r="J73" s="191"/>
      <c r="K73" s="190"/>
      <c r="L73" s="191"/>
      <c r="M73" s="190"/>
      <c r="N73" s="191"/>
      <c r="O73" s="190"/>
      <c r="P73" s="191"/>
      <c r="Q73" s="190"/>
      <c r="R73" s="191"/>
      <c r="S73" s="190"/>
      <c r="T73" s="191"/>
      <c r="U73" s="190"/>
      <c r="V73" s="191"/>
      <c r="W73" s="190"/>
      <c r="X73" s="191"/>
      <c r="Y73" s="190"/>
      <c r="Z73" s="191"/>
      <c r="AA73" s="190"/>
      <c r="AB73" s="191"/>
      <c r="AC73" s="190"/>
      <c r="AD73" s="191"/>
      <c r="AE73" s="190"/>
      <c r="AF73" s="191"/>
      <c r="AG73" s="190"/>
      <c r="AH73" s="191"/>
      <c r="AI73" s="190"/>
      <c r="AJ73" s="191"/>
      <c r="AK73" s="190"/>
      <c r="AL73" s="191"/>
      <c r="AM73" s="190"/>
      <c r="AN73" s="191"/>
      <c r="AO73" s="190"/>
      <c r="AP73" s="191"/>
      <c r="AQ73" s="190"/>
      <c r="AR73" s="191"/>
      <c r="AS73" s="190"/>
      <c r="AT73" s="191"/>
      <c r="AU73" s="190"/>
      <c r="AV73" s="191"/>
      <c r="AW73" s="190"/>
      <c r="AX73" s="191"/>
      <c r="AY73" s="190"/>
      <c r="AZ73" s="191"/>
      <c r="BA73" s="145" t="str">
        <f>IFERROR(INDEX($E$4:$AZ$4,SUMPRODUCT(MAX(COLUMN(Tbl_PDSAData[[#This Row],[D1]:[M24]])*(ListLookup!$G$3=Tbl_PDSAData[[#This Row],[D1]:[M24]]))-4)),"")</f>
        <v/>
      </c>
      <c r="BB73" s="145" t="str">
        <f>IFERROR(INDEX($E$4:$AZ$4,SUMPRODUCT(MAX(COLUMN(Tbl_PDSAData[[#This Row],[D1]:[M24]])*(ListLookup!$H$3=Tbl_PDSAData[[#This Row],[D1]:[M24]]))-4)),"")</f>
        <v/>
      </c>
    </row>
    <row r="74" spans="1:54" s="74" customFormat="1" x14ac:dyDescent="0.25">
      <c r="A74" s="189"/>
      <c r="B74" s="134" t="str">
        <f>IFERROR(INDEX(Tbl_ResidentData[Physician],MATCH(Tbl_PDSAData[[#This Row],[Resident Name (last, first)]],Tbl_ResidentData[Resident Name '[last, first']],0))&amp;"","")</f>
        <v/>
      </c>
      <c r="C74" s="135" t="str">
        <f>IFERROR(INDEX(Tbl_ResidentData[Diagnosis (RAI)],MATCH(Tbl_PDSAData[[#This Row],[Resident Name (last, first)]],Tbl_ResidentData[Resident Name '[last, first']],0))&amp;"","")</f>
        <v/>
      </c>
      <c r="D74" s="144" t="str">
        <f>IFERROR(INDEX(Tbl_ResidentData[Clinical Notes
'[free text']],MATCH(Tbl_PDSAData[[#This Row],[Resident Name (last, first)]],Tbl_ResidentData[Resident Name '[last, first']],0))&amp;"","")</f>
        <v/>
      </c>
      <c r="E74" s="190"/>
      <c r="F74" s="191"/>
      <c r="G74" s="190"/>
      <c r="H74" s="191"/>
      <c r="I74" s="190"/>
      <c r="J74" s="191"/>
      <c r="K74" s="190"/>
      <c r="L74" s="191"/>
      <c r="M74" s="190"/>
      <c r="N74" s="191"/>
      <c r="O74" s="190"/>
      <c r="P74" s="191"/>
      <c r="Q74" s="190"/>
      <c r="R74" s="191"/>
      <c r="S74" s="190"/>
      <c r="T74" s="191"/>
      <c r="U74" s="190"/>
      <c r="V74" s="191"/>
      <c r="W74" s="190"/>
      <c r="X74" s="191"/>
      <c r="Y74" s="190"/>
      <c r="Z74" s="191"/>
      <c r="AA74" s="190"/>
      <c r="AB74" s="191"/>
      <c r="AC74" s="190"/>
      <c r="AD74" s="191"/>
      <c r="AE74" s="190"/>
      <c r="AF74" s="191"/>
      <c r="AG74" s="190"/>
      <c r="AH74" s="191"/>
      <c r="AI74" s="190"/>
      <c r="AJ74" s="191"/>
      <c r="AK74" s="190"/>
      <c r="AL74" s="191"/>
      <c r="AM74" s="190"/>
      <c r="AN74" s="191"/>
      <c r="AO74" s="190"/>
      <c r="AP74" s="191"/>
      <c r="AQ74" s="190"/>
      <c r="AR74" s="191"/>
      <c r="AS74" s="190"/>
      <c r="AT74" s="191"/>
      <c r="AU74" s="190"/>
      <c r="AV74" s="191"/>
      <c r="AW74" s="190"/>
      <c r="AX74" s="191"/>
      <c r="AY74" s="190"/>
      <c r="AZ74" s="191"/>
      <c r="BA74" s="145" t="str">
        <f>IFERROR(INDEX($E$4:$AZ$4,SUMPRODUCT(MAX(COLUMN(Tbl_PDSAData[[#This Row],[D1]:[M24]])*(ListLookup!$G$3=Tbl_PDSAData[[#This Row],[D1]:[M24]]))-4)),"")</f>
        <v/>
      </c>
      <c r="BB74" s="145" t="str">
        <f>IFERROR(INDEX($E$4:$AZ$4,SUMPRODUCT(MAX(COLUMN(Tbl_PDSAData[[#This Row],[D1]:[M24]])*(ListLookup!$H$3=Tbl_PDSAData[[#This Row],[D1]:[M24]]))-4)),"")</f>
        <v/>
      </c>
    </row>
    <row r="75" spans="1:54" s="74" customFormat="1" x14ac:dyDescent="0.25">
      <c r="A75" s="189"/>
      <c r="B75" s="134" t="str">
        <f>IFERROR(INDEX(Tbl_ResidentData[Physician],MATCH(Tbl_PDSAData[[#This Row],[Resident Name (last, first)]],Tbl_ResidentData[Resident Name '[last, first']],0))&amp;"","")</f>
        <v/>
      </c>
      <c r="C75" s="135" t="str">
        <f>IFERROR(INDEX(Tbl_ResidentData[Diagnosis (RAI)],MATCH(Tbl_PDSAData[[#This Row],[Resident Name (last, first)]],Tbl_ResidentData[Resident Name '[last, first']],0))&amp;"","")</f>
        <v/>
      </c>
      <c r="D75" s="144" t="str">
        <f>IFERROR(INDEX(Tbl_ResidentData[Clinical Notes
'[free text']],MATCH(Tbl_PDSAData[[#This Row],[Resident Name (last, first)]],Tbl_ResidentData[Resident Name '[last, first']],0))&amp;"","")</f>
        <v/>
      </c>
      <c r="E75" s="190"/>
      <c r="F75" s="191"/>
      <c r="G75" s="190"/>
      <c r="H75" s="191"/>
      <c r="I75" s="190"/>
      <c r="J75" s="191"/>
      <c r="K75" s="190"/>
      <c r="L75" s="191"/>
      <c r="M75" s="190"/>
      <c r="N75" s="191"/>
      <c r="O75" s="190"/>
      <c r="P75" s="191"/>
      <c r="Q75" s="190"/>
      <c r="R75" s="191"/>
      <c r="S75" s="190"/>
      <c r="T75" s="191"/>
      <c r="U75" s="190"/>
      <c r="V75" s="191"/>
      <c r="W75" s="190"/>
      <c r="X75" s="191"/>
      <c r="Y75" s="190"/>
      <c r="Z75" s="191"/>
      <c r="AA75" s="190"/>
      <c r="AB75" s="191"/>
      <c r="AC75" s="190"/>
      <c r="AD75" s="191"/>
      <c r="AE75" s="190"/>
      <c r="AF75" s="191"/>
      <c r="AG75" s="190"/>
      <c r="AH75" s="191"/>
      <c r="AI75" s="190"/>
      <c r="AJ75" s="191"/>
      <c r="AK75" s="190"/>
      <c r="AL75" s="191"/>
      <c r="AM75" s="190"/>
      <c r="AN75" s="191"/>
      <c r="AO75" s="190"/>
      <c r="AP75" s="191"/>
      <c r="AQ75" s="190"/>
      <c r="AR75" s="191"/>
      <c r="AS75" s="190"/>
      <c r="AT75" s="191"/>
      <c r="AU75" s="190"/>
      <c r="AV75" s="191"/>
      <c r="AW75" s="190"/>
      <c r="AX75" s="191"/>
      <c r="AY75" s="190"/>
      <c r="AZ75" s="191"/>
      <c r="BA75" s="145" t="str">
        <f>IFERROR(INDEX($E$4:$AZ$4,SUMPRODUCT(MAX(COLUMN(Tbl_PDSAData[[#This Row],[D1]:[M24]])*(ListLookup!$G$3=Tbl_PDSAData[[#This Row],[D1]:[M24]]))-4)),"")</f>
        <v/>
      </c>
      <c r="BB75" s="145" t="str">
        <f>IFERROR(INDEX($E$4:$AZ$4,SUMPRODUCT(MAX(COLUMN(Tbl_PDSAData[[#This Row],[D1]:[M24]])*(ListLookup!$H$3=Tbl_PDSAData[[#This Row],[D1]:[M24]]))-4)),"")</f>
        <v/>
      </c>
    </row>
    <row r="76" spans="1:54" s="74" customFormat="1" x14ac:dyDescent="0.25">
      <c r="A76" s="189"/>
      <c r="B76" s="134" t="str">
        <f>IFERROR(INDEX(Tbl_ResidentData[Physician],MATCH(Tbl_PDSAData[[#This Row],[Resident Name (last, first)]],Tbl_ResidentData[Resident Name '[last, first']],0))&amp;"","")</f>
        <v/>
      </c>
      <c r="C76" s="135" t="str">
        <f>IFERROR(INDEX(Tbl_ResidentData[Diagnosis (RAI)],MATCH(Tbl_PDSAData[[#This Row],[Resident Name (last, first)]],Tbl_ResidentData[Resident Name '[last, first']],0))&amp;"","")</f>
        <v/>
      </c>
      <c r="D76" s="144" t="str">
        <f>IFERROR(INDEX(Tbl_ResidentData[Clinical Notes
'[free text']],MATCH(Tbl_PDSAData[[#This Row],[Resident Name (last, first)]],Tbl_ResidentData[Resident Name '[last, first']],0))&amp;"","")</f>
        <v/>
      </c>
      <c r="E76" s="190"/>
      <c r="F76" s="191"/>
      <c r="G76" s="190"/>
      <c r="H76" s="191"/>
      <c r="I76" s="190"/>
      <c r="J76" s="191"/>
      <c r="K76" s="190"/>
      <c r="L76" s="191"/>
      <c r="M76" s="190"/>
      <c r="N76" s="191"/>
      <c r="O76" s="190"/>
      <c r="P76" s="191"/>
      <c r="Q76" s="190"/>
      <c r="R76" s="191"/>
      <c r="S76" s="190"/>
      <c r="T76" s="191"/>
      <c r="U76" s="190"/>
      <c r="V76" s="191"/>
      <c r="W76" s="190"/>
      <c r="X76" s="191"/>
      <c r="Y76" s="190"/>
      <c r="Z76" s="191"/>
      <c r="AA76" s="190"/>
      <c r="AB76" s="191"/>
      <c r="AC76" s="190"/>
      <c r="AD76" s="191"/>
      <c r="AE76" s="190"/>
      <c r="AF76" s="191"/>
      <c r="AG76" s="190"/>
      <c r="AH76" s="191"/>
      <c r="AI76" s="190"/>
      <c r="AJ76" s="191"/>
      <c r="AK76" s="190"/>
      <c r="AL76" s="191"/>
      <c r="AM76" s="190"/>
      <c r="AN76" s="191"/>
      <c r="AO76" s="190"/>
      <c r="AP76" s="191"/>
      <c r="AQ76" s="190"/>
      <c r="AR76" s="191"/>
      <c r="AS76" s="190"/>
      <c r="AT76" s="191"/>
      <c r="AU76" s="190"/>
      <c r="AV76" s="191"/>
      <c r="AW76" s="190"/>
      <c r="AX76" s="191"/>
      <c r="AY76" s="190"/>
      <c r="AZ76" s="191"/>
      <c r="BA76" s="145" t="str">
        <f>IFERROR(INDEX($E$4:$AZ$4,SUMPRODUCT(MAX(COLUMN(Tbl_PDSAData[[#This Row],[D1]:[M24]])*(ListLookup!$G$3=Tbl_PDSAData[[#This Row],[D1]:[M24]]))-4)),"")</f>
        <v/>
      </c>
      <c r="BB76" s="145" t="str">
        <f>IFERROR(INDEX($E$4:$AZ$4,SUMPRODUCT(MAX(COLUMN(Tbl_PDSAData[[#This Row],[D1]:[M24]])*(ListLookup!$H$3=Tbl_PDSAData[[#This Row],[D1]:[M24]]))-4)),"")</f>
        <v/>
      </c>
    </row>
    <row r="77" spans="1:54" s="74" customFormat="1" x14ac:dyDescent="0.25">
      <c r="A77" s="189"/>
      <c r="B77" s="134" t="str">
        <f>IFERROR(INDEX(Tbl_ResidentData[Physician],MATCH(Tbl_PDSAData[[#This Row],[Resident Name (last, first)]],Tbl_ResidentData[Resident Name '[last, first']],0))&amp;"","")</f>
        <v/>
      </c>
      <c r="C77" s="135" t="str">
        <f>IFERROR(INDEX(Tbl_ResidentData[Diagnosis (RAI)],MATCH(Tbl_PDSAData[[#This Row],[Resident Name (last, first)]],Tbl_ResidentData[Resident Name '[last, first']],0))&amp;"","")</f>
        <v/>
      </c>
      <c r="D77" s="144" t="str">
        <f>IFERROR(INDEX(Tbl_ResidentData[Clinical Notes
'[free text']],MATCH(Tbl_PDSAData[[#This Row],[Resident Name (last, first)]],Tbl_ResidentData[Resident Name '[last, first']],0))&amp;"","")</f>
        <v/>
      </c>
      <c r="E77" s="190"/>
      <c r="F77" s="191"/>
      <c r="G77" s="190"/>
      <c r="H77" s="191"/>
      <c r="I77" s="190"/>
      <c r="J77" s="191"/>
      <c r="K77" s="190"/>
      <c r="L77" s="191"/>
      <c r="M77" s="190"/>
      <c r="N77" s="191"/>
      <c r="O77" s="190"/>
      <c r="P77" s="191"/>
      <c r="Q77" s="190"/>
      <c r="R77" s="191"/>
      <c r="S77" s="190"/>
      <c r="T77" s="191"/>
      <c r="U77" s="190"/>
      <c r="V77" s="191"/>
      <c r="W77" s="190"/>
      <c r="X77" s="191"/>
      <c r="Y77" s="190"/>
      <c r="Z77" s="191"/>
      <c r="AA77" s="190"/>
      <c r="AB77" s="191"/>
      <c r="AC77" s="190"/>
      <c r="AD77" s="191"/>
      <c r="AE77" s="190"/>
      <c r="AF77" s="191"/>
      <c r="AG77" s="190"/>
      <c r="AH77" s="191"/>
      <c r="AI77" s="190"/>
      <c r="AJ77" s="191"/>
      <c r="AK77" s="190"/>
      <c r="AL77" s="191"/>
      <c r="AM77" s="190"/>
      <c r="AN77" s="191"/>
      <c r="AO77" s="190"/>
      <c r="AP77" s="191"/>
      <c r="AQ77" s="190"/>
      <c r="AR77" s="191"/>
      <c r="AS77" s="190"/>
      <c r="AT77" s="191"/>
      <c r="AU77" s="190"/>
      <c r="AV77" s="191"/>
      <c r="AW77" s="190"/>
      <c r="AX77" s="191"/>
      <c r="AY77" s="190"/>
      <c r="AZ77" s="191"/>
      <c r="BA77" s="145" t="str">
        <f>IFERROR(INDEX($E$4:$AZ$4,SUMPRODUCT(MAX(COLUMN(Tbl_PDSAData[[#This Row],[D1]:[M24]])*(ListLookup!$G$3=Tbl_PDSAData[[#This Row],[D1]:[M24]]))-4)),"")</f>
        <v/>
      </c>
      <c r="BB77" s="145" t="str">
        <f>IFERROR(INDEX($E$4:$AZ$4,SUMPRODUCT(MAX(COLUMN(Tbl_PDSAData[[#This Row],[D1]:[M24]])*(ListLookup!$H$3=Tbl_PDSAData[[#This Row],[D1]:[M24]]))-4)),"")</f>
        <v/>
      </c>
    </row>
    <row r="78" spans="1:54" s="74" customFormat="1" x14ac:dyDescent="0.25">
      <c r="A78" s="189"/>
      <c r="B78" s="134" t="str">
        <f>IFERROR(INDEX(Tbl_ResidentData[Physician],MATCH(Tbl_PDSAData[[#This Row],[Resident Name (last, first)]],Tbl_ResidentData[Resident Name '[last, first']],0))&amp;"","")</f>
        <v/>
      </c>
      <c r="C78" s="135" t="str">
        <f>IFERROR(INDEX(Tbl_ResidentData[Diagnosis (RAI)],MATCH(Tbl_PDSAData[[#This Row],[Resident Name (last, first)]],Tbl_ResidentData[Resident Name '[last, first']],0))&amp;"","")</f>
        <v/>
      </c>
      <c r="D78" s="144" t="str">
        <f>IFERROR(INDEX(Tbl_ResidentData[Clinical Notes
'[free text']],MATCH(Tbl_PDSAData[[#This Row],[Resident Name (last, first)]],Tbl_ResidentData[Resident Name '[last, first']],0))&amp;"","")</f>
        <v/>
      </c>
      <c r="E78" s="190"/>
      <c r="F78" s="191"/>
      <c r="G78" s="190"/>
      <c r="H78" s="191"/>
      <c r="I78" s="190"/>
      <c r="J78" s="191"/>
      <c r="K78" s="190"/>
      <c r="L78" s="191"/>
      <c r="M78" s="190"/>
      <c r="N78" s="191"/>
      <c r="O78" s="190"/>
      <c r="P78" s="191"/>
      <c r="Q78" s="190"/>
      <c r="R78" s="191"/>
      <c r="S78" s="190"/>
      <c r="T78" s="191"/>
      <c r="U78" s="190"/>
      <c r="V78" s="191"/>
      <c r="W78" s="190"/>
      <c r="X78" s="191"/>
      <c r="Y78" s="190"/>
      <c r="Z78" s="191"/>
      <c r="AA78" s="190"/>
      <c r="AB78" s="191"/>
      <c r="AC78" s="190"/>
      <c r="AD78" s="191"/>
      <c r="AE78" s="190"/>
      <c r="AF78" s="191"/>
      <c r="AG78" s="190"/>
      <c r="AH78" s="191"/>
      <c r="AI78" s="190"/>
      <c r="AJ78" s="191"/>
      <c r="AK78" s="190"/>
      <c r="AL78" s="191"/>
      <c r="AM78" s="190"/>
      <c r="AN78" s="191"/>
      <c r="AO78" s="190"/>
      <c r="AP78" s="191"/>
      <c r="AQ78" s="190"/>
      <c r="AR78" s="191"/>
      <c r="AS78" s="190"/>
      <c r="AT78" s="191"/>
      <c r="AU78" s="190"/>
      <c r="AV78" s="191"/>
      <c r="AW78" s="190"/>
      <c r="AX78" s="191"/>
      <c r="AY78" s="190"/>
      <c r="AZ78" s="191"/>
      <c r="BA78" s="145" t="str">
        <f>IFERROR(INDEX($E$4:$AZ$4,SUMPRODUCT(MAX(COLUMN(Tbl_PDSAData[[#This Row],[D1]:[M24]])*(ListLookup!$G$3=Tbl_PDSAData[[#This Row],[D1]:[M24]]))-4)),"")</f>
        <v/>
      </c>
      <c r="BB78" s="145" t="str">
        <f>IFERROR(INDEX($E$4:$AZ$4,SUMPRODUCT(MAX(COLUMN(Tbl_PDSAData[[#This Row],[D1]:[M24]])*(ListLookup!$H$3=Tbl_PDSAData[[#This Row],[D1]:[M24]]))-4)),"")</f>
        <v/>
      </c>
    </row>
    <row r="79" spans="1:54" s="74" customFormat="1" x14ac:dyDescent="0.25">
      <c r="A79" s="189"/>
      <c r="B79" s="134" t="str">
        <f>IFERROR(INDEX(Tbl_ResidentData[Physician],MATCH(Tbl_PDSAData[[#This Row],[Resident Name (last, first)]],Tbl_ResidentData[Resident Name '[last, first']],0))&amp;"","")</f>
        <v/>
      </c>
      <c r="C79" s="135" t="str">
        <f>IFERROR(INDEX(Tbl_ResidentData[Diagnosis (RAI)],MATCH(Tbl_PDSAData[[#This Row],[Resident Name (last, first)]],Tbl_ResidentData[Resident Name '[last, first']],0))&amp;"","")</f>
        <v/>
      </c>
      <c r="D79" s="144" t="str">
        <f>IFERROR(INDEX(Tbl_ResidentData[Clinical Notes
'[free text']],MATCH(Tbl_PDSAData[[#This Row],[Resident Name (last, first)]],Tbl_ResidentData[Resident Name '[last, first']],0))&amp;"","")</f>
        <v/>
      </c>
      <c r="E79" s="190"/>
      <c r="F79" s="191"/>
      <c r="G79" s="190"/>
      <c r="H79" s="191"/>
      <c r="I79" s="190"/>
      <c r="J79" s="191"/>
      <c r="K79" s="190"/>
      <c r="L79" s="191"/>
      <c r="M79" s="190"/>
      <c r="N79" s="191"/>
      <c r="O79" s="190"/>
      <c r="P79" s="191"/>
      <c r="Q79" s="190"/>
      <c r="R79" s="191"/>
      <c r="S79" s="190"/>
      <c r="T79" s="191"/>
      <c r="U79" s="190"/>
      <c r="V79" s="191"/>
      <c r="W79" s="190"/>
      <c r="X79" s="191"/>
      <c r="Y79" s="190"/>
      <c r="Z79" s="191"/>
      <c r="AA79" s="190"/>
      <c r="AB79" s="191"/>
      <c r="AC79" s="190"/>
      <c r="AD79" s="191"/>
      <c r="AE79" s="190"/>
      <c r="AF79" s="191"/>
      <c r="AG79" s="190"/>
      <c r="AH79" s="191"/>
      <c r="AI79" s="190"/>
      <c r="AJ79" s="191"/>
      <c r="AK79" s="190"/>
      <c r="AL79" s="191"/>
      <c r="AM79" s="190"/>
      <c r="AN79" s="191"/>
      <c r="AO79" s="190"/>
      <c r="AP79" s="191"/>
      <c r="AQ79" s="190"/>
      <c r="AR79" s="191"/>
      <c r="AS79" s="190"/>
      <c r="AT79" s="191"/>
      <c r="AU79" s="190"/>
      <c r="AV79" s="191"/>
      <c r="AW79" s="190"/>
      <c r="AX79" s="191"/>
      <c r="AY79" s="190"/>
      <c r="AZ79" s="191"/>
      <c r="BA79" s="145" t="str">
        <f>IFERROR(INDEX($E$4:$AZ$4,SUMPRODUCT(MAX(COLUMN(Tbl_PDSAData[[#This Row],[D1]:[M24]])*(ListLookup!$G$3=Tbl_PDSAData[[#This Row],[D1]:[M24]]))-4)),"")</f>
        <v/>
      </c>
      <c r="BB79" s="145" t="str">
        <f>IFERROR(INDEX($E$4:$AZ$4,SUMPRODUCT(MAX(COLUMN(Tbl_PDSAData[[#This Row],[D1]:[M24]])*(ListLookup!$H$3=Tbl_PDSAData[[#This Row],[D1]:[M24]]))-4)),"")</f>
        <v/>
      </c>
    </row>
    <row r="80" spans="1:54" s="74" customFormat="1" x14ac:dyDescent="0.25">
      <c r="A80" s="189"/>
      <c r="B80" s="134" t="str">
        <f>IFERROR(INDEX(Tbl_ResidentData[Physician],MATCH(Tbl_PDSAData[[#This Row],[Resident Name (last, first)]],Tbl_ResidentData[Resident Name '[last, first']],0))&amp;"","")</f>
        <v/>
      </c>
      <c r="C80" s="135" t="str">
        <f>IFERROR(INDEX(Tbl_ResidentData[Diagnosis (RAI)],MATCH(Tbl_PDSAData[[#This Row],[Resident Name (last, first)]],Tbl_ResidentData[Resident Name '[last, first']],0))&amp;"","")</f>
        <v/>
      </c>
      <c r="D80" s="144" t="str">
        <f>IFERROR(INDEX(Tbl_ResidentData[Clinical Notes
'[free text']],MATCH(Tbl_PDSAData[[#This Row],[Resident Name (last, first)]],Tbl_ResidentData[Resident Name '[last, first']],0))&amp;"","")</f>
        <v/>
      </c>
      <c r="E80" s="190"/>
      <c r="F80" s="191"/>
      <c r="G80" s="190"/>
      <c r="H80" s="191"/>
      <c r="I80" s="190"/>
      <c r="J80" s="191"/>
      <c r="K80" s="190"/>
      <c r="L80" s="191"/>
      <c r="M80" s="190"/>
      <c r="N80" s="191"/>
      <c r="O80" s="190"/>
      <c r="P80" s="191"/>
      <c r="Q80" s="190"/>
      <c r="R80" s="191"/>
      <c r="S80" s="190"/>
      <c r="T80" s="191"/>
      <c r="U80" s="190"/>
      <c r="V80" s="191"/>
      <c r="W80" s="190"/>
      <c r="X80" s="191"/>
      <c r="Y80" s="190"/>
      <c r="Z80" s="191"/>
      <c r="AA80" s="190"/>
      <c r="AB80" s="191"/>
      <c r="AC80" s="190"/>
      <c r="AD80" s="191"/>
      <c r="AE80" s="190"/>
      <c r="AF80" s="191"/>
      <c r="AG80" s="190"/>
      <c r="AH80" s="191"/>
      <c r="AI80" s="190"/>
      <c r="AJ80" s="191"/>
      <c r="AK80" s="190"/>
      <c r="AL80" s="191"/>
      <c r="AM80" s="190"/>
      <c r="AN80" s="191"/>
      <c r="AO80" s="190"/>
      <c r="AP80" s="191"/>
      <c r="AQ80" s="190"/>
      <c r="AR80" s="191"/>
      <c r="AS80" s="190"/>
      <c r="AT80" s="191"/>
      <c r="AU80" s="190"/>
      <c r="AV80" s="191"/>
      <c r="AW80" s="190"/>
      <c r="AX80" s="191"/>
      <c r="AY80" s="190"/>
      <c r="AZ80" s="191"/>
      <c r="BA80" s="145" t="str">
        <f>IFERROR(INDEX($E$4:$AZ$4,SUMPRODUCT(MAX(COLUMN(Tbl_PDSAData[[#This Row],[D1]:[M24]])*(ListLookup!$G$3=Tbl_PDSAData[[#This Row],[D1]:[M24]]))-4)),"")</f>
        <v/>
      </c>
      <c r="BB80" s="145" t="str">
        <f>IFERROR(INDEX($E$4:$AZ$4,SUMPRODUCT(MAX(COLUMN(Tbl_PDSAData[[#This Row],[D1]:[M24]])*(ListLookup!$H$3=Tbl_PDSAData[[#This Row],[D1]:[M24]]))-4)),"")</f>
        <v/>
      </c>
    </row>
    <row r="81" spans="1:54" s="74" customFormat="1" x14ac:dyDescent="0.25">
      <c r="A81" s="189"/>
      <c r="B81" s="134" t="str">
        <f>IFERROR(INDEX(Tbl_ResidentData[Physician],MATCH(Tbl_PDSAData[[#This Row],[Resident Name (last, first)]],Tbl_ResidentData[Resident Name '[last, first']],0))&amp;"","")</f>
        <v/>
      </c>
      <c r="C81" s="135" t="str">
        <f>IFERROR(INDEX(Tbl_ResidentData[Diagnosis (RAI)],MATCH(Tbl_PDSAData[[#This Row],[Resident Name (last, first)]],Tbl_ResidentData[Resident Name '[last, first']],0))&amp;"","")</f>
        <v/>
      </c>
      <c r="D81" s="144" t="str">
        <f>IFERROR(INDEX(Tbl_ResidentData[Clinical Notes
'[free text']],MATCH(Tbl_PDSAData[[#This Row],[Resident Name (last, first)]],Tbl_ResidentData[Resident Name '[last, first']],0))&amp;"","")</f>
        <v/>
      </c>
      <c r="E81" s="190"/>
      <c r="F81" s="191"/>
      <c r="G81" s="190"/>
      <c r="H81" s="191"/>
      <c r="I81" s="190"/>
      <c r="J81" s="191"/>
      <c r="K81" s="190"/>
      <c r="L81" s="191"/>
      <c r="M81" s="190"/>
      <c r="N81" s="191"/>
      <c r="O81" s="190"/>
      <c r="P81" s="191"/>
      <c r="Q81" s="190"/>
      <c r="R81" s="191"/>
      <c r="S81" s="190"/>
      <c r="T81" s="191"/>
      <c r="U81" s="190"/>
      <c r="V81" s="191"/>
      <c r="W81" s="190"/>
      <c r="X81" s="191"/>
      <c r="Y81" s="190"/>
      <c r="Z81" s="191"/>
      <c r="AA81" s="190"/>
      <c r="AB81" s="191"/>
      <c r="AC81" s="190"/>
      <c r="AD81" s="191"/>
      <c r="AE81" s="190"/>
      <c r="AF81" s="191"/>
      <c r="AG81" s="190"/>
      <c r="AH81" s="191"/>
      <c r="AI81" s="190"/>
      <c r="AJ81" s="191"/>
      <c r="AK81" s="190"/>
      <c r="AL81" s="191"/>
      <c r="AM81" s="190"/>
      <c r="AN81" s="191"/>
      <c r="AO81" s="190"/>
      <c r="AP81" s="191"/>
      <c r="AQ81" s="190"/>
      <c r="AR81" s="191"/>
      <c r="AS81" s="190"/>
      <c r="AT81" s="191"/>
      <c r="AU81" s="190"/>
      <c r="AV81" s="191"/>
      <c r="AW81" s="190"/>
      <c r="AX81" s="191"/>
      <c r="AY81" s="190"/>
      <c r="AZ81" s="191"/>
      <c r="BA81" s="145" t="str">
        <f>IFERROR(INDEX($E$4:$AZ$4,SUMPRODUCT(MAX(COLUMN(Tbl_PDSAData[[#This Row],[D1]:[M24]])*(ListLookup!$G$3=Tbl_PDSAData[[#This Row],[D1]:[M24]]))-4)),"")</f>
        <v/>
      </c>
      <c r="BB81" s="145" t="str">
        <f>IFERROR(INDEX($E$4:$AZ$4,SUMPRODUCT(MAX(COLUMN(Tbl_PDSAData[[#This Row],[D1]:[M24]])*(ListLookup!$H$3=Tbl_PDSAData[[#This Row],[D1]:[M24]]))-4)),"")</f>
        <v/>
      </c>
    </row>
    <row r="82" spans="1:54" s="74" customFormat="1" x14ac:dyDescent="0.25">
      <c r="A82" s="189"/>
      <c r="B82" s="134" t="str">
        <f>IFERROR(INDEX(Tbl_ResidentData[Physician],MATCH(Tbl_PDSAData[[#This Row],[Resident Name (last, first)]],Tbl_ResidentData[Resident Name '[last, first']],0))&amp;"","")</f>
        <v/>
      </c>
      <c r="C82" s="135" t="str">
        <f>IFERROR(INDEX(Tbl_ResidentData[Diagnosis (RAI)],MATCH(Tbl_PDSAData[[#This Row],[Resident Name (last, first)]],Tbl_ResidentData[Resident Name '[last, first']],0))&amp;"","")</f>
        <v/>
      </c>
      <c r="D82" s="144" t="str">
        <f>IFERROR(INDEX(Tbl_ResidentData[Clinical Notes
'[free text']],MATCH(Tbl_PDSAData[[#This Row],[Resident Name (last, first)]],Tbl_ResidentData[Resident Name '[last, first']],0))&amp;"","")</f>
        <v/>
      </c>
      <c r="E82" s="190"/>
      <c r="F82" s="191"/>
      <c r="G82" s="190"/>
      <c r="H82" s="191"/>
      <c r="I82" s="190"/>
      <c r="J82" s="191"/>
      <c r="K82" s="190"/>
      <c r="L82" s="191"/>
      <c r="M82" s="190"/>
      <c r="N82" s="191"/>
      <c r="O82" s="190"/>
      <c r="P82" s="191"/>
      <c r="Q82" s="190"/>
      <c r="R82" s="191"/>
      <c r="S82" s="190"/>
      <c r="T82" s="191"/>
      <c r="U82" s="190"/>
      <c r="V82" s="191"/>
      <c r="W82" s="190"/>
      <c r="X82" s="191"/>
      <c r="Y82" s="190"/>
      <c r="Z82" s="191"/>
      <c r="AA82" s="190"/>
      <c r="AB82" s="191"/>
      <c r="AC82" s="190"/>
      <c r="AD82" s="191"/>
      <c r="AE82" s="190"/>
      <c r="AF82" s="191"/>
      <c r="AG82" s="190"/>
      <c r="AH82" s="191"/>
      <c r="AI82" s="190"/>
      <c r="AJ82" s="191"/>
      <c r="AK82" s="190"/>
      <c r="AL82" s="191"/>
      <c r="AM82" s="190"/>
      <c r="AN82" s="191"/>
      <c r="AO82" s="190"/>
      <c r="AP82" s="191"/>
      <c r="AQ82" s="190"/>
      <c r="AR82" s="191"/>
      <c r="AS82" s="190"/>
      <c r="AT82" s="191"/>
      <c r="AU82" s="190"/>
      <c r="AV82" s="191"/>
      <c r="AW82" s="190"/>
      <c r="AX82" s="191"/>
      <c r="AY82" s="190"/>
      <c r="AZ82" s="191"/>
      <c r="BA82" s="145" t="str">
        <f>IFERROR(INDEX($E$4:$AZ$4,SUMPRODUCT(MAX(COLUMN(Tbl_PDSAData[[#This Row],[D1]:[M24]])*(ListLookup!$G$3=Tbl_PDSAData[[#This Row],[D1]:[M24]]))-4)),"")</f>
        <v/>
      </c>
      <c r="BB82" s="145" t="str">
        <f>IFERROR(INDEX($E$4:$AZ$4,SUMPRODUCT(MAX(COLUMN(Tbl_PDSAData[[#This Row],[D1]:[M24]])*(ListLookup!$H$3=Tbl_PDSAData[[#This Row],[D1]:[M24]]))-4)),"")</f>
        <v/>
      </c>
    </row>
    <row r="83" spans="1:54" s="74" customFormat="1" x14ac:dyDescent="0.25">
      <c r="A83" s="189"/>
      <c r="B83" s="134" t="str">
        <f>IFERROR(INDEX(Tbl_ResidentData[Physician],MATCH(Tbl_PDSAData[[#This Row],[Resident Name (last, first)]],Tbl_ResidentData[Resident Name '[last, first']],0))&amp;"","")</f>
        <v/>
      </c>
      <c r="C83" s="135" t="str">
        <f>IFERROR(INDEX(Tbl_ResidentData[Diagnosis (RAI)],MATCH(Tbl_PDSAData[[#This Row],[Resident Name (last, first)]],Tbl_ResidentData[Resident Name '[last, first']],0))&amp;"","")</f>
        <v/>
      </c>
      <c r="D83" s="144" t="str">
        <f>IFERROR(INDEX(Tbl_ResidentData[Clinical Notes
'[free text']],MATCH(Tbl_PDSAData[[#This Row],[Resident Name (last, first)]],Tbl_ResidentData[Resident Name '[last, first']],0))&amp;"","")</f>
        <v/>
      </c>
      <c r="E83" s="190"/>
      <c r="F83" s="191"/>
      <c r="G83" s="190"/>
      <c r="H83" s="191"/>
      <c r="I83" s="190"/>
      <c r="J83" s="191"/>
      <c r="K83" s="190"/>
      <c r="L83" s="191"/>
      <c r="M83" s="190"/>
      <c r="N83" s="191"/>
      <c r="O83" s="190"/>
      <c r="P83" s="191"/>
      <c r="Q83" s="190"/>
      <c r="R83" s="191"/>
      <c r="S83" s="190"/>
      <c r="T83" s="191"/>
      <c r="U83" s="190"/>
      <c r="V83" s="191"/>
      <c r="W83" s="190"/>
      <c r="X83" s="191"/>
      <c r="Y83" s="190"/>
      <c r="Z83" s="191"/>
      <c r="AA83" s="190"/>
      <c r="AB83" s="191"/>
      <c r="AC83" s="190"/>
      <c r="AD83" s="191"/>
      <c r="AE83" s="190"/>
      <c r="AF83" s="191"/>
      <c r="AG83" s="190"/>
      <c r="AH83" s="191"/>
      <c r="AI83" s="190"/>
      <c r="AJ83" s="191"/>
      <c r="AK83" s="190"/>
      <c r="AL83" s="191"/>
      <c r="AM83" s="190"/>
      <c r="AN83" s="191"/>
      <c r="AO83" s="190"/>
      <c r="AP83" s="191"/>
      <c r="AQ83" s="190"/>
      <c r="AR83" s="191"/>
      <c r="AS83" s="190"/>
      <c r="AT83" s="191"/>
      <c r="AU83" s="190"/>
      <c r="AV83" s="191"/>
      <c r="AW83" s="190"/>
      <c r="AX83" s="191"/>
      <c r="AY83" s="190"/>
      <c r="AZ83" s="191"/>
      <c r="BA83" s="145" t="str">
        <f>IFERROR(INDEX($E$4:$AZ$4,SUMPRODUCT(MAX(COLUMN(Tbl_PDSAData[[#This Row],[D1]:[M24]])*(ListLookup!$G$3=Tbl_PDSAData[[#This Row],[D1]:[M24]]))-4)),"")</f>
        <v/>
      </c>
      <c r="BB83" s="145" t="str">
        <f>IFERROR(INDEX($E$4:$AZ$4,SUMPRODUCT(MAX(COLUMN(Tbl_PDSAData[[#This Row],[D1]:[M24]])*(ListLookup!$H$3=Tbl_PDSAData[[#This Row],[D1]:[M24]]))-4)),"")</f>
        <v/>
      </c>
    </row>
    <row r="84" spans="1:54" s="74" customFormat="1" x14ac:dyDescent="0.25">
      <c r="A84" s="189"/>
      <c r="B84" s="134" t="str">
        <f>IFERROR(INDEX(Tbl_ResidentData[Physician],MATCH(Tbl_PDSAData[[#This Row],[Resident Name (last, first)]],Tbl_ResidentData[Resident Name '[last, first']],0))&amp;"","")</f>
        <v/>
      </c>
      <c r="C84" s="135" t="str">
        <f>IFERROR(INDEX(Tbl_ResidentData[Diagnosis (RAI)],MATCH(Tbl_PDSAData[[#This Row],[Resident Name (last, first)]],Tbl_ResidentData[Resident Name '[last, first']],0))&amp;"","")</f>
        <v/>
      </c>
      <c r="D84" s="144" t="str">
        <f>IFERROR(INDEX(Tbl_ResidentData[Clinical Notes
'[free text']],MATCH(Tbl_PDSAData[[#This Row],[Resident Name (last, first)]],Tbl_ResidentData[Resident Name '[last, first']],0))&amp;"","")</f>
        <v/>
      </c>
      <c r="E84" s="190"/>
      <c r="F84" s="191"/>
      <c r="G84" s="190"/>
      <c r="H84" s="191"/>
      <c r="I84" s="190"/>
      <c r="J84" s="191"/>
      <c r="K84" s="190"/>
      <c r="L84" s="191"/>
      <c r="M84" s="190"/>
      <c r="N84" s="191"/>
      <c r="O84" s="190"/>
      <c r="P84" s="191"/>
      <c r="Q84" s="190"/>
      <c r="R84" s="191"/>
      <c r="S84" s="190"/>
      <c r="T84" s="191"/>
      <c r="U84" s="190"/>
      <c r="V84" s="191"/>
      <c r="W84" s="190"/>
      <c r="X84" s="191"/>
      <c r="Y84" s="190"/>
      <c r="Z84" s="191"/>
      <c r="AA84" s="190"/>
      <c r="AB84" s="191"/>
      <c r="AC84" s="190"/>
      <c r="AD84" s="191"/>
      <c r="AE84" s="190"/>
      <c r="AF84" s="191"/>
      <c r="AG84" s="190"/>
      <c r="AH84" s="191"/>
      <c r="AI84" s="190"/>
      <c r="AJ84" s="191"/>
      <c r="AK84" s="190"/>
      <c r="AL84" s="191"/>
      <c r="AM84" s="190"/>
      <c r="AN84" s="191"/>
      <c r="AO84" s="190"/>
      <c r="AP84" s="191"/>
      <c r="AQ84" s="190"/>
      <c r="AR84" s="191"/>
      <c r="AS84" s="190"/>
      <c r="AT84" s="191"/>
      <c r="AU84" s="190"/>
      <c r="AV84" s="191"/>
      <c r="AW84" s="190"/>
      <c r="AX84" s="191"/>
      <c r="AY84" s="190"/>
      <c r="AZ84" s="191"/>
      <c r="BA84" s="145" t="str">
        <f>IFERROR(INDEX($E$4:$AZ$4,SUMPRODUCT(MAX(COLUMN(Tbl_PDSAData[[#This Row],[D1]:[M24]])*(ListLookup!$G$3=Tbl_PDSAData[[#This Row],[D1]:[M24]]))-4)),"")</f>
        <v/>
      </c>
      <c r="BB84" s="145" t="str">
        <f>IFERROR(INDEX($E$4:$AZ$4,SUMPRODUCT(MAX(COLUMN(Tbl_PDSAData[[#This Row],[D1]:[M24]])*(ListLookup!$H$3=Tbl_PDSAData[[#This Row],[D1]:[M24]]))-4)),"")</f>
        <v/>
      </c>
    </row>
    <row r="85" spans="1:54" s="74" customFormat="1" x14ac:dyDescent="0.25">
      <c r="A85" s="189"/>
      <c r="B85" s="134" t="str">
        <f>IFERROR(INDEX(Tbl_ResidentData[Physician],MATCH(Tbl_PDSAData[[#This Row],[Resident Name (last, first)]],Tbl_ResidentData[Resident Name '[last, first']],0))&amp;"","")</f>
        <v/>
      </c>
      <c r="C85" s="135" t="str">
        <f>IFERROR(INDEX(Tbl_ResidentData[Diagnosis (RAI)],MATCH(Tbl_PDSAData[[#This Row],[Resident Name (last, first)]],Tbl_ResidentData[Resident Name '[last, first']],0))&amp;"","")</f>
        <v/>
      </c>
      <c r="D85" s="144" t="str">
        <f>IFERROR(INDEX(Tbl_ResidentData[Clinical Notes
'[free text']],MATCH(Tbl_PDSAData[[#This Row],[Resident Name (last, first)]],Tbl_ResidentData[Resident Name '[last, first']],0))&amp;"","")</f>
        <v/>
      </c>
      <c r="E85" s="190"/>
      <c r="F85" s="191"/>
      <c r="G85" s="190"/>
      <c r="H85" s="191"/>
      <c r="I85" s="190"/>
      <c r="J85" s="191"/>
      <c r="K85" s="190"/>
      <c r="L85" s="191"/>
      <c r="M85" s="190"/>
      <c r="N85" s="191"/>
      <c r="O85" s="190"/>
      <c r="P85" s="191"/>
      <c r="Q85" s="190"/>
      <c r="R85" s="191"/>
      <c r="S85" s="190"/>
      <c r="T85" s="191"/>
      <c r="U85" s="190"/>
      <c r="V85" s="191"/>
      <c r="W85" s="190"/>
      <c r="X85" s="191"/>
      <c r="Y85" s="190"/>
      <c r="Z85" s="191"/>
      <c r="AA85" s="190"/>
      <c r="AB85" s="191"/>
      <c r="AC85" s="190"/>
      <c r="AD85" s="191"/>
      <c r="AE85" s="190"/>
      <c r="AF85" s="191"/>
      <c r="AG85" s="190"/>
      <c r="AH85" s="191"/>
      <c r="AI85" s="190"/>
      <c r="AJ85" s="191"/>
      <c r="AK85" s="190"/>
      <c r="AL85" s="191"/>
      <c r="AM85" s="190"/>
      <c r="AN85" s="191"/>
      <c r="AO85" s="190"/>
      <c r="AP85" s="191"/>
      <c r="AQ85" s="190"/>
      <c r="AR85" s="191"/>
      <c r="AS85" s="190"/>
      <c r="AT85" s="191"/>
      <c r="AU85" s="190"/>
      <c r="AV85" s="191"/>
      <c r="AW85" s="190"/>
      <c r="AX85" s="191"/>
      <c r="AY85" s="190"/>
      <c r="AZ85" s="191"/>
      <c r="BA85" s="145" t="str">
        <f>IFERROR(INDEX($E$4:$AZ$4,SUMPRODUCT(MAX(COLUMN(Tbl_PDSAData[[#This Row],[D1]:[M24]])*(ListLookup!$G$3=Tbl_PDSAData[[#This Row],[D1]:[M24]]))-4)),"")</f>
        <v/>
      </c>
      <c r="BB85" s="145" t="str">
        <f>IFERROR(INDEX($E$4:$AZ$4,SUMPRODUCT(MAX(COLUMN(Tbl_PDSAData[[#This Row],[D1]:[M24]])*(ListLookup!$H$3=Tbl_PDSAData[[#This Row],[D1]:[M24]]))-4)),"")</f>
        <v/>
      </c>
    </row>
    <row r="86" spans="1:54" s="74" customFormat="1" x14ac:dyDescent="0.25">
      <c r="A86" s="189"/>
      <c r="B86" s="134" t="str">
        <f>IFERROR(INDEX(Tbl_ResidentData[Physician],MATCH(Tbl_PDSAData[[#This Row],[Resident Name (last, first)]],Tbl_ResidentData[Resident Name '[last, first']],0))&amp;"","")</f>
        <v/>
      </c>
      <c r="C86" s="135" t="str">
        <f>IFERROR(INDEX(Tbl_ResidentData[Diagnosis (RAI)],MATCH(Tbl_PDSAData[[#This Row],[Resident Name (last, first)]],Tbl_ResidentData[Resident Name '[last, first']],0))&amp;"","")</f>
        <v/>
      </c>
      <c r="D86" s="144" t="str">
        <f>IFERROR(INDEX(Tbl_ResidentData[Clinical Notes
'[free text']],MATCH(Tbl_PDSAData[[#This Row],[Resident Name (last, first)]],Tbl_ResidentData[Resident Name '[last, first']],0))&amp;"","")</f>
        <v/>
      </c>
      <c r="E86" s="190"/>
      <c r="F86" s="191"/>
      <c r="G86" s="190"/>
      <c r="H86" s="191"/>
      <c r="I86" s="190"/>
      <c r="J86" s="191"/>
      <c r="K86" s="190"/>
      <c r="L86" s="191"/>
      <c r="M86" s="190"/>
      <c r="N86" s="191"/>
      <c r="O86" s="190"/>
      <c r="P86" s="191"/>
      <c r="Q86" s="190"/>
      <c r="R86" s="191"/>
      <c r="S86" s="190"/>
      <c r="T86" s="191"/>
      <c r="U86" s="190"/>
      <c r="V86" s="191"/>
      <c r="W86" s="190"/>
      <c r="X86" s="191"/>
      <c r="Y86" s="190"/>
      <c r="Z86" s="191"/>
      <c r="AA86" s="190"/>
      <c r="AB86" s="191"/>
      <c r="AC86" s="190"/>
      <c r="AD86" s="191"/>
      <c r="AE86" s="190"/>
      <c r="AF86" s="191"/>
      <c r="AG86" s="190"/>
      <c r="AH86" s="191"/>
      <c r="AI86" s="190"/>
      <c r="AJ86" s="191"/>
      <c r="AK86" s="190"/>
      <c r="AL86" s="191"/>
      <c r="AM86" s="190"/>
      <c r="AN86" s="191"/>
      <c r="AO86" s="190"/>
      <c r="AP86" s="191"/>
      <c r="AQ86" s="190"/>
      <c r="AR86" s="191"/>
      <c r="AS86" s="190"/>
      <c r="AT86" s="191"/>
      <c r="AU86" s="190"/>
      <c r="AV86" s="191"/>
      <c r="AW86" s="190"/>
      <c r="AX86" s="191"/>
      <c r="AY86" s="190"/>
      <c r="AZ86" s="191"/>
      <c r="BA86" s="145" t="str">
        <f>IFERROR(INDEX($E$4:$AZ$4,SUMPRODUCT(MAX(COLUMN(Tbl_PDSAData[[#This Row],[D1]:[M24]])*(ListLookup!$G$3=Tbl_PDSAData[[#This Row],[D1]:[M24]]))-4)),"")</f>
        <v/>
      </c>
      <c r="BB86" s="145" t="str">
        <f>IFERROR(INDEX($E$4:$AZ$4,SUMPRODUCT(MAX(COLUMN(Tbl_PDSAData[[#This Row],[D1]:[M24]])*(ListLookup!$H$3=Tbl_PDSAData[[#This Row],[D1]:[M24]]))-4)),"")</f>
        <v/>
      </c>
    </row>
    <row r="87" spans="1:54" s="74" customFormat="1" x14ac:dyDescent="0.25">
      <c r="A87" s="189"/>
      <c r="B87" s="134" t="str">
        <f>IFERROR(INDEX(Tbl_ResidentData[Physician],MATCH(Tbl_PDSAData[[#This Row],[Resident Name (last, first)]],Tbl_ResidentData[Resident Name '[last, first']],0))&amp;"","")</f>
        <v/>
      </c>
      <c r="C87" s="135" t="str">
        <f>IFERROR(INDEX(Tbl_ResidentData[Diagnosis (RAI)],MATCH(Tbl_PDSAData[[#This Row],[Resident Name (last, first)]],Tbl_ResidentData[Resident Name '[last, first']],0))&amp;"","")</f>
        <v/>
      </c>
      <c r="D87" s="144" t="str">
        <f>IFERROR(INDEX(Tbl_ResidentData[Clinical Notes
'[free text']],MATCH(Tbl_PDSAData[[#This Row],[Resident Name (last, first)]],Tbl_ResidentData[Resident Name '[last, first']],0))&amp;"","")</f>
        <v/>
      </c>
      <c r="E87" s="190"/>
      <c r="F87" s="191"/>
      <c r="G87" s="190"/>
      <c r="H87" s="191"/>
      <c r="I87" s="190"/>
      <c r="J87" s="191"/>
      <c r="K87" s="190"/>
      <c r="L87" s="191"/>
      <c r="M87" s="190"/>
      <c r="N87" s="191"/>
      <c r="O87" s="190"/>
      <c r="P87" s="191"/>
      <c r="Q87" s="190"/>
      <c r="R87" s="191"/>
      <c r="S87" s="190"/>
      <c r="T87" s="191"/>
      <c r="U87" s="190"/>
      <c r="V87" s="191"/>
      <c r="W87" s="190"/>
      <c r="X87" s="191"/>
      <c r="Y87" s="190"/>
      <c r="Z87" s="191"/>
      <c r="AA87" s="190"/>
      <c r="AB87" s="191"/>
      <c r="AC87" s="190"/>
      <c r="AD87" s="191"/>
      <c r="AE87" s="190"/>
      <c r="AF87" s="191"/>
      <c r="AG87" s="190"/>
      <c r="AH87" s="191"/>
      <c r="AI87" s="190"/>
      <c r="AJ87" s="191"/>
      <c r="AK87" s="190"/>
      <c r="AL87" s="191"/>
      <c r="AM87" s="190"/>
      <c r="AN87" s="191"/>
      <c r="AO87" s="190"/>
      <c r="AP87" s="191"/>
      <c r="AQ87" s="190"/>
      <c r="AR87" s="191"/>
      <c r="AS87" s="190"/>
      <c r="AT87" s="191"/>
      <c r="AU87" s="190"/>
      <c r="AV87" s="191"/>
      <c r="AW87" s="190"/>
      <c r="AX87" s="191"/>
      <c r="AY87" s="190"/>
      <c r="AZ87" s="191"/>
      <c r="BA87" s="145" t="str">
        <f>IFERROR(INDEX($E$4:$AZ$4,SUMPRODUCT(MAX(COLUMN(Tbl_PDSAData[[#This Row],[D1]:[M24]])*(ListLookup!$G$3=Tbl_PDSAData[[#This Row],[D1]:[M24]]))-4)),"")</f>
        <v/>
      </c>
      <c r="BB87" s="145" t="str">
        <f>IFERROR(INDEX($E$4:$AZ$4,SUMPRODUCT(MAX(COLUMN(Tbl_PDSAData[[#This Row],[D1]:[M24]])*(ListLookup!$H$3=Tbl_PDSAData[[#This Row],[D1]:[M24]]))-4)),"")</f>
        <v/>
      </c>
    </row>
    <row r="88" spans="1:54" s="74" customFormat="1" x14ac:dyDescent="0.25">
      <c r="A88" s="189"/>
      <c r="B88" s="134" t="str">
        <f>IFERROR(INDEX(Tbl_ResidentData[Physician],MATCH(Tbl_PDSAData[[#This Row],[Resident Name (last, first)]],Tbl_ResidentData[Resident Name '[last, first']],0))&amp;"","")</f>
        <v/>
      </c>
      <c r="C88" s="135" t="str">
        <f>IFERROR(INDEX(Tbl_ResidentData[Diagnosis (RAI)],MATCH(Tbl_PDSAData[[#This Row],[Resident Name (last, first)]],Tbl_ResidentData[Resident Name '[last, first']],0))&amp;"","")</f>
        <v/>
      </c>
      <c r="D88" s="144" t="str">
        <f>IFERROR(INDEX(Tbl_ResidentData[Clinical Notes
'[free text']],MATCH(Tbl_PDSAData[[#This Row],[Resident Name (last, first)]],Tbl_ResidentData[Resident Name '[last, first']],0))&amp;"","")</f>
        <v/>
      </c>
      <c r="E88" s="190"/>
      <c r="F88" s="191"/>
      <c r="G88" s="190"/>
      <c r="H88" s="191"/>
      <c r="I88" s="190"/>
      <c r="J88" s="191"/>
      <c r="K88" s="190"/>
      <c r="L88" s="191"/>
      <c r="M88" s="190"/>
      <c r="N88" s="191"/>
      <c r="O88" s="190"/>
      <c r="P88" s="191"/>
      <c r="Q88" s="190"/>
      <c r="R88" s="191"/>
      <c r="S88" s="190"/>
      <c r="T88" s="191"/>
      <c r="U88" s="190"/>
      <c r="V88" s="191"/>
      <c r="W88" s="190"/>
      <c r="X88" s="191"/>
      <c r="Y88" s="190"/>
      <c r="Z88" s="191"/>
      <c r="AA88" s="190"/>
      <c r="AB88" s="191"/>
      <c r="AC88" s="190"/>
      <c r="AD88" s="191"/>
      <c r="AE88" s="190"/>
      <c r="AF88" s="191"/>
      <c r="AG88" s="190"/>
      <c r="AH88" s="191"/>
      <c r="AI88" s="190"/>
      <c r="AJ88" s="191"/>
      <c r="AK88" s="190"/>
      <c r="AL88" s="191"/>
      <c r="AM88" s="190"/>
      <c r="AN88" s="191"/>
      <c r="AO88" s="190"/>
      <c r="AP88" s="191"/>
      <c r="AQ88" s="190"/>
      <c r="AR88" s="191"/>
      <c r="AS88" s="190"/>
      <c r="AT88" s="191"/>
      <c r="AU88" s="190"/>
      <c r="AV88" s="191"/>
      <c r="AW88" s="190"/>
      <c r="AX88" s="191"/>
      <c r="AY88" s="190"/>
      <c r="AZ88" s="191"/>
      <c r="BA88" s="145" t="str">
        <f>IFERROR(INDEX($E$4:$AZ$4,SUMPRODUCT(MAX(COLUMN(Tbl_PDSAData[[#This Row],[D1]:[M24]])*(ListLookup!$G$3=Tbl_PDSAData[[#This Row],[D1]:[M24]]))-4)),"")</f>
        <v/>
      </c>
      <c r="BB88" s="145" t="str">
        <f>IFERROR(INDEX($E$4:$AZ$4,SUMPRODUCT(MAX(COLUMN(Tbl_PDSAData[[#This Row],[D1]:[M24]])*(ListLookup!$H$3=Tbl_PDSAData[[#This Row],[D1]:[M24]]))-4)),"")</f>
        <v/>
      </c>
    </row>
    <row r="89" spans="1:54" s="74" customFormat="1" x14ac:dyDescent="0.25">
      <c r="A89" s="189"/>
      <c r="B89" s="134" t="str">
        <f>IFERROR(INDEX(Tbl_ResidentData[Physician],MATCH(Tbl_PDSAData[[#This Row],[Resident Name (last, first)]],Tbl_ResidentData[Resident Name '[last, first']],0))&amp;"","")</f>
        <v/>
      </c>
      <c r="C89" s="135" t="str">
        <f>IFERROR(INDEX(Tbl_ResidentData[Diagnosis (RAI)],MATCH(Tbl_PDSAData[[#This Row],[Resident Name (last, first)]],Tbl_ResidentData[Resident Name '[last, first']],0))&amp;"","")</f>
        <v/>
      </c>
      <c r="D89" s="144" t="str">
        <f>IFERROR(INDEX(Tbl_ResidentData[Clinical Notes
'[free text']],MATCH(Tbl_PDSAData[[#This Row],[Resident Name (last, first)]],Tbl_ResidentData[Resident Name '[last, first']],0))&amp;"","")</f>
        <v/>
      </c>
      <c r="E89" s="190"/>
      <c r="F89" s="191"/>
      <c r="G89" s="190"/>
      <c r="H89" s="191"/>
      <c r="I89" s="190"/>
      <c r="J89" s="191"/>
      <c r="K89" s="190"/>
      <c r="L89" s="191"/>
      <c r="M89" s="190"/>
      <c r="N89" s="191"/>
      <c r="O89" s="190"/>
      <c r="P89" s="191"/>
      <c r="Q89" s="190"/>
      <c r="R89" s="191"/>
      <c r="S89" s="190"/>
      <c r="T89" s="191"/>
      <c r="U89" s="190"/>
      <c r="V89" s="191"/>
      <c r="W89" s="190"/>
      <c r="X89" s="191"/>
      <c r="Y89" s="190"/>
      <c r="Z89" s="191"/>
      <c r="AA89" s="190"/>
      <c r="AB89" s="191"/>
      <c r="AC89" s="190"/>
      <c r="AD89" s="191"/>
      <c r="AE89" s="190"/>
      <c r="AF89" s="191"/>
      <c r="AG89" s="190"/>
      <c r="AH89" s="191"/>
      <c r="AI89" s="190"/>
      <c r="AJ89" s="191"/>
      <c r="AK89" s="190"/>
      <c r="AL89" s="191"/>
      <c r="AM89" s="190"/>
      <c r="AN89" s="191"/>
      <c r="AO89" s="190"/>
      <c r="AP89" s="191"/>
      <c r="AQ89" s="190"/>
      <c r="AR89" s="191"/>
      <c r="AS89" s="190"/>
      <c r="AT89" s="191"/>
      <c r="AU89" s="190"/>
      <c r="AV89" s="191"/>
      <c r="AW89" s="190"/>
      <c r="AX89" s="191"/>
      <c r="AY89" s="190"/>
      <c r="AZ89" s="191"/>
      <c r="BA89" s="145" t="str">
        <f>IFERROR(INDEX($E$4:$AZ$4,SUMPRODUCT(MAX(COLUMN(Tbl_PDSAData[[#This Row],[D1]:[M24]])*(ListLookup!$G$3=Tbl_PDSAData[[#This Row],[D1]:[M24]]))-4)),"")</f>
        <v/>
      </c>
      <c r="BB89" s="145" t="str">
        <f>IFERROR(INDEX($E$4:$AZ$4,SUMPRODUCT(MAX(COLUMN(Tbl_PDSAData[[#This Row],[D1]:[M24]])*(ListLookup!$H$3=Tbl_PDSAData[[#This Row],[D1]:[M24]]))-4)),"")</f>
        <v/>
      </c>
    </row>
    <row r="90" spans="1:54" s="74" customFormat="1" x14ac:dyDescent="0.25">
      <c r="A90" s="189"/>
      <c r="B90" s="134" t="str">
        <f>IFERROR(INDEX(Tbl_ResidentData[Physician],MATCH(Tbl_PDSAData[[#This Row],[Resident Name (last, first)]],Tbl_ResidentData[Resident Name '[last, first']],0))&amp;"","")</f>
        <v/>
      </c>
      <c r="C90" s="135" t="str">
        <f>IFERROR(INDEX(Tbl_ResidentData[Diagnosis (RAI)],MATCH(Tbl_PDSAData[[#This Row],[Resident Name (last, first)]],Tbl_ResidentData[Resident Name '[last, first']],0))&amp;"","")</f>
        <v/>
      </c>
      <c r="D90" s="144" t="str">
        <f>IFERROR(INDEX(Tbl_ResidentData[Clinical Notes
'[free text']],MATCH(Tbl_PDSAData[[#This Row],[Resident Name (last, first)]],Tbl_ResidentData[Resident Name '[last, first']],0))&amp;"","")</f>
        <v/>
      </c>
      <c r="E90" s="190"/>
      <c r="F90" s="191"/>
      <c r="G90" s="190"/>
      <c r="H90" s="191"/>
      <c r="I90" s="190"/>
      <c r="J90" s="191"/>
      <c r="K90" s="190"/>
      <c r="L90" s="191"/>
      <c r="M90" s="190"/>
      <c r="N90" s="191"/>
      <c r="O90" s="190"/>
      <c r="P90" s="191"/>
      <c r="Q90" s="190"/>
      <c r="R90" s="191"/>
      <c r="S90" s="190"/>
      <c r="T90" s="191"/>
      <c r="U90" s="190"/>
      <c r="V90" s="191"/>
      <c r="W90" s="190"/>
      <c r="X90" s="191"/>
      <c r="Y90" s="190"/>
      <c r="Z90" s="191"/>
      <c r="AA90" s="190"/>
      <c r="AB90" s="191"/>
      <c r="AC90" s="190"/>
      <c r="AD90" s="191"/>
      <c r="AE90" s="190"/>
      <c r="AF90" s="191"/>
      <c r="AG90" s="190"/>
      <c r="AH90" s="191"/>
      <c r="AI90" s="190"/>
      <c r="AJ90" s="191"/>
      <c r="AK90" s="190"/>
      <c r="AL90" s="191"/>
      <c r="AM90" s="190"/>
      <c r="AN90" s="191"/>
      <c r="AO90" s="190"/>
      <c r="AP90" s="191"/>
      <c r="AQ90" s="190"/>
      <c r="AR90" s="191"/>
      <c r="AS90" s="190"/>
      <c r="AT90" s="191"/>
      <c r="AU90" s="190"/>
      <c r="AV90" s="191"/>
      <c r="AW90" s="190"/>
      <c r="AX90" s="191"/>
      <c r="AY90" s="190"/>
      <c r="AZ90" s="191"/>
      <c r="BA90" s="145" t="str">
        <f>IFERROR(INDEX($E$4:$AZ$4,SUMPRODUCT(MAX(COLUMN(Tbl_PDSAData[[#This Row],[D1]:[M24]])*(ListLookup!$G$3=Tbl_PDSAData[[#This Row],[D1]:[M24]]))-4)),"")</f>
        <v/>
      </c>
      <c r="BB90" s="145" t="str">
        <f>IFERROR(INDEX($E$4:$AZ$4,SUMPRODUCT(MAX(COLUMN(Tbl_PDSAData[[#This Row],[D1]:[M24]])*(ListLookup!$H$3=Tbl_PDSAData[[#This Row],[D1]:[M24]]))-4)),"")</f>
        <v/>
      </c>
    </row>
    <row r="91" spans="1:54" s="74" customFormat="1" x14ac:dyDescent="0.25">
      <c r="A91" s="189"/>
      <c r="B91" s="134" t="str">
        <f>IFERROR(INDEX(Tbl_ResidentData[Physician],MATCH(Tbl_PDSAData[[#This Row],[Resident Name (last, first)]],Tbl_ResidentData[Resident Name '[last, first']],0))&amp;"","")</f>
        <v/>
      </c>
      <c r="C91" s="135" t="str">
        <f>IFERROR(INDEX(Tbl_ResidentData[Diagnosis (RAI)],MATCH(Tbl_PDSAData[[#This Row],[Resident Name (last, first)]],Tbl_ResidentData[Resident Name '[last, first']],0))&amp;"","")</f>
        <v/>
      </c>
      <c r="D91" s="144" t="str">
        <f>IFERROR(INDEX(Tbl_ResidentData[Clinical Notes
'[free text']],MATCH(Tbl_PDSAData[[#This Row],[Resident Name (last, first)]],Tbl_ResidentData[Resident Name '[last, first']],0))&amp;"","")</f>
        <v/>
      </c>
      <c r="E91" s="190"/>
      <c r="F91" s="191"/>
      <c r="G91" s="190"/>
      <c r="H91" s="191"/>
      <c r="I91" s="190"/>
      <c r="J91" s="191"/>
      <c r="K91" s="190"/>
      <c r="L91" s="191"/>
      <c r="M91" s="190"/>
      <c r="N91" s="191"/>
      <c r="O91" s="190"/>
      <c r="P91" s="191"/>
      <c r="Q91" s="190"/>
      <c r="R91" s="191"/>
      <c r="S91" s="190"/>
      <c r="T91" s="191"/>
      <c r="U91" s="190"/>
      <c r="V91" s="191"/>
      <c r="W91" s="190"/>
      <c r="X91" s="191"/>
      <c r="Y91" s="190"/>
      <c r="Z91" s="191"/>
      <c r="AA91" s="190"/>
      <c r="AB91" s="191"/>
      <c r="AC91" s="190"/>
      <c r="AD91" s="191"/>
      <c r="AE91" s="190"/>
      <c r="AF91" s="191"/>
      <c r="AG91" s="190"/>
      <c r="AH91" s="191"/>
      <c r="AI91" s="190"/>
      <c r="AJ91" s="191"/>
      <c r="AK91" s="190"/>
      <c r="AL91" s="191"/>
      <c r="AM91" s="190"/>
      <c r="AN91" s="191"/>
      <c r="AO91" s="190"/>
      <c r="AP91" s="191"/>
      <c r="AQ91" s="190"/>
      <c r="AR91" s="191"/>
      <c r="AS91" s="190"/>
      <c r="AT91" s="191"/>
      <c r="AU91" s="190"/>
      <c r="AV91" s="191"/>
      <c r="AW91" s="190"/>
      <c r="AX91" s="191"/>
      <c r="AY91" s="190"/>
      <c r="AZ91" s="191"/>
      <c r="BA91" s="145" t="str">
        <f>IFERROR(INDEX($E$4:$AZ$4,SUMPRODUCT(MAX(COLUMN(Tbl_PDSAData[[#This Row],[D1]:[M24]])*(ListLookup!$G$3=Tbl_PDSAData[[#This Row],[D1]:[M24]]))-4)),"")</f>
        <v/>
      </c>
      <c r="BB91" s="145" t="str">
        <f>IFERROR(INDEX($E$4:$AZ$4,SUMPRODUCT(MAX(COLUMN(Tbl_PDSAData[[#This Row],[D1]:[M24]])*(ListLookup!$H$3=Tbl_PDSAData[[#This Row],[D1]:[M24]]))-4)),"")</f>
        <v/>
      </c>
    </row>
    <row r="92" spans="1:54" s="74" customFormat="1" x14ac:dyDescent="0.25">
      <c r="A92" s="189"/>
      <c r="B92" s="134" t="str">
        <f>IFERROR(INDEX(Tbl_ResidentData[Physician],MATCH(Tbl_PDSAData[[#This Row],[Resident Name (last, first)]],Tbl_ResidentData[Resident Name '[last, first']],0))&amp;"","")</f>
        <v/>
      </c>
      <c r="C92" s="135" t="str">
        <f>IFERROR(INDEX(Tbl_ResidentData[Diagnosis (RAI)],MATCH(Tbl_PDSAData[[#This Row],[Resident Name (last, first)]],Tbl_ResidentData[Resident Name '[last, first']],0))&amp;"","")</f>
        <v/>
      </c>
      <c r="D92" s="144" t="str">
        <f>IFERROR(INDEX(Tbl_ResidentData[Clinical Notes
'[free text']],MATCH(Tbl_PDSAData[[#This Row],[Resident Name (last, first)]],Tbl_ResidentData[Resident Name '[last, first']],0))&amp;"","")</f>
        <v/>
      </c>
      <c r="E92" s="190"/>
      <c r="F92" s="191"/>
      <c r="G92" s="190"/>
      <c r="H92" s="191"/>
      <c r="I92" s="190"/>
      <c r="J92" s="191"/>
      <c r="K92" s="190"/>
      <c r="L92" s="191"/>
      <c r="M92" s="190"/>
      <c r="N92" s="191"/>
      <c r="O92" s="190"/>
      <c r="P92" s="191"/>
      <c r="Q92" s="190"/>
      <c r="R92" s="191"/>
      <c r="S92" s="190"/>
      <c r="T92" s="191"/>
      <c r="U92" s="190"/>
      <c r="V92" s="191"/>
      <c r="W92" s="190"/>
      <c r="X92" s="191"/>
      <c r="Y92" s="190"/>
      <c r="Z92" s="191"/>
      <c r="AA92" s="190"/>
      <c r="AB92" s="191"/>
      <c r="AC92" s="190"/>
      <c r="AD92" s="191"/>
      <c r="AE92" s="190"/>
      <c r="AF92" s="191"/>
      <c r="AG92" s="190"/>
      <c r="AH92" s="191"/>
      <c r="AI92" s="190"/>
      <c r="AJ92" s="191"/>
      <c r="AK92" s="190"/>
      <c r="AL92" s="191"/>
      <c r="AM92" s="190"/>
      <c r="AN92" s="191"/>
      <c r="AO92" s="190"/>
      <c r="AP92" s="191"/>
      <c r="AQ92" s="190"/>
      <c r="AR92" s="191"/>
      <c r="AS92" s="190"/>
      <c r="AT92" s="191"/>
      <c r="AU92" s="190"/>
      <c r="AV92" s="191"/>
      <c r="AW92" s="190"/>
      <c r="AX92" s="191"/>
      <c r="AY92" s="190"/>
      <c r="AZ92" s="191"/>
      <c r="BA92" s="145" t="str">
        <f>IFERROR(INDEX($E$4:$AZ$4,SUMPRODUCT(MAX(COLUMN(Tbl_PDSAData[[#This Row],[D1]:[M24]])*(ListLookup!$G$3=Tbl_PDSAData[[#This Row],[D1]:[M24]]))-4)),"")</f>
        <v/>
      </c>
      <c r="BB92" s="145" t="str">
        <f>IFERROR(INDEX($E$4:$AZ$4,SUMPRODUCT(MAX(COLUMN(Tbl_PDSAData[[#This Row],[D1]:[M24]])*(ListLookup!$H$3=Tbl_PDSAData[[#This Row],[D1]:[M24]]))-4)),"")</f>
        <v/>
      </c>
    </row>
    <row r="93" spans="1:54" s="74" customFormat="1" x14ac:dyDescent="0.25">
      <c r="A93" s="189"/>
      <c r="B93" s="134" t="str">
        <f>IFERROR(INDEX(Tbl_ResidentData[Physician],MATCH(Tbl_PDSAData[[#This Row],[Resident Name (last, first)]],Tbl_ResidentData[Resident Name '[last, first']],0))&amp;"","")</f>
        <v/>
      </c>
      <c r="C93" s="135" t="str">
        <f>IFERROR(INDEX(Tbl_ResidentData[Diagnosis (RAI)],MATCH(Tbl_PDSAData[[#This Row],[Resident Name (last, first)]],Tbl_ResidentData[Resident Name '[last, first']],0))&amp;"","")</f>
        <v/>
      </c>
      <c r="D93" s="144" t="str">
        <f>IFERROR(INDEX(Tbl_ResidentData[Clinical Notes
'[free text']],MATCH(Tbl_PDSAData[[#This Row],[Resident Name (last, first)]],Tbl_ResidentData[Resident Name '[last, first']],0))&amp;"","")</f>
        <v/>
      </c>
      <c r="E93" s="190"/>
      <c r="F93" s="191"/>
      <c r="G93" s="190"/>
      <c r="H93" s="191"/>
      <c r="I93" s="190"/>
      <c r="J93" s="191"/>
      <c r="K93" s="190"/>
      <c r="L93" s="191"/>
      <c r="M93" s="190"/>
      <c r="N93" s="191"/>
      <c r="O93" s="190"/>
      <c r="P93" s="191"/>
      <c r="Q93" s="190"/>
      <c r="R93" s="191"/>
      <c r="S93" s="190"/>
      <c r="T93" s="191"/>
      <c r="U93" s="190"/>
      <c r="V93" s="191"/>
      <c r="W93" s="190"/>
      <c r="X93" s="191"/>
      <c r="Y93" s="190"/>
      <c r="Z93" s="191"/>
      <c r="AA93" s="190"/>
      <c r="AB93" s="191"/>
      <c r="AC93" s="190"/>
      <c r="AD93" s="191"/>
      <c r="AE93" s="190"/>
      <c r="AF93" s="191"/>
      <c r="AG93" s="190"/>
      <c r="AH93" s="191"/>
      <c r="AI93" s="190"/>
      <c r="AJ93" s="191"/>
      <c r="AK93" s="190"/>
      <c r="AL93" s="191"/>
      <c r="AM93" s="190"/>
      <c r="AN93" s="191"/>
      <c r="AO93" s="190"/>
      <c r="AP93" s="191"/>
      <c r="AQ93" s="190"/>
      <c r="AR93" s="191"/>
      <c r="AS93" s="190"/>
      <c r="AT93" s="191"/>
      <c r="AU93" s="190"/>
      <c r="AV93" s="191"/>
      <c r="AW93" s="190"/>
      <c r="AX93" s="191"/>
      <c r="AY93" s="190"/>
      <c r="AZ93" s="191"/>
      <c r="BA93" s="145" t="str">
        <f>IFERROR(INDEX($E$4:$AZ$4,SUMPRODUCT(MAX(COLUMN(Tbl_PDSAData[[#This Row],[D1]:[M24]])*(ListLookup!$G$3=Tbl_PDSAData[[#This Row],[D1]:[M24]]))-4)),"")</f>
        <v/>
      </c>
      <c r="BB93" s="145" t="str">
        <f>IFERROR(INDEX($E$4:$AZ$4,SUMPRODUCT(MAX(COLUMN(Tbl_PDSAData[[#This Row],[D1]:[M24]])*(ListLookup!$H$3=Tbl_PDSAData[[#This Row],[D1]:[M24]]))-4)),"")</f>
        <v/>
      </c>
    </row>
    <row r="94" spans="1:54" s="74" customFormat="1" x14ac:dyDescent="0.25">
      <c r="A94" s="189"/>
      <c r="B94" s="134" t="str">
        <f>IFERROR(INDEX(Tbl_ResidentData[Physician],MATCH(Tbl_PDSAData[[#This Row],[Resident Name (last, first)]],Tbl_ResidentData[Resident Name '[last, first']],0))&amp;"","")</f>
        <v/>
      </c>
      <c r="C94" s="135" t="str">
        <f>IFERROR(INDEX(Tbl_ResidentData[Diagnosis (RAI)],MATCH(Tbl_PDSAData[[#This Row],[Resident Name (last, first)]],Tbl_ResidentData[Resident Name '[last, first']],0))&amp;"","")</f>
        <v/>
      </c>
      <c r="D94" s="144" t="str">
        <f>IFERROR(INDEX(Tbl_ResidentData[Clinical Notes
'[free text']],MATCH(Tbl_PDSAData[[#This Row],[Resident Name (last, first)]],Tbl_ResidentData[Resident Name '[last, first']],0))&amp;"","")</f>
        <v/>
      </c>
      <c r="E94" s="190"/>
      <c r="F94" s="191"/>
      <c r="G94" s="190"/>
      <c r="H94" s="191"/>
      <c r="I94" s="190"/>
      <c r="J94" s="191"/>
      <c r="K94" s="190"/>
      <c r="L94" s="191"/>
      <c r="M94" s="190"/>
      <c r="N94" s="191"/>
      <c r="O94" s="190"/>
      <c r="P94" s="191"/>
      <c r="Q94" s="190"/>
      <c r="R94" s="191"/>
      <c r="S94" s="190"/>
      <c r="T94" s="191"/>
      <c r="U94" s="190"/>
      <c r="V94" s="191"/>
      <c r="W94" s="190"/>
      <c r="X94" s="191"/>
      <c r="Y94" s="190"/>
      <c r="Z94" s="191"/>
      <c r="AA94" s="190"/>
      <c r="AB94" s="191"/>
      <c r="AC94" s="190"/>
      <c r="AD94" s="191"/>
      <c r="AE94" s="190"/>
      <c r="AF94" s="191"/>
      <c r="AG94" s="190"/>
      <c r="AH94" s="191"/>
      <c r="AI94" s="190"/>
      <c r="AJ94" s="191"/>
      <c r="AK94" s="190"/>
      <c r="AL94" s="191"/>
      <c r="AM94" s="190"/>
      <c r="AN94" s="191"/>
      <c r="AO94" s="190"/>
      <c r="AP94" s="191"/>
      <c r="AQ94" s="190"/>
      <c r="AR94" s="191"/>
      <c r="AS94" s="190"/>
      <c r="AT94" s="191"/>
      <c r="AU94" s="190"/>
      <c r="AV94" s="191"/>
      <c r="AW94" s="190"/>
      <c r="AX94" s="191"/>
      <c r="AY94" s="190"/>
      <c r="AZ94" s="191"/>
      <c r="BA94" s="145" t="str">
        <f>IFERROR(INDEX($E$4:$AZ$4,SUMPRODUCT(MAX(COLUMN(Tbl_PDSAData[[#This Row],[D1]:[M24]])*(ListLookup!$G$3=Tbl_PDSAData[[#This Row],[D1]:[M24]]))-4)),"")</f>
        <v/>
      </c>
      <c r="BB94" s="145" t="str">
        <f>IFERROR(INDEX($E$4:$AZ$4,SUMPRODUCT(MAX(COLUMN(Tbl_PDSAData[[#This Row],[D1]:[M24]])*(ListLookup!$H$3=Tbl_PDSAData[[#This Row],[D1]:[M24]]))-4)),"")</f>
        <v/>
      </c>
    </row>
    <row r="95" spans="1:54" s="74" customFormat="1" x14ac:dyDescent="0.25">
      <c r="A95" s="189"/>
      <c r="B95" s="134" t="str">
        <f>IFERROR(INDEX(Tbl_ResidentData[Physician],MATCH(Tbl_PDSAData[[#This Row],[Resident Name (last, first)]],Tbl_ResidentData[Resident Name '[last, first']],0))&amp;"","")</f>
        <v/>
      </c>
      <c r="C95" s="135" t="str">
        <f>IFERROR(INDEX(Tbl_ResidentData[Diagnosis (RAI)],MATCH(Tbl_PDSAData[[#This Row],[Resident Name (last, first)]],Tbl_ResidentData[Resident Name '[last, first']],0))&amp;"","")</f>
        <v/>
      </c>
      <c r="D95" s="144" t="str">
        <f>IFERROR(INDEX(Tbl_ResidentData[Clinical Notes
'[free text']],MATCH(Tbl_PDSAData[[#This Row],[Resident Name (last, first)]],Tbl_ResidentData[Resident Name '[last, first']],0))&amp;"","")</f>
        <v/>
      </c>
      <c r="E95" s="190"/>
      <c r="F95" s="191"/>
      <c r="G95" s="190"/>
      <c r="H95" s="191"/>
      <c r="I95" s="190"/>
      <c r="J95" s="191"/>
      <c r="K95" s="190"/>
      <c r="L95" s="191"/>
      <c r="M95" s="190"/>
      <c r="N95" s="191"/>
      <c r="O95" s="190"/>
      <c r="P95" s="191"/>
      <c r="Q95" s="190"/>
      <c r="R95" s="191"/>
      <c r="S95" s="190"/>
      <c r="T95" s="191"/>
      <c r="U95" s="190"/>
      <c r="V95" s="191"/>
      <c r="W95" s="190"/>
      <c r="X95" s="191"/>
      <c r="Y95" s="190"/>
      <c r="Z95" s="191"/>
      <c r="AA95" s="190"/>
      <c r="AB95" s="191"/>
      <c r="AC95" s="190"/>
      <c r="AD95" s="191"/>
      <c r="AE95" s="190"/>
      <c r="AF95" s="191"/>
      <c r="AG95" s="190"/>
      <c r="AH95" s="191"/>
      <c r="AI95" s="190"/>
      <c r="AJ95" s="191"/>
      <c r="AK95" s="190"/>
      <c r="AL95" s="191"/>
      <c r="AM95" s="190"/>
      <c r="AN95" s="191"/>
      <c r="AO95" s="190"/>
      <c r="AP95" s="191"/>
      <c r="AQ95" s="190"/>
      <c r="AR95" s="191"/>
      <c r="AS95" s="190"/>
      <c r="AT95" s="191"/>
      <c r="AU95" s="190"/>
      <c r="AV95" s="191"/>
      <c r="AW95" s="190"/>
      <c r="AX95" s="191"/>
      <c r="AY95" s="190"/>
      <c r="AZ95" s="191"/>
      <c r="BA95" s="145" t="str">
        <f>IFERROR(INDEX($E$4:$AZ$4,SUMPRODUCT(MAX(COLUMN(Tbl_PDSAData[[#This Row],[D1]:[M24]])*(ListLookup!$G$3=Tbl_PDSAData[[#This Row],[D1]:[M24]]))-4)),"")</f>
        <v/>
      </c>
      <c r="BB95" s="145" t="str">
        <f>IFERROR(INDEX($E$4:$AZ$4,SUMPRODUCT(MAX(COLUMN(Tbl_PDSAData[[#This Row],[D1]:[M24]])*(ListLookup!$H$3=Tbl_PDSAData[[#This Row],[D1]:[M24]]))-4)),"")</f>
        <v/>
      </c>
    </row>
    <row r="96" spans="1:54" s="74" customFormat="1" x14ac:dyDescent="0.25">
      <c r="A96" s="189"/>
      <c r="B96" s="134" t="str">
        <f>IFERROR(INDEX(Tbl_ResidentData[Physician],MATCH(Tbl_PDSAData[[#This Row],[Resident Name (last, first)]],Tbl_ResidentData[Resident Name '[last, first']],0))&amp;"","")</f>
        <v/>
      </c>
      <c r="C96" s="135" t="str">
        <f>IFERROR(INDEX(Tbl_ResidentData[Diagnosis (RAI)],MATCH(Tbl_PDSAData[[#This Row],[Resident Name (last, first)]],Tbl_ResidentData[Resident Name '[last, first']],0))&amp;"","")</f>
        <v/>
      </c>
      <c r="D96" s="144" t="str">
        <f>IFERROR(INDEX(Tbl_ResidentData[Clinical Notes
'[free text']],MATCH(Tbl_PDSAData[[#This Row],[Resident Name (last, first)]],Tbl_ResidentData[Resident Name '[last, first']],0))&amp;"","")</f>
        <v/>
      </c>
      <c r="E96" s="190"/>
      <c r="F96" s="191"/>
      <c r="G96" s="190"/>
      <c r="H96" s="191"/>
      <c r="I96" s="190"/>
      <c r="J96" s="191"/>
      <c r="K96" s="190"/>
      <c r="L96" s="191"/>
      <c r="M96" s="190"/>
      <c r="N96" s="191"/>
      <c r="O96" s="190"/>
      <c r="P96" s="191"/>
      <c r="Q96" s="190"/>
      <c r="R96" s="191"/>
      <c r="S96" s="190"/>
      <c r="T96" s="191"/>
      <c r="U96" s="190"/>
      <c r="V96" s="191"/>
      <c r="W96" s="190"/>
      <c r="X96" s="191"/>
      <c r="Y96" s="190"/>
      <c r="Z96" s="191"/>
      <c r="AA96" s="190"/>
      <c r="AB96" s="191"/>
      <c r="AC96" s="190"/>
      <c r="AD96" s="191"/>
      <c r="AE96" s="190"/>
      <c r="AF96" s="191"/>
      <c r="AG96" s="190"/>
      <c r="AH96" s="191"/>
      <c r="AI96" s="190"/>
      <c r="AJ96" s="191"/>
      <c r="AK96" s="190"/>
      <c r="AL96" s="191"/>
      <c r="AM96" s="190"/>
      <c r="AN96" s="191"/>
      <c r="AO96" s="190"/>
      <c r="AP96" s="191"/>
      <c r="AQ96" s="190"/>
      <c r="AR96" s="191"/>
      <c r="AS96" s="190"/>
      <c r="AT96" s="191"/>
      <c r="AU96" s="190"/>
      <c r="AV96" s="191"/>
      <c r="AW96" s="190"/>
      <c r="AX96" s="191"/>
      <c r="AY96" s="190"/>
      <c r="AZ96" s="191"/>
      <c r="BA96" s="145" t="str">
        <f>IFERROR(INDEX($E$4:$AZ$4,SUMPRODUCT(MAX(COLUMN(Tbl_PDSAData[[#This Row],[D1]:[M24]])*(ListLookup!$G$3=Tbl_PDSAData[[#This Row],[D1]:[M24]]))-4)),"")</f>
        <v/>
      </c>
      <c r="BB96" s="145" t="str">
        <f>IFERROR(INDEX($E$4:$AZ$4,SUMPRODUCT(MAX(COLUMN(Tbl_PDSAData[[#This Row],[D1]:[M24]])*(ListLookup!$H$3=Tbl_PDSAData[[#This Row],[D1]:[M24]]))-4)),"")</f>
        <v/>
      </c>
    </row>
    <row r="97" spans="1:54" s="74" customFormat="1" x14ac:dyDescent="0.25">
      <c r="A97" s="189"/>
      <c r="B97" s="134" t="str">
        <f>IFERROR(INDEX(Tbl_ResidentData[Physician],MATCH(Tbl_PDSAData[[#This Row],[Resident Name (last, first)]],Tbl_ResidentData[Resident Name '[last, first']],0))&amp;"","")</f>
        <v/>
      </c>
      <c r="C97" s="135" t="str">
        <f>IFERROR(INDEX(Tbl_ResidentData[Diagnosis (RAI)],MATCH(Tbl_PDSAData[[#This Row],[Resident Name (last, first)]],Tbl_ResidentData[Resident Name '[last, first']],0))&amp;"","")</f>
        <v/>
      </c>
      <c r="D97" s="144" t="str">
        <f>IFERROR(INDEX(Tbl_ResidentData[Clinical Notes
'[free text']],MATCH(Tbl_PDSAData[[#This Row],[Resident Name (last, first)]],Tbl_ResidentData[Resident Name '[last, first']],0))&amp;"","")</f>
        <v/>
      </c>
      <c r="E97" s="190"/>
      <c r="F97" s="191"/>
      <c r="G97" s="190"/>
      <c r="H97" s="191"/>
      <c r="I97" s="190"/>
      <c r="J97" s="191"/>
      <c r="K97" s="190"/>
      <c r="L97" s="191"/>
      <c r="M97" s="190"/>
      <c r="N97" s="191"/>
      <c r="O97" s="190"/>
      <c r="P97" s="191"/>
      <c r="Q97" s="190"/>
      <c r="R97" s="191"/>
      <c r="S97" s="190"/>
      <c r="T97" s="191"/>
      <c r="U97" s="190"/>
      <c r="V97" s="191"/>
      <c r="W97" s="190"/>
      <c r="X97" s="191"/>
      <c r="Y97" s="190"/>
      <c r="Z97" s="191"/>
      <c r="AA97" s="190"/>
      <c r="AB97" s="191"/>
      <c r="AC97" s="190"/>
      <c r="AD97" s="191"/>
      <c r="AE97" s="190"/>
      <c r="AF97" s="191"/>
      <c r="AG97" s="190"/>
      <c r="AH97" s="191"/>
      <c r="AI97" s="190"/>
      <c r="AJ97" s="191"/>
      <c r="AK97" s="190"/>
      <c r="AL97" s="191"/>
      <c r="AM97" s="190"/>
      <c r="AN97" s="191"/>
      <c r="AO97" s="190"/>
      <c r="AP97" s="191"/>
      <c r="AQ97" s="190"/>
      <c r="AR97" s="191"/>
      <c r="AS97" s="190"/>
      <c r="AT97" s="191"/>
      <c r="AU97" s="190"/>
      <c r="AV97" s="191"/>
      <c r="AW97" s="190"/>
      <c r="AX97" s="191"/>
      <c r="AY97" s="190"/>
      <c r="AZ97" s="191"/>
      <c r="BA97" s="145" t="str">
        <f>IFERROR(INDEX($E$4:$AZ$4,SUMPRODUCT(MAX(COLUMN(Tbl_PDSAData[[#This Row],[D1]:[M24]])*(ListLookup!$G$3=Tbl_PDSAData[[#This Row],[D1]:[M24]]))-4)),"")</f>
        <v/>
      </c>
      <c r="BB97" s="145" t="str">
        <f>IFERROR(INDEX($E$4:$AZ$4,SUMPRODUCT(MAX(COLUMN(Tbl_PDSAData[[#This Row],[D1]:[M24]])*(ListLookup!$H$3=Tbl_PDSAData[[#This Row],[D1]:[M24]]))-4)),"")</f>
        <v/>
      </c>
    </row>
    <row r="98" spans="1:54" s="74" customFormat="1" x14ac:dyDescent="0.25">
      <c r="A98" s="189"/>
      <c r="B98" s="134" t="str">
        <f>IFERROR(INDEX(Tbl_ResidentData[Physician],MATCH(Tbl_PDSAData[[#This Row],[Resident Name (last, first)]],Tbl_ResidentData[Resident Name '[last, first']],0))&amp;"","")</f>
        <v/>
      </c>
      <c r="C98" s="135" t="str">
        <f>IFERROR(INDEX(Tbl_ResidentData[Diagnosis (RAI)],MATCH(Tbl_PDSAData[[#This Row],[Resident Name (last, first)]],Tbl_ResidentData[Resident Name '[last, first']],0))&amp;"","")</f>
        <v/>
      </c>
      <c r="D98" s="144" t="str">
        <f>IFERROR(INDEX(Tbl_ResidentData[Clinical Notes
'[free text']],MATCH(Tbl_PDSAData[[#This Row],[Resident Name (last, first)]],Tbl_ResidentData[Resident Name '[last, first']],0))&amp;"","")</f>
        <v/>
      </c>
      <c r="E98" s="190"/>
      <c r="F98" s="191"/>
      <c r="G98" s="190"/>
      <c r="H98" s="191"/>
      <c r="I98" s="190"/>
      <c r="J98" s="191"/>
      <c r="K98" s="190"/>
      <c r="L98" s="191"/>
      <c r="M98" s="190"/>
      <c r="N98" s="191"/>
      <c r="O98" s="190"/>
      <c r="P98" s="191"/>
      <c r="Q98" s="190"/>
      <c r="R98" s="191"/>
      <c r="S98" s="190"/>
      <c r="T98" s="191"/>
      <c r="U98" s="190"/>
      <c r="V98" s="191"/>
      <c r="W98" s="190"/>
      <c r="X98" s="191"/>
      <c r="Y98" s="190"/>
      <c r="Z98" s="191"/>
      <c r="AA98" s="190"/>
      <c r="AB98" s="191"/>
      <c r="AC98" s="190"/>
      <c r="AD98" s="191"/>
      <c r="AE98" s="190"/>
      <c r="AF98" s="191"/>
      <c r="AG98" s="190"/>
      <c r="AH98" s="191"/>
      <c r="AI98" s="190"/>
      <c r="AJ98" s="191"/>
      <c r="AK98" s="190"/>
      <c r="AL98" s="191"/>
      <c r="AM98" s="190"/>
      <c r="AN98" s="191"/>
      <c r="AO98" s="190"/>
      <c r="AP98" s="191"/>
      <c r="AQ98" s="190"/>
      <c r="AR98" s="191"/>
      <c r="AS98" s="190"/>
      <c r="AT98" s="191"/>
      <c r="AU98" s="190"/>
      <c r="AV98" s="191"/>
      <c r="AW98" s="190"/>
      <c r="AX98" s="191"/>
      <c r="AY98" s="190"/>
      <c r="AZ98" s="191"/>
      <c r="BA98" s="145" t="str">
        <f>IFERROR(INDEX($E$4:$AZ$4,SUMPRODUCT(MAX(COLUMN(Tbl_PDSAData[[#This Row],[D1]:[M24]])*(ListLookup!$G$3=Tbl_PDSAData[[#This Row],[D1]:[M24]]))-4)),"")</f>
        <v/>
      </c>
      <c r="BB98" s="145" t="str">
        <f>IFERROR(INDEX($E$4:$AZ$4,SUMPRODUCT(MAX(COLUMN(Tbl_PDSAData[[#This Row],[D1]:[M24]])*(ListLookup!$H$3=Tbl_PDSAData[[#This Row],[D1]:[M24]]))-4)),"")</f>
        <v/>
      </c>
    </row>
    <row r="99" spans="1:54" s="74" customFormat="1" x14ac:dyDescent="0.25">
      <c r="A99" s="189"/>
      <c r="B99" s="134" t="str">
        <f>IFERROR(INDEX(Tbl_ResidentData[Physician],MATCH(Tbl_PDSAData[[#This Row],[Resident Name (last, first)]],Tbl_ResidentData[Resident Name '[last, first']],0))&amp;"","")</f>
        <v/>
      </c>
      <c r="C99" s="135" t="str">
        <f>IFERROR(INDEX(Tbl_ResidentData[Diagnosis (RAI)],MATCH(Tbl_PDSAData[[#This Row],[Resident Name (last, first)]],Tbl_ResidentData[Resident Name '[last, first']],0))&amp;"","")</f>
        <v/>
      </c>
      <c r="D99" s="144" t="str">
        <f>IFERROR(INDEX(Tbl_ResidentData[Clinical Notes
'[free text']],MATCH(Tbl_PDSAData[[#This Row],[Resident Name (last, first)]],Tbl_ResidentData[Resident Name '[last, first']],0))&amp;"","")</f>
        <v/>
      </c>
      <c r="E99" s="190"/>
      <c r="F99" s="191"/>
      <c r="G99" s="190"/>
      <c r="H99" s="191"/>
      <c r="I99" s="190"/>
      <c r="J99" s="191"/>
      <c r="K99" s="190"/>
      <c r="L99" s="191"/>
      <c r="M99" s="190"/>
      <c r="N99" s="191"/>
      <c r="O99" s="190"/>
      <c r="P99" s="191"/>
      <c r="Q99" s="190"/>
      <c r="R99" s="191"/>
      <c r="S99" s="190"/>
      <c r="T99" s="191"/>
      <c r="U99" s="190"/>
      <c r="V99" s="191"/>
      <c r="W99" s="190"/>
      <c r="X99" s="191"/>
      <c r="Y99" s="190"/>
      <c r="Z99" s="191"/>
      <c r="AA99" s="190"/>
      <c r="AB99" s="191"/>
      <c r="AC99" s="190"/>
      <c r="AD99" s="191"/>
      <c r="AE99" s="190"/>
      <c r="AF99" s="191"/>
      <c r="AG99" s="190"/>
      <c r="AH99" s="191"/>
      <c r="AI99" s="190"/>
      <c r="AJ99" s="191"/>
      <c r="AK99" s="190"/>
      <c r="AL99" s="191"/>
      <c r="AM99" s="190"/>
      <c r="AN99" s="191"/>
      <c r="AO99" s="190"/>
      <c r="AP99" s="191"/>
      <c r="AQ99" s="190"/>
      <c r="AR99" s="191"/>
      <c r="AS99" s="190"/>
      <c r="AT99" s="191"/>
      <c r="AU99" s="190"/>
      <c r="AV99" s="191"/>
      <c r="AW99" s="190"/>
      <c r="AX99" s="191"/>
      <c r="AY99" s="190"/>
      <c r="AZ99" s="191"/>
      <c r="BA99" s="145" t="str">
        <f>IFERROR(INDEX($E$4:$AZ$4,SUMPRODUCT(MAX(COLUMN(Tbl_PDSAData[[#This Row],[D1]:[M24]])*(ListLookup!$G$3=Tbl_PDSAData[[#This Row],[D1]:[M24]]))-4)),"")</f>
        <v/>
      </c>
      <c r="BB99" s="145" t="str">
        <f>IFERROR(INDEX($E$4:$AZ$4,SUMPRODUCT(MAX(COLUMN(Tbl_PDSAData[[#This Row],[D1]:[M24]])*(ListLookup!$H$3=Tbl_PDSAData[[#This Row],[D1]:[M24]]))-4)),"")</f>
        <v/>
      </c>
    </row>
    <row r="100" spans="1:54" s="74" customFormat="1" x14ac:dyDescent="0.25">
      <c r="A100" s="189"/>
      <c r="B100" s="134" t="str">
        <f>IFERROR(INDEX(Tbl_ResidentData[Physician],MATCH(Tbl_PDSAData[[#This Row],[Resident Name (last, first)]],Tbl_ResidentData[Resident Name '[last, first']],0))&amp;"","")</f>
        <v/>
      </c>
      <c r="C100" s="135" t="str">
        <f>IFERROR(INDEX(Tbl_ResidentData[Diagnosis (RAI)],MATCH(Tbl_PDSAData[[#This Row],[Resident Name (last, first)]],Tbl_ResidentData[Resident Name '[last, first']],0))&amp;"","")</f>
        <v/>
      </c>
      <c r="D100" s="144" t="str">
        <f>IFERROR(INDEX(Tbl_ResidentData[Clinical Notes
'[free text']],MATCH(Tbl_PDSAData[[#This Row],[Resident Name (last, first)]],Tbl_ResidentData[Resident Name '[last, first']],0))&amp;"","")</f>
        <v/>
      </c>
      <c r="E100" s="190"/>
      <c r="F100" s="191"/>
      <c r="G100" s="190"/>
      <c r="H100" s="191"/>
      <c r="I100" s="190"/>
      <c r="J100" s="191"/>
      <c r="K100" s="190"/>
      <c r="L100" s="191"/>
      <c r="M100" s="190"/>
      <c r="N100" s="191"/>
      <c r="O100" s="190"/>
      <c r="P100" s="191"/>
      <c r="Q100" s="190"/>
      <c r="R100" s="191"/>
      <c r="S100" s="190"/>
      <c r="T100" s="191"/>
      <c r="U100" s="190"/>
      <c r="V100" s="191"/>
      <c r="W100" s="190"/>
      <c r="X100" s="191"/>
      <c r="Y100" s="190"/>
      <c r="Z100" s="191"/>
      <c r="AA100" s="190"/>
      <c r="AB100" s="191"/>
      <c r="AC100" s="190"/>
      <c r="AD100" s="191"/>
      <c r="AE100" s="190"/>
      <c r="AF100" s="191"/>
      <c r="AG100" s="190"/>
      <c r="AH100" s="191"/>
      <c r="AI100" s="190"/>
      <c r="AJ100" s="191"/>
      <c r="AK100" s="190"/>
      <c r="AL100" s="191"/>
      <c r="AM100" s="190"/>
      <c r="AN100" s="191"/>
      <c r="AO100" s="190"/>
      <c r="AP100" s="191"/>
      <c r="AQ100" s="190"/>
      <c r="AR100" s="191"/>
      <c r="AS100" s="190"/>
      <c r="AT100" s="191"/>
      <c r="AU100" s="190"/>
      <c r="AV100" s="191"/>
      <c r="AW100" s="190"/>
      <c r="AX100" s="191"/>
      <c r="AY100" s="190"/>
      <c r="AZ100" s="191"/>
      <c r="BA100" s="145" t="str">
        <f>IFERROR(INDEX($E$4:$AZ$4,SUMPRODUCT(MAX(COLUMN(Tbl_PDSAData[[#This Row],[D1]:[M24]])*(ListLookup!$G$3=Tbl_PDSAData[[#This Row],[D1]:[M24]]))-4)),"")</f>
        <v/>
      </c>
      <c r="BB100" s="145" t="str">
        <f>IFERROR(INDEX($E$4:$AZ$4,SUMPRODUCT(MAX(COLUMN(Tbl_PDSAData[[#This Row],[D1]:[M24]])*(ListLookup!$H$3=Tbl_PDSAData[[#This Row],[D1]:[M24]]))-4)),"")</f>
        <v/>
      </c>
    </row>
    <row r="101" spans="1:54" s="74" customFormat="1" x14ac:dyDescent="0.25">
      <c r="A101" s="189"/>
      <c r="B101" s="134" t="str">
        <f>IFERROR(INDEX(Tbl_ResidentData[Physician],MATCH(Tbl_PDSAData[[#This Row],[Resident Name (last, first)]],Tbl_ResidentData[Resident Name '[last, first']],0))&amp;"","")</f>
        <v/>
      </c>
      <c r="C101" s="135" t="str">
        <f>IFERROR(INDEX(Tbl_ResidentData[Diagnosis (RAI)],MATCH(Tbl_PDSAData[[#This Row],[Resident Name (last, first)]],Tbl_ResidentData[Resident Name '[last, first']],0))&amp;"","")</f>
        <v/>
      </c>
      <c r="D101" s="144" t="str">
        <f>IFERROR(INDEX(Tbl_ResidentData[Clinical Notes
'[free text']],MATCH(Tbl_PDSAData[[#This Row],[Resident Name (last, first)]],Tbl_ResidentData[Resident Name '[last, first']],0))&amp;"","")</f>
        <v/>
      </c>
      <c r="E101" s="190"/>
      <c r="F101" s="191"/>
      <c r="G101" s="190"/>
      <c r="H101" s="191"/>
      <c r="I101" s="190"/>
      <c r="J101" s="191"/>
      <c r="K101" s="190"/>
      <c r="L101" s="191"/>
      <c r="M101" s="190"/>
      <c r="N101" s="191"/>
      <c r="O101" s="190"/>
      <c r="P101" s="191"/>
      <c r="Q101" s="190"/>
      <c r="R101" s="191"/>
      <c r="S101" s="190"/>
      <c r="T101" s="191"/>
      <c r="U101" s="190"/>
      <c r="V101" s="191"/>
      <c r="W101" s="190"/>
      <c r="X101" s="191"/>
      <c r="Y101" s="190"/>
      <c r="Z101" s="191"/>
      <c r="AA101" s="190"/>
      <c r="AB101" s="191"/>
      <c r="AC101" s="190"/>
      <c r="AD101" s="191"/>
      <c r="AE101" s="190"/>
      <c r="AF101" s="191"/>
      <c r="AG101" s="190"/>
      <c r="AH101" s="191"/>
      <c r="AI101" s="190"/>
      <c r="AJ101" s="191"/>
      <c r="AK101" s="190"/>
      <c r="AL101" s="191"/>
      <c r="AM101" s="190"/>
      <c r="AN101" s="191"/>
      <c r="AO101" s="190"/>
      <c r="AP101" s="191"/>
      <c r="AQ101" s="190"/>
      <c r="AR101" s="191"/>
      <c r="AS101" s="190"/>
      <c r="AT101" s="191"/>
      <c r="AU101" s="190"/>
      <c r="AV101" s="191"/>
      <c r="AW101" s="190"/>
      <c r="AX101" s="191"/>
      <c r="AY101" s="190"/>
      <c r="AZ101" s="191"/>
      <c r="BA101" s="145" t="str">
        <f>IFERROR(INDEX($E$4:$AZ$4,SUMPRODUCT(MAX(COLUMN(Tbl_PDSAData[[#This Row],[D1]:[M24]])*(ListLookup!$G$3=Tbl_PDSAData[[#This Row],[D1]:[M24]]))-4)),"")</f>
        <v/>
      </c>
      <c r="BB101" s="145" t="str">
        <f>IFERROR(INDEX($E$4:$AZ$4,SUMPRODUCT(MAX(COLUMN(Tbl_PDSAData[[#This Row],[D1]:[M24]])*(ListLookup!$H$3=Tbl_PDSAData[[#This Row],[D1]:[M24]]))-4)),"")</f>
        <v/>
      </c>
    </row>
    <row r="102" spans="1:54" s="74" customFormat="1" x14ac:dyDescent="0.25">
      <c r="A102" s="189"/>
      <c r="B102" s="134" t="str">
        <f>IFERROR(INDEX(Tbl_ResidentData[Physician],MATCH(Tbl_PDSAData[[#This Row],[Resident Name (last, first)]],Tbl_ResidentData[Resident Name '[last, first']],0))&amp;"","")</f>
        <v/>
      </c>
      <c r="C102" s="135" t="str">
        <f>IFERROR(INDEX(Tbl_ResidentData[Diagnosis (RAI)],MATCH(Tbl_PDSAData[[#This Row],[Resident Name (last, first)]],Tbl_ResidentData[Resident Name '[last, first']],0))&amp;"","")</f>
        <v/>
      </c>
      <c r="D102" s="144" t="str">
        <f>IFERROR(INDEX(Tbl_ResidentData[Clinical Notes
'[free text']],MATCH(Tbl_PDSAData[[#This Row],[Resident Name (last, first)]],Tbl_ResidentData[Resident Name '[last, first']],0))&amp;"","")</f>
        <v/>
      </c>
      <c r="E102" s="190"/>
      <c r="F102" s="191"/>
      <c r="G102" s="190"/>
      <c r="H102" s="191"/>
      <c r="I102" s="190"/>
      <c r="J102" s="191"/>
      <c r="K102" s="190"/>
      <c r="L102" s="191"/>
      <c r="M102" s="190"/>
      <c r="N102" s="191"/>
      <c r="O102" s="190"/>
      <c r="P102" s="191"/>
      <c r="Q102" s="190"/>
      <c r="R102" s="191"/>
      <c r="S102" s="190"/>
      <c r="T102" s="191"/>
      <c r="U102" s="190"/>
      <c r="V102" s="191"/>
      <c r="W102" s="190"/>
      <c r="X102" s="191"/>
      <c r="Y102" s="190"/>
      <c r="Z102" s="191"/>
      <c r="AA102" s="190"/>
      <c r="AB102" s="191"/>
      <c r="AC102" s="190"/>
      <c r="AD102" s="191"/>
      <c r="AE102" s="190"/>
      <c r="AF102" s="191"/>
      <c r="AG102" s="190"/>
      <c r="AH102" s="191"/>
      <c r="AI102" s="190"/>
      <c r="AJ102" s="191"/>
      <c r="AK102" s="190"/>
      <c r="AL102" s="191"/>
      <c r="AM102" s="190"/>
      <c r="AN102" s="191"/>
      <c r="AO102" s="190"/>
      <c r="AP102" s="191"/>
      <c r="AQ102" s="190"/>
      <c r="AR102" s="191"/>
      <c r="AS102" s="190"/>
      <c r="AT102" s="191"/>
      <c r="AU102" s="190"/>
      <c r="AV102" s="191"/>
      <c r="AW102" s="190"/>
      <c r="AX102" s="191"/>
      <c r="AY102" s="190"/>
      <c r="AZ102" s="191"/>
      <c r="BA102" s="145" t="str">
        <f>IFERROR(INDEX($E$4:$AZ$4,SUMPRODUCT(MAX(COLUMN(Tbl_PDSAData[[#This Row],[D1]:[M24]])*(ListLookup!$G$3=Tbl_PDSAData[[#This Row],[D1]:[M24]]))-4)),"")</f>
        <v/>
      </c>
      <c r="BB102" s="145" t="str">
        <f>IFERROR(INDEX($E$4:$AZ$4,SUMPRODUCT(MAX(COLUMN(Tbl_PDSAData[[#This Row],[D1]:[M24]])*(ListLookup!$H$3=Tbl_PDSAData[[#This Row],[D1]:[M24]]))-4)),"")</f>
        <v/>
      </c>
    </row>
    <row r="103" spans="1:54" s="74" customFormat="1" x14ac:dyDescent="0.25">
      <c r="A103" s="189"/>
      <c r="B103" s="134" t="str">
        <f>IFERROR(INDEX(Tbl_ResidentData[Physician],MATCH(Tbl_PDSAData[[#This Row],[Resident Name (last, first)]],Tbl_ResidentData[Resident Name '[last, first']],0))&amp;"","")</f>
        <v/>
      </c>
      <c r="C103" s="135" t="str">
        <f>IFERROR(INDEX(Tbl_ResidentData[Diagnosis (RAI)],MATCH(Tbl_PDSAData[[#This Row],[Resident Name (last, first)]],Tbl_ResidentData[Resident Name '[last, first']],0))&amp;"","")</f>
        <v/>
      </c>
      <c r="D103" s="144" t="str">
        <f>IFERROR(INDEX(Tbl_ResidentData[Clinical Notes
'[free text']],MATCH(Tbl_PDSAData[[#This Row],[Resident Name (last, first)]],Tbl_ResidentData[Resident Name '[last, first']],0))&amp;"","")</f>
        <v/>
      </c>
      <c r="E103" s="190"/>
      <c r="F103" s="191"/>
      <c r="G103" s="190"/>
      <c r="H103" s="191"/>
      <c r="I103" s="190"/>
      <c r="J103" s="191"/>
      <c r="K103" s="190"/>
      <c r="L103" s="191"/>
      <c r="M103" s="190"/>
      <c r="N103" s="191"/>
      <c r="O103" s="190"/>
      <c r="P103" s="191"/>
      <c r="Q103" s="190"/>
      <c r="R103" s="191"/>
      <c r="S103" s="190"/>
      <c r="T103" s="191"/>
      <c r="U103" s="190"/>
      <c r="V103" s="191"/>
      <c r="W103" s="190"/>
      <c r="X103" s="191"/>
      <c r="Y103" s="190"/>
      <c r="Z103" s="191"/>
      <c r="AA103" s="190"/>
      <c r="AB103" s="191"/>
      <c r="AC103" s="190"/>
      <c r="AD103" s="191"/>
      <c r="AE103" s="190"/>
      <c r="AF103" s="191"/>
      <c r="AG103" s="190"/>
      <c r="AH103" s="191"/>
      <c r="AI103" s="190"/>
      <c r="AJ103" s="191"/>
      <c r="AK103" s="190"/>
      <c r="AL103" s="191"/>
      <c r="AM103" s="190"/>
      <c r="AN103" s="191"/>
      <c r="AO103" s="190"/>
      <c r="AP103" s="191"/>
      <c r="AQ103" s="190"/>
      <c r="AR103" s="191"/>
      <c r="AS103" s="190"/>
      <c r="AT103" s="191"/>
      <c r="AU103" s="190"/>
      <c r="AV103" s="191"/>
      <c r="AW103" s="190"/>
      <c r="AX103" s="191"/>
      <c r="AY103" s="190"/>
      <c r="AZ103" s="191"/>
      <c r="BA103" s="145" t="str">
        <f>IFERROR(INDEX($E$4:$AZ$4,SUMPRODUCT(MAX(COLUMN(Tbl_PDSAData[[#This Row],[D1]:[M24]])*(ListLookup!$G$3=Tbl_PDSAData[[#This Row],[D1]:[M24]]))-4)),"")</f>
        <v/>
      </c>
      <c r="BB103" s="145" t="str">
        <f>IFERROR(INDEX($E$4:$AZ$4,SUMPRODUCT(MAX(COLUMN(Tbl_PDSAData[[#This Row],[D1]:[M24]])*(ListLookup!$H$3=Tbl_PDSAData[[#This Row],[D1]:[M24]]))-4)),"")</f>
        <v/>
      </c>
    </row>
    <row r="104" spans="1:54" s="74" customFormat="1" x14ac:dyDescent="0.25">
      <c r="A104" s="189"/>
      <c r="B104" s="134" t="str">
        <f>IFERROR(INDEX(Tbl_ResidentData[Physician],MATCH(Tbl_PDSAData[[#This Row],[Resident Name (last, first)]],Tbl_ResidentData[Resident Name '[last, first']],0))&amp;"","")</f>
        <v/>
      </c>
      <c r="C104" s="135" t="str">
        <f>IFERROR(INDEX(Tbl_ResidentData[Diagnosis (RAI)],MATCH(Tbl_PDSAData[[#This Row],[Resident Name (last, first)]],Tbl_ResidentData[Resident Name '[last, first']],0))&amp;"","")</f>
        <v/>
      </c>
      <c r="D104" s="144" t="str">
        <f>IFERROR(INDEX(Tbl_ResidentData[Clinical Notes
'[free text']],MATCH(Tbl_PDSAData[[#This Row],[Resident Name (last, first)]],Tbl_ResidentData[Resident Name '[last, first']],0))&amp;"","")</f>
        <v/>
      </c>
      <c r="E104" s="190"/>
      <c r="F104" s="191"/>
      <c r="G104" s="190"/>
      <c r="H104" s="191"/>
      <c r="I104" s="190"/>
      <c r="J104" s="191"/>
      <c r="K104" s="190"/>
      <c r="L104" s="191"/>
      <c r="M104" s="190"/>
      <c r="N104" s="191"/>
      <c r="O104" s="190"/>
      <c r="P104" s="191"/>
      <c r="Q104" s="190"/>
      <c r="R104" s="191"/>
      <c r="S104" s="190"/>
      <c r="T104" s="191"/>
      <c r="U104" s="190"/>
      <c r="V104" s="191"/>
      <c r="W104" s="190"/>
      <c r="X104" s="191"/>
      <c r="Y104" s="190"/>
      <c r="Z104" s="191"/>
      <c r="AA104" s="190"/>
      <c r="AB104" s="191"/>
      <c r="AC104" s="190"/>
      <c r="AD104" s="191"/>
      <c r="AE104" s="190"/>
      <c r="AF104" s="191"/>
      <c r="AG104" s="190"/>
      <c r="AH104" s="191"/>
      <c r="AI104" s="190"/>
      <c r="AJ104" s="191"/>
      <c r="AK104" s="190"/>
      <c r="AL104" s="191"/>
      <c r="AM104" s="190"/>
      <c r="AN104" s="191"/>
      <c r="AO104" s="190"/>
      <c r="AP104" s="191"/>
      <c r="AQ104" s="190"/>
      <c r="AR104" s="191"/>
      <c r="AS104" s="190"/>
      <c r="AT104" s="191"/>
      <c r="AU104" s="190"/>
      <c r="AV104" s="191"/>
      <c r="AW104" s="190"/>
      <c r="AX104" s="191"/>
      <c r="AY104" s="190"/>
      <c r="AZ104" s="191"/>
      <c r="BA104" s="145" t="str">
        <f>IFERROR(INDEX($E$4:$AZ$4,SUMPRODUCT(MAX(COLUMN(Tbl_PDSAData[[#This Row],[D1]:[M24]])*(ListLookup!$G$3=Tbl_PDSAData[[#This Row],[D1]:[M24]]))-4)),"")</f>
        <v/>
      </c>
      <c r="BB104" s="145" t="str">
        <f>IFERROR(INDEX($E$4:$AZ$4,SUMPRODUCT(MAX(COLUMN(Tbl_PDSAData[[#This Row],[D1]:[M24]])*(ListLookup!$H$3=Tbl_PDSAData[[#This Row],[D1]:[M24]]))-4)),"")</f>
        <v/>
      </c>
    </row>
    <row r="105" spans="1:54" s="74" customFormat="1" x14ac:dyDescent="0.25">
      <c r="A105" s="189"/>
      <c r="B105" s="134" t="str">
        <f>IFERROR(INDEX(Tbl_ResidentData[Physician],MATCH(Tbl_PDSAData[[#This Row],[Resident Name (last, first)]],Tbl_ResidentData[Resident Name '[last, first']],0))&amp;"","")</f>
        <v/>
      </c>
      <c r="C105" s="135" t="str">
        <f>IFERROR(INDEX(Tbl_ResidentData[Diagnosis (RAI)],MATCH(Tbl_PDSAData[[#This Row],[Resident Name (last, first)]],Tbl_ResidentData[Resident Name '[last, first']],0))&amp;"","")</f>
        <v/>
      </c>
      <c r="D105" s="144" t="str">
        <f>IFERROR(INDEX(Tbl_ResidentData[Clinical Notes
'[free text']],MATCH(Tbl_PDSAData[[#This Row],[Resident Name (last, first)]],Tbl_ResidentData[Resident Name '[last, first']],0))&amp;"","")</f>
        <v/>
      </c>
      <c r="E105" s="190"/>
      <c r="F105" s="191"/>
      <c r="G105" s="190"/>
      <c r="H105" s="191"/>
      <c r="I105" s="190"/>
      <c r="J105" s="191"/>
      <c r="K105" s="190"/>
      <c r="L105" s="191"/>
      <c r="M105" s="190"/>
      <c r="N105" s="191"/>
      <c r="O105" s="190"/>
      <c r="P105" s="191"/>
      <c r="Q105" s="190"/>
      <c r="R105" s="191"/>
      <c r="S105" s="190"/>
      <c r="T105" s="191"/>
      <c r="U105" s="190"/>
      <c r="V105" s="191"/>
      <c r="W105" s="190"/>
      <c r="X105" s="191"/>
      <c r="Y105" s="190"/>
      <c r="Z105" s="191"/>
      <c r="AA105" s="190"/>
      <c r="AB105" s="191"/>
      <c r="AC105" s="190"/>
      <c r="AD105" s="191"/>
      <c r="AE105" s="190"/>
      <c r="AF105" s="191"/>
      <c r="AG105" s="190"/>
      <c r="AH105" s="191"/>
      <c r="AI105" s="190"/>
      <c r="AJ105" s="191"/>
      <c r="AK105" s="190"/>
      <c r="AL105" s="191"/>
      <c r="AM105" s="190"/>
      <c r="AN105" s="191"/>
      <c r="AO105" s="190"/>
      <c r="AP105" s="191"/>
      <c r="AQ105" s="190"/>
      <c r="AR105" s="191"/>
      <c r="AS105" s="190"/>
      <c r="AT105" s="191"/>
      <c r="AU105" s="190"/>
      <c r="AV105" s="191"/>
      <c r="AW105" s="190"/>
      <c r="AX105" s="191"/>
      <c r="AY105" s="190"/>
      <c r="AZ105" s="191"/>
      <c r="BA105" s="145" t="str">
        <f>IFERROR(INDEX($E$4:$AZ$4,SUMPRODUCT(MAX(COLUMN(Tbl_PDSAData[[#This Row],[D1]:[M24]])*(ListLookup!$G$3=Tbl_PDSAData[[#This Row],[D1]:[M24]]))-4)),"")</f>
        <v/>
      </c>
      <c r="BB105" s="145" t="str">
        <f>IFERROR(INDEX($E$4:$AZ$4,SUMPRODUCT(MAX(COLUMN(Tbl_PDSAData[[#This Row],[D1]:[M24]])*(ListLookup!$H$3=Tbl_PDSAData[[#This Row],[D1]:[M24]]))-4)),"")</f>
        <v/>
      </c>
    </row>
    <row r="106" spans="1:54" s="74" customFormat="1" x14ac:dyDescent="0.25">
      <c r="A106" s="189"/>
      <c r="B106" s="134" t="str">
        <f>IFERROR(INDEX(Tbl_ResidentData[Physician],MATCH(Tbl_PDSAData[[#This Row],[Resident Name (last, first)]],Tbl_ResidentData[Resident Name '[last, first']],0))&amp;"","")</f>
        <v/>
      </c>
      <c r="C106" s="135" t="str">
        <f>IFERROR(INDEX(Tbl_ResidentData[Diagnosis (RAI)],MATCH(Tbl_PDSAData[[#This Row],[Resident Name (last, first)]],Tbl_ResidentData[Resident Name '[last, first']],0))&amp;"","")</f>
        <v/>
      </c>
      <c r="D106" s="144" t="str">
        <f>IFERROR(INDEX(Tbl_ResidentData[Clinical Notes
'[free text']],MATCH(Tbl_PDSAData[[#This Row],[Resident Name (last, first)]],Tbl_ResidentData[Resident Name '[last, first']],0))&amp;"","")</f>
        <v/>
      </c>
      <c r="E106" s="190"/>
      <c r="F106" s="191"/>
      <c r="G106" s="190"/>
      <c r="H106" s="191"/>
      <c r="I106" s="190"/>
      <c r="J106" s="191"/>
      <c r="K106" s="190"/>
      <c r="L106" s="191"/>
      <c r="M106" s="190"/>
      <c r="N106" s="191"/>
      <c r="O106" s="190"/>
      <c r="P106" s="191"/>
      <c r="Q106" s="190"/>
      <c r="R106" s="191"/>
      <c r="S106" s="190"/>
      <c r="T106" s="191"/>
      <c r="U106" s="190"/>
      <c r="V106" s="191"/>
      <c r="W106" s="190"/>
      <c r="X106" s="191"/>
      <c r="Y106" s="190"/>
      <c r="Z106" s="191"/>
      <c r="AA106" s="190"/>
      <c r="AB106" s="191"/>
      <c r="AC106" s="190"/>
      <c r="AD106" s="191"/>
      <c r="AE106" s="190"/>
      <c r="AF106" s="191"/>
      <c r="AG106" s="190"/>
      <c r="AH106" s="191"/>
      <c r="AI106" s="190"/>
      <c r="AJ106" s="191"/>
      <c r="AK106" s="190"/>
      <c r="AL106" s="191"/>
      <c r="AM106" s="190"/>
      <c r="AN106" s="191"/>
      <c r="AO106" s="190"/>
      <c r="AP106" s="191"/>
      <c r="AQ106" s="190"/>
      <c r="AR106" s="191"/>
      <c r="AS106" s="190"/>
      <c r="AT106" s="191"/>
      <c r="AU106" s="190"/>
      <c r="AV106" s="191"/>
      <c r="AW106" s="190"/>
      <c r="AX106" s="191"/>
      <c r="AY106" s="190"/>
      <c r="AZ106" s="191"/>
      <c r="BA106" s="145" t="str">
        <f>IFERROR(INDEX($E$4:$AZ$4,SUMPRODUCT(MAX(COLUMN(Tbl_PDSAData[[#This Row],[D1]:[M24]])*(ListLookup!$G$3=Tbl_PDSAData[[#This Row],[D1]:[M24]]))-4)),"")</f>
        <v/>
      </c>
      <c r="BB106" s="145" t="str">
        <f>IFERROR(INDEX($E$4:$AZ$4,SUMPRODUCT(MAX(COLUMN(Tbl_PDSAData[[#This Row],[D1]:[M24]])*(ListLookup!$H$3=Tbl_PDSAData[[#This Row],[D1]:[M24]]))-4)),"")</f>
        <v/>
      </c>
    </row>
    <row r="107" spans="1:54" s="74" customFormat="1" x14ac:dyDescent="0.25">
      <c r="A107" s="189"/>
      <c r="B107" s="134" t="str">
        <f>IFERROR(INDEX(Tbl_ResidentData[Physician],MATCH(Tbl_PDSAData[[#This Row],[Resident Name (last, first)]],Tbl_ResidentData[Resident Name '[last, first']],0))&amp;"","")</f>
        <v/>
      </c>
      <c r="C107" s="135" t="str">
        <f>IFERROR(INDEX(Tbl_ResidentData[Diagnosis (RAI)],MATCH(Tbl_PDSAData[[#This Row],[Resident Name (last, first)]],Tbl_ResidentData[Resident Name '[last, first']],0))&amp;"","")</f>
        <v/>
      </c>
      <c r="D107" s="144" t="str">
        <f>IFERROR(INDEX(Tbl_ResidentData[Clinical Notes
'[free text']],MATCH(Tbl_PDSAData[[#This Row],[Resident Name (last, first)]],Tbl_ResidentData[Resident Name '[last, first']],0))&amp;"","")</f>
        <v/>
      </c>
      <c r="E107" s="190"/>
      <c r="F107" s="191"/>
      <c r="G107" s="190"/>
      <c r="H107" s="191"/>
      <c r="I107" s="190"/>
      <c r="J107" s="191"/>
      <c r="K107" s="190"/>
      <c r="L107" s="191"/>
      <c r="M107" s="190"/>
      <c r="N107" s="191"/>
      <c r="O107" s="190"/>
      <c r="P107" s="191"/>
      <c r="Q107" s="190"/>
      <c r="R107" s="191"/>
      <c r="S107" s="190"/>
      <c r="T107" s="191"/>
      <c r="U107" s="190"/>
      <c r="V107" s="191"/>
      <c r="W107" s="190"/>
      <c r="X107" s="191"/>
      <c r="Y107" s="190"/>
      <c r="Z107" s="191"/>
      <c r="AA107" s="190"/>
      <c r="AB107" s="191"/>
      <c r="AC107" s="190"/>
      <c r="AD107" s="191"/>
      <c r="AE107" s="190"/>
      <c r="AF107" s="191"/>
      <c r="AG107" s="190"/>
      <c r="AH107" s="191"/>
      <c r="AI107" s="190"/>
      <c r="AJ107" s="191"/>
      <c r="AK107" s="190"/>
      <c r="AL107" s="191"/>
      <c r="AM107" s="190"/>
      <c r="AN107" s="191"/>
      <c r="AO107" s="190"/>
      <c r="AP107" s="191"/>
      <c r="AQ107" s="190"/>
      <c r="AR107" s="191"/>
      <c r="AS107" s="190"/>
      <c r="AT107" s="191"/>
      <c r="AU107" s="190"/>
      <c r="AV107" s="191"/>
      <c r="AW107" s="190"/>
      <c r="AX107" s="191"/>
      <c r="AY107" s="190"/>
      <c r="AZ107" s="191"/>
      <c r="BA107" s="145" t="str">
        <f>IFERROR(INDEX($E$4:$AZ$4,SUMPRODUCT(MAX(COLUMN(Tbl_PDSAData[[#This Row],[D1]:[M24]])*(ListLookup!$G$3=Tbl_PDSAData[[#This Row],[D1]:[M24]]))-4)),"")</f>
        <v/>
      </c>
      <c r="BB107" s="145" t="str">
        <f>IFERROR(INDEX($E$4:$AZ$4,SUMPRODUCT(MAX(COLUMN(Tbl_PDSAData[[#This Row],[D1]:[M24]])*(ListLookup!$H$3=Tbl_PDSAData[[#This Row],[D1]:[M24]]))-4)),"")</f>
        <v/>
      </c>
    </row>
    <row r="108" spans="1:54" s="74" customFormat="1" x14ac:dyDescent="0.25">
      <c r="A108" s="189"/>
      <c r="B108" s="134" t="str">
        <f>IFERROR(INDEX(Tbl_ResidentData[Physician],MATCH(Tbl_PDSAData[[#This Row],[Resident Name (last, first)]],Tbl_ResidentData[Resident Name '[last, first']],0))&amp;"","")</f>
        <v/>
      </c>
      <c r="C108" s="135" t="str">
        <f>IFERROR(INDEX(Tbl_ResidentData[Diagnosis (RAI)],MATCH(Tbl_PDSAData[[#This Row],[Resident Name (last, first)]],Tbl_ResidentData[Resident Name '[last, first']],0))&amp;"","")</f>
        <v/>
      </c>
      <c r="D108" s="144" t="str">
        <f>IFERROR(INDEX(Tbl_ResidentData[Clinical Notes
'[free text']],MATCH(Tbl_PDSAData[[#This Row],[Resident Name (last, first)]],Tbl_ResidentData[Resident Name '[last, first']],0))&amp;"","")</f>
        <v/>
      </c>
      <c r="E108" s="190"/>
      <c r="F108" s="191"/>
      <c r="G108" s="190"/>
      <c r="H108" s="191"/>
      <c r="I108" s="190"/>
      <c r="J108" s="191"/>
      <c r="K108" s="190"/>
      <c r="L108" s="191"/>
      <c r="M108" s="190"/>
      <c r="N108" s="191"/>
      <c r="O108" s="190"/>
      <c r="P108" s="191"/>
      <c r="Q108" s="190"/>
      <c r="R108" s="191"/>
      <c r="S108" s="190"/>
      <c r="T108" s="191"/>
      <c r="U108" s="190"/>
      <c r="V108" s="191"/>
      <c r="W108" s="190"/>
      <c r="X108" s="191"/>
      <c r="Y108" s="190"/>
      <c r="Z108" s="191"/>
      <c r="AA108" s="190"/>
      <c r="AB108" s="191"/>
      <c r="AC108" s="190"/>
      <c r="AD108" s="191"/>
      <c r="AE108" s="190"/>
      <c r="AF108" s="191"/>
      <c r="AG108" s="190"/>
      <c r="AH108" s="191"/>
      <c r="AI108" s="190"/>
      <c r="AJ108" s="191"/>
      <c r="AK108" s="190"/>
      <c r="AL108" s="191"/>
      <c r="AM108" s="190"/>
      <c r="AN108" s="191"/>
      <c r="AO108" s="190"/>
      <c r="AP108" s="191"/>
      <c r="AQ108" s="190"/>
      <c r="AR108" s="191"/>
      <c r="AS108" s="190"/>
      <c r="AT108" s="191"/>
      <c r="AU108" s="190"/>
      <c r="AV108" s="191"/>
      <c r="AW108" s="190"/>
      <c r="AX108" s="191"/>
      <c r="AY108" s="190"/>
      <c r="AZ108" s="191"/>
      <c r="BA108" s="145" t="str">
        <f>IFERROR(INDEX($E$4:$AZ$4,SUMPRODUCT(MAX(COLUMN(Tbl_PDSAData[[#This Row],[D1]:[M24]])*(ListLookup!$G$3=Tbl_PDSAData[[#This Row],[D1]:[M24]]))-4)),"")</f>
        <v/>
      </c>
      <c r="BB108" s="145" t="str">
        <f>IFERROR(INDEX($E$4:$AZ$4,SUMPRODUCT(MAX(COLUMN(Tbl_PDSAData[[#This Row],[D1]:[M24]])*(ListLookup!$H$3=Tbl_PDSAData[[#This Row],[D1]:[M24]]))-4)),"")</f>
        <v/>
      </c>
    </row>
    <row r="109" spans="1:54" s="74" customFormat="1" x14ac:dyDescent="0.25">
      <c r="A109" s="189"/>
      <c r="B109" s="134" t="str">
        <f>IFERROR(INDEX(Tbl_ResidentData[Physician],MATCH(Tbl_PDSAData[[#This Row],[Resident Name (last, first)]],Tbl_ResidentData[Resident Name '[last, first']],0))&amp;"","")</f>
        <v/>
      </c>
      <c r="C109" s="135" t="str">
        <f>IFERROR(INDEX(Tbl_ResidentData[Diagnosis (RAI)],MATCH(Tbl_PDSAData[[#This Row],[Resident Name (last, first)]],Tbl_ResidentData[Resident Name '[last, first']],0))&amp;"","")</f>
        <v/>
      </c>
      <c r="D109" s="144" t="str">
        <f>IFERROR(INDEX(Tbl_ResidentData[Clinical Notes
'[free text']],MATCH(Tbl_PDSAData[[#This Row],[Resident Name (last, first)]],Tbl_ResidentData[Resident Name '[last, first']],0))&amp;"","")</f>
        <v/>
      </c>
      <c r="E109" s="190"/>
      <c r="F109" s="191"/>
      <c r="G109" s="190"/>
      <c r="H109" s="191"/>
      <c r="I109" s="190"/>
      <c r="J109" s="191"/>
      <c r="K109" s="190"/>
      <c r="L109" s="191"/>
      <c r="M109" s="190"/>
      <c r="N109" s="191"/>
      <c r="O109" s="190"/>
      <c r="P109" s="191"/>
      <c r="Q109" s="190"/>
      <c r="R109" s="191"/>
      <c r="S109" s="190"/>
      <c r="T109" s="191"/>
      <c r="U109" s="190"/>
      <c r="V109" s="191"/>
      <c r="W109" s="190"/>
      <c r="X109" s="191"/>
      <c r="Y109" s="190"/>
      <c r="Z109" s="191"/>
      <c r="AA109" s="190"/>
      <c r="AB109" s="191"/>
      <c r="AC109" s="190"/>
      <c r="AD109" s="191"/>
      <c r="AE109" s="190"/>
      <c r="AF109" s="191"/>
      <c r="AG109" s="190"/>
      <c r="AH109" s="191"/>
      <c r="AI109" s="190"/>
      <c r="AJ109" s="191"/>
      <c r="AK109" s="190"/>
      <c r="AL109" s="191"/>
      <c r="AM109" s="190"/>
      <c r="AN109" s="191"/>
      <c r="AO109" s="190"/>
      <c r="AP109" s="191"/>
      <c r="AQ109" s="190"/>
      <c r="AR109" s="191"/>
      <c r="AS109" s="190"/>
      <c r="AT109" s="191"/>
      <c r="AU109" s="190"/>
      <c r="AV109" s="191"/>
      <c r="AW109" s="190"/>
      <c r="AX109" s="191"/>
      <c r="AY109" s="190"/>
      <c r="AZ109" s="191"/>
      <c r="BA109" s="145" t="str">
        <f>IFERROR(INDEX($E$4:$AZ$4,SUMPRODUCT(MAX(COLUMN(Tbl_PDSAData[[#This Row],[D1]:[M24]])*(ListLookup!$G$3=Tbl_PDSAData[[#This Row],[D1]:[M24]]))-4)),"")</f>
        <v/>
      </c>
      <c r="BB109" s="145" t="str">
        <f>IFERROR(INDEX($E$4:$AZ$4,SUMPRODUCT(MAX(COLUMN(Tbl_PDSAData[[#This Row],[D1]:[M24]])*(ListLookup!$H$3=Tbl_PDSAData[[#This Row],[D1]:[M24]]))-4)),"")</f>
        <v/>
      </c>
    </row>
    <row r="110" spans="1:54" s="74" customFormat="1" x14ac:dyDescent="0.25">
      <c r="A110" s="189"/>
      <c r="B110" s="134" t="str">
        <f>IFERROR(INDEX(Tbl_ResidentData[Physician],MATCH(Tbl_PDSAData[[#This Row],[Resident Name (last, first)]],Tbl_ResidentData[Resident Name '[last, first']],0))&amp;"","")</f>
        <v/>
      </c>
      <c r="C110" s="135" t="str">
        <f>IFERROR(INDEX(Tbl_ResidentData[Diagnosis (RAI)],MATCH(Tbl_PDSAData[[#This Row],[Resident Name (last, first)]],Tbl_ResidentData[Resident Name '[last, first']],0))&amp;"","")</f>
        <v/>
      </c>
      <c r="D110" s="144" t="str">
        <f>IFERROR(INDEX(Tbl_ResidentData[Clinical Notes
'[free text']],MATCH(Tbl_PDSAData[[#This Row],[Resident Name (last, first)]],Tbl_ResidentData[Resident Name '[last, first']],0))&amp;"","")</f>
        <v/>
      </c>
      <c r="E110" s="190"/>
      <c r="F110" s="191"/>
      <c r="G110" s="190"/>
      <c r="H110" s="191"/>
      <c r="I110" s="190"/>
      <c r="J110" s="191"/>
      <c r="K110" s="190"/>
      <c r="L110" s="191"/>
      <c r="M110" s="190"/>
      <c r="N110" s="191"/>
      <c r="O110" s="190"/>
      <c r="P110" s="191"/>
      <c r="Q110" s="190"/>
      <c r="R110" s="191"/>
      <c r="S110" s="190"/>
      <c r="T110" s="191"/>
      <c r="U110" s="190"/>
      <c r="V110" s="191"/>
      <c r="W110" s="190"/>
      <c r="X110" s="191"/>
      <c r="Y110" s="190"/>
      <c r="Z110" s="191"/>
      <c r="AA110" s="190"/>
      <c r="AB110" s="191"/>
      <c r="AC110" s="190"/>
      <c r="AD110" s="191"/>
      <c r="AE110" s="190"/>
      <c r="AF110" s="191"/>
      <c r="AG110" s="190"/>
      <c r="AH110" s="191"/>
      <c r="AI110" s="190"/>
      <c r="AJ110" s="191"/>
      <c r="AK110" s="190"/>
      <c r="AL110" s="191"/>
      <c r="AM110" s="190"/>
      <c r="AN110" s="191"/>
      <c r="AO110" s="190"/>
      <c r="AP110" s="191"/>
      <c r="AQ110" s="190"/>
      <c r="AR110" s="191"/>
      <c r="AS110" s="190"/>
      <c r="AT110" s="191"/>
      <c r="AU110" s="190"/>
      <c r="AV110" s="191"/>
      <c r="AW110" s="190"/>
      <c r="AX110" s="191"/>
      <c r="AY110" s="190"/>
      <c r="AZ110" s="191"/>
      <c r="BA110" s="145" t="str">
        <f>IFERROR(INDEX($E$4:$AZ$4,SUMPRODUCT(MAX(COLUMN(Tbl_PDSAData[[#This Row],[D1]:[M24]])*(ListLookup!$G$3=Tbl_PDSAData[[#This Row],[D1]:[M24]]))-4)),"")</f>
        <v/>
      </c>
      <c r="BB110" s="145" t="str">
        <f>IFERROR(INDEX($E$4:$AZ$4,SUMPRODUCT(MAX(COLUMN(Tbl_PDSAData[[#This Row],[D1]:[M24]])*(ListLookup!$H$3=Tbl_PDSAData[[#This Row],[D1]:[M24]]))-4)),"")</f>
        <v/>
      </c>
    </row>
    <row r="111" spans="1:54" s="74" customFormat="1" x14ac:dyDescent="0.25">
      <c r="A111" s="189"/>
      <c r="B111" s="134" t="str">
        <f>IFERROR(INDEX(Tbl_ResidentData[Physician],MATCH(Tbl_PDSAData[[#This Row],[Resident Name (last, first)]],Tbl_ResidentData[Resident Name '[last, first']],0))&amp;"","")</f>
        <v/>
      </c>
      <c r="C111" s="135" t="str">
        <f>IFERROR(INDEX(Tbl_ResidentData[Diagnosis (RAI)],MATCH(Tbl_PDSAData[[#This Row],[Resident Name (last, first)]],Tbl_ResidentData[Resident Name '[last, first']],0))&amp;"","")</f>
        <v/>
      </c>
      <c r="D111" s="144" t="str">
        <f>IFERROR(INDEX(Tbl_ResidentData[Clinical Notes
'[free text']],MATCH(Tbl_PDSAData[[#This Row],[Resident Name (last, first)]],Tbl_ResidentData[Resident Name '[last, first']],0))&amp;"","")</f>
        <v/>
      </c>
      <c r="E111" s="190"/>
      <c r="F111" s="191"/>
      <c r="G111" s="190"/>
      <c r="H111" s="191"/>
      <c r="I111" s="190"/>
      <c r="J111" s="191"/>
      <c r="K111" s="190"/>
      <c r="L111" s="191"/>
      <c r="M111" s="190"/>
      <c r="N111" s="191"/>
      <c r="O111" s="190"/>
      <c r="P111" s="191"/>
      <c r="Q111" s="190"/>
      <c r="R111" s="191"/>
      <c r="S111" s="190"/>
      <c r="T111" s="191"/>
      <c r="U111" s="190"/>
      <c r="V111" s="191"/>
      <c r="W111" s="190"/>
      <c r="X111" s="191"/>
      <c r="Y111" s="190"/>
      <c r="Z111" s="191"/>
      <c r="AA111" s="190"/>
      <c r="AB111" s="191"/>
      <c r="AC111" s="190"/>
      <c r="AD111" s="191"/>
      <c r="AE111" s="190"/>
      <c r="AF111" s="191"/>
      <c r="AG111" s="190"/>
      <c r="AH111" s="191"/>
      <c r="AI111" s="190"/>
      <c r="AJ111" s="191"/>
      <c r="AK111" s="190"/>
      <c r="AL111" s="191"/>
      <c r="AM111" s="190"/>
      <c r="AN111" s="191"/>
      <c r="AO111" s="190"/>
      <c r="AP111" s="191"/>
      <c r="AQ111" s="190"/>
      <c r="AR111" s="191"/>
      <c r="AS111" s="190"/>
      <c r="AT111" s="191"/>
      <c r="AU111" s="190"/>
      <c r="AV111" s="191"/>
      <c r="AW111" s="190"/>
      <c r="AX111" s="191"/>
      <c r="AY111" s="190"/>
      <c r="AZ111" s="191"/>
      <c r="BA111" s="145" t="str">
        <f>IFERROR(INDEX($E$4:$AZ$4,SUMPRODUCT(MAX(COLUMN(Tbl_PDSAData[[#This Row],[D1]:[M24]])*(ListLookup!$G$3=Tbl_PDSAData[[#This Row],[D1]:[M24]]))-4)),"")</f>
        <v/>
      </c>
      <c r="BB111" s="145" t="str">
        <f>IFERROR(INDEX($E$4:$AZ$4,SUMPRODUCT(MAX(COLUMN(Tbl_PDSAData[[#This Row],[D1]:[M24]])*(ListLookup!$H$3=Tbl_PDSAData[[#This Row],[D1]:[M24]]))-4)),"")</f>
        <v/>
      </c>
    </row>
    <row r="112" spans="1:54" s="74" customFormat="1" x14ac:dyDescent="0.25">
      <c r="A112" s="189"/>
      <c r="B112" s="134" t="str">
        <f>IFERROR(INDEX(Tbl_ResidentData[Physician],MATCH(Tbl_PDSAData[[#This Row],[Resident Name (last, first)]],Tbl_ResidentData[Resident Name '[last, first']],0))&amp;"","")</f>
        <v/>
      </c>
      <c r="C112" s="135" t="str">
        <f>IFERROR(INDEX(Tbl_ResidentData[Diagnosis (RAI)],MATCH(Tbl_PDSAData[[#This Row],[Resident Name (last, first)]],Tbl_ResidentData[Resident Name '[last, first']],0))&amp;"","")</f>
        <v/>
      </c>
      <c r="D112" s="144" t="str">
        <f>IFERROR(INDEX(Tbl_ResidentData[Clinical Notes
'[free text']],MATCH(Tbl_PDSAData[[#This Row],[Resident Name (last, first)]],Tbl_ResidentData[Resident Name '[last, first']],0))&amp;"","")</f>
        <v/>
      </c>
      <c r="E112" s="190"/>
      <c r="F112" s="191"/>
      <c r="G112" s="190"/>
      <c r="H112" s="191"/>
      <c r="I112" s="190"/>
      <c r="J112" s="191"/>
      <c r="K112" s="190"/>
      <c r="L112" s="191"/>
      <c r="M112" s="190"/>
      <c r="N112" s="191"/>
      <c r="O112" s="190"/>
      <c r="P112" s="191"/>
      <c r="Q112" s="190"/>
      <c r="R112" s="191"/>
      <c r="S112" s="190"/>
      <c r="T112" s="191"/>
      <c r="U112" s="190"/>
      <c r="V112" s="191"/>
      <c r="W112" s="190"/>
      <c r="X112" s="191"/>
      <c r="Y112" s="190"/>
      <c r="Z112" s="191"/>
      <c r="AA112" s="190"/>
      <c r="AB112" s="191"/>
      <c r="AC112" s="190"/>
      <c r="AD112" s="191"/>
      <c r="AE112" s="190"/>
      <c r="AF112" s="191"/>
      <c r="AG112" s="190"/>
      <c r="AH112" s="191"/>
      <c r="AI112" s="190"/>
      <c r="AJ112" s="191"/>
      <c r="AK112" s="190"/>
      <c r="AL112" s="191"/>
      <c r="AM112" s="190"/>
      <c r="AN112" s="191"/>
      <c r="AO112" s="190"/>
      <c r="AP112" s="191"/>
      <c r="AQ112" s="190"/>
      <c r="AR112" s="191"/>
      <c r="AS112" s="190"/>
      <c r="AT112" s="191"/>
      <c r="AU112" s="190"/>
      <c r="AV112" s="191"/>
      <c r="AW112" s="190"/>
      <c r="AX112" s="191"/>
      <c r="AY112" s="190"/>
      <c r="AZ112" s="191"/>
      <c r="BA112" s="145" t="str">
        <f>IFERROR(INDEX($E$4:$AZ$4,SUMPRODUCT(MAX(COLUMN(Tbl_PDSAData[[#This Row],[D1]:[M24]])*(ListLookup!$G$3=Tbl_PDSAData[[#This Row],[D1]:[M24]]))-4)),"")</f>
        <v/>
      </c>
      <c r="BB112" s="145" t="str">
        <f>IFERROR(INDEX($E$4:$AZ$4,SUMPRODUCT(MAX(COLUMN(Tbl_PDSAData[[#This Row],[D1]:[M24]])*(ListLookup!$H$3=Tbl_PDSAData[[#This Row],[D1]:[M24]]))-4)),"")</f>
        <v/>
      </c>
    </row>
    <row r="113" spans="1:54" s="74" customFormat="1" x14ac:dyDescent="0.25">
      <c r="A113" s="189"/>
      <c r="B113" s="134" t="str">
        <f>IFERROR(INDEX(Tbl_ResidentData[Physician],MATCH(Tbl_PDSAData[[#This Row],[Resident Name (last, first)]],Tbl_ResidentData[Resident Name '[last, first']],0))&amp;"","")</f>
        <v/>
      </c>
      <c r="C113" s="135" t="str">
        <f>IFERROR(INDEX(Tbl_ResidentData[Diagnosis (RAI)],MATCH(Tbl_PDSAData[[#This Row],[Resident Name (last, first)]],Tbl_ResidentData[Resident Name '[last, first']],0))&amp;"","")</f>
        <v/>
      </c>
      <c r="D113" s="144" t="str">
        <f>IFERROR(INDEX(Tbl_ResidentData[Clinical Notes
'[free text']],MATCH(Tbl_PDSAData[[#This Row],[Resident Name (last, first)]],Tbl_ResidentData[Resident Name '[last, first']],0))&amp;"","")</f>
        <v/>
      </c>
      <c r="E113" s="190"/>
      <c r="F113" s="191"/>
      <c r="G113" s="190"/>
      <c r="H113" s="191"/>
      <c r="I113" s="190"/>
      <c r="J113" s="191"/>
      <c r="K113" s="190"/>
      <c r="L113" s="191"/>
      <c r="M113" s="190"/>
      <c r="N113" s="191"/>
      <c r="O113" s="190"/>
      <c r="P113" s="191"/>
      <c r="Q113" s="190"/>
      <c r="R113" s="191"/>
      <c r="S113" s="190"/>
      <c r="T113" s="191"/>
      <c r="U113" s="190"/>
      <c r="V113" s="191"/>
      <c r="W113" s="190"/>
      <c r="X113" s="191"/>
      <c r="Y113" s="190"/>
      <c r="Z113" s="191"/>
      <c r="AA113" s="190"/>
      <c r="AB113" s="191"/>
      <c r="AC113" s="190"/>
      <c r="AD113" s="191"/>
      <c r="AE113" s="190"/>
      <c r="AF113" s="191"/>
      <c r="AG113" s="190"/>
      <c r="AH113" s="191"/>
      <c r="AI113" s="190"/>
      <c r="AJ113" s="191"/>
      <c r="AK113" s="190"/>
      <c r="AL113" s="191"/>
      <c r="AM113" s="190"/>
      <c r="AN113" s="191"/>
      <c r="AO113" s="190"/>
      <c r="AP113" s="191"/>
      <c r="AQ113" s="190"/>
      <c r="AR113" s="191"/>
      <c r="AS113" s="190"/>
      <c r="AT113" s="191"/>
      <c r="AU113" s="190"/>
      <c r="AV113" s="191"/>
      <c r="AW113" s="190"/>
      <c r="AX113" s="191"/>
      <c r="AY113" s="190"/>
      <c r="AZ113" s="191"/>
      <c r="BA113" s="145" t="str">
        <f>IFERROR(INDEX($E$4:$AZ$4,SUMPRODUCT(MAX(COLUMN(Tbl_PDSAData[[#This Row],[D1]:[M24]])*(ListLookup!$G$3=Tbl_PDSAData[[#This Row],[D1]:[M24]]))-4)),"")</f>
        <v/>
      </c>
      <c r="BB113" s="145" t="str">
        <f>IFERROR(INDEX($E$4:$AZ$4,SUMPRODUCT(MAX(COLUMN(Tbl_PDSAData[[#This Row],[D1]:[M24]])*(ListLookup!$H$3=Tbl_PDSAData[[#This Row],[D1]:[M24]]))-4)),"")</f>
        <v/>
      </c>
    </row>
    <row r="114" spans="1:54" s="74" customFormat="1" x14ac:dyDescent="0.25">
      <c r="A114" s="189"/>
      <c r="B114" s="134" t="str">
        <f>IFERROR(INDEX(Tbl_ResidentData[Physician],MATCH(Tbl_PDSAData[[#This Row],[Resident Name (last, first)]],Tbl_ResidentData[Resident Name '[last, first']],0))&amp;"","")</f>
        <v/>
      </c>
      <c r="C114" s="135" t="str">
        <f>IFERROR(INDEX(Tbl_ResidentData[Diagnosis (RAI)],MATCH(Tbl_PDSAData[[#This Row],[Resident Name (last, first)]],Tbl_ResidentData[Resident Name '[last, first']],0))&amp;"","")</f>
        <v/>
      </c>
      <c r="D114" s="144" t="str">
        <f>IFERROR(INDEX(Tbl_ResidentData[Clinical Notes
'[free text']],MATCH(Tbl_PDSAData[[#This Row],[Resident Name (last, first)]],Tbl_ResidentData[Resident Name '[last, first']],0))&amp;"","")</f>
        <v/>
      </c>
      <c r="E114" s="190"/>
      <c r="F114" s="191"/>
      <c r="G114" s="190"/>
      <c r="H114" s="191"/>
      <c r="I114" s="190"/>
      <c r="J114" s="191"/>
      <c r="K114" s="190"/>
      <c r="L114" s="191"/>
      <c r="M114" s="190"/>
      <c r="N114" s="191"/>
      <c r="O114" s="190"/>
      <c r="P114" s="191"/>
      <c r="Q114" s="190"/>
      <c r="R114" s="191"/>
      <c r="S114" s="190"/>
      <c r="T114" s="191"/>
      <c r="U114" s="190"/>
      <c r="V114" s="191"/>
      <c r="W114" s="190"/>
      <c r="X114" s="191"/>
      <c r="Y114" s="190"/>
      <c r="Z114" s="191"/>
      <c r="AA114" s="190"/>
      <c r="AB114" s="191"/>
      <c r="AC114" s="190"/>
      <c r="AD114" s="191"/>
      <c r="AE114" s="190"/>
      <c r="AF114" s="191"/>
      <c r="AG114" s="190"/>
      <c r="AH114" s="191"/>
      <c r="AI114" s="190"/>
      <c r="AJ114" s="191"/>
      <c r="AK114" s="190"/>
      <c r="AL114" s="191"/>
      <c r="AM114" s="190"/>
      <c r="AN114" s="191"/>
      <c r="AO114" s="190"/>
      <c r="AP114" s="191"/>
      <c r="AQ114" s="190"/>
      <c r="AR114" s="191"/>
      <c r="AS114" s="190"/>
      <c r="AT114" s="191"/>
      <c r="AU114" s="190"/>
      <c r="AV114" s="191"/>
      <c r="AW114" s="190"/>
      <c r="AX114" s="191"/>
      <c r="AY114" s="190"/>
      <c r="AZ114" s="191"/>
      <c r="BA114" s="145" t="str">
        <f>IFERROR(INDEX($E$4:$AZ$4,SUMPRODUCT(MAX(COLUMN(Tbl_PDSAData[[#This Row],[D1]:[M24]])*(ListLookup!$G$3=Tbl_PDSAData[[#This Row],[D1]:[M24]]))-4)),"")</f>
        <v/>
      </c>
      <c r="BB114" s="145" t="str">
        <f>IFERROR(INDEX($E$4:$AZ$4,SUMPRODUCT(MAX(COLUMN(Tbl_PDSAData[[#This Row],[D1]:[M24]])*(ListLookup!$H$3=Tbl_PDSAData[[#This Row],[D1]:[M24]]))-4)),"")</f>
        <v/>
      </c>
    </row>
    <row r="115" spans="1:54" s="74" customFormat="1" x14ac:dyDescent="0.25">
      <c r="A115" s="189"/>
      <c r="B115" s="134" t="str">
        <f>IFERROR(INDEX(Tbl_ResidentData[Physician],MATCH(Tbl_PDSAData[[#This Row],[Resident Name (last, first)]],Tbl_ResidentData[Resident Name '[last, first']],0))&amp;"","")</f>
        <v/>
      </c>
      <c r="C115" s="135" t="str">
        <f>IFERROR(INDEX(Tbl_ResidentData[Diagnosis (RAI)],MATCH(Tbl_PDSAData[[#This Row],[Resident Name (last, first)]],Tbl_ResidentData[Resident Name '[last, first']],0))&amp;"","")</f>
        <v/>
      </c>
      <c r="D115" s="144" t="str">
        <f>IFERROR(INDEX(Tbl_ResidentData[Clinical Notes
'[free text']],MATCH(Tbl_PDSAData[[#This Row],[Resident Name (last, first)]],Tbl_ResidentData[Resident Name '[last, first']],0))&amp;"","")</f>
        <v/>
      </c>
      <c r="E115" s="190"/>
      <c r="F115" s="191"/>
      <c r="G115" s="190"/>
      <c r="H115" s="191"/>
      <c r="I115" s="190"/>
      <c r="J115" s="191"/>
      <c r="K115" s="190"/>
      <c r="L115" s="191"/>
      <c r="M115" s="190"/>
      <c r="N115" s="191"/>
      <c r="O115" s="190"/>
      <c r="P115" s="191"/>
      <c r="Q115" s="190"/>
      <c r="R115" s="191"/>
      <c r="S115" s="190"/>
      <c r="T115" s="191"/>
      <c r="U115" s="190"/>
      <c r="V115" s="191"/>
      <c r="W115" s="190"/>
      <c r="X115" s="191"/>
      <c r="Y115" s="190"/>
      <c r="Z115" s="191"/>
      <c r="AA115" s="190"/>
      <c r="AB115" s="191"/>
      <c r="AC115" s="190"/>
      <c r="AD115" s="191"/>
      <c r="AE115" s="190"/>
      <c r="AF115" s="191"/>
      <c r="AG115" s="190"/>
      <c r="AH115" s="191"/>
      <c r="AI115" s="190"/>
      <c r="AJ115" s="191"/>
      <c r="AK115" s="190"/>
      <c r="AL115" s="191"/>
      <c r="AM115" s="190"/>
      <c r="AN115" s="191"/>
      <c r="AO115" s="190"/>
      <c r="AP115" s="191"/>
      <c r="AQ115" s="190"/>
      <c r="AR115" s="191"/>
      <c r="AS115" s="190"/>
      <c r="AT115" s="191"/>
      <c r="AU115" s="190"/>
      <c r="AV115" s="191"/>
      <c r="AW115" s="190"/>
      <c r="AX115" s="191"/>
      <c r="AY115" s="190"/>
      <c r="AZ115" s="191"/>
      <c r="BA115" s="145" t="str">
        <f>IFERROR(INDEX($E$4:$AZ$4,SUMPRODUCT(MAX(COLUMN(Tbl_PDSAData[[#This Row],[D1]:[M24]])*(ListLookup!$G$3=Tbl_PDSAData[[#This Row],[D1]:[M24]]))-4)),"")</f>
        <v/>
      </c>
      <c r="BB115" s="145" t="str">
        <f>IFERROR(INDEX($E$4:$AZ$4,SUMPRODUCT(MAX(COLUMN(Tbl_PDSAData[[#This Row],[D1]:[M24]])*(ListLookup!$H$3=Tbl_PDSAData[[#This Row],[D1]:[M24]]))-4)),"")</f>
        <v/>
      </c>
    </row>
    <row r="116" spans="1:54" s="74" customFormat="1" x14ac:dyDescent="0.25">
      <c r="A116" s="189"/>
      <c r="B116" s="134" t="str">
        <f>IFERROR(INDEX(Tbl_ResidentData[Physician],MATCH(Tbl_PDSAData[[#This Row],[Resident Name (last, first)]],Tbl_ResidentData[Resident Name '[last, first']],0))&amp;"","")</f>
        <v/>
      </c>
      <c r="C116" s="135" t="str">
        <f>IFERROR(INDEX(Tbl_ResidentData[Diagnosis (RAI)],MATCH(Tbl_PDSAData[[#This Row],[Resident Name (last, first)]],Tbl_ResidentData[Resident Name '[last, first']],0))&amp;"","")</f>
        <v/>
      </c>
      <c r="D116" s="144" t="str">
        <f>IFERROR(INDEX(Tbl_ResidentData[Clinical Notes
'[free text']],MATCH(Tbl_PDSAData[[#This Row],[Resident Name (last, first)]],Tbl_ResidentData[Resident Name '[last, first']],0))&amp;"","")</f>
        <v/>
      </c>
      <c r="E116" s="190"/>
      <c r="F116" s="191"/>
      <c r="G116" s="190"/>
      <c r="H116" s="191"/>
      <c r="I116" s="190"/>
      <c r="J116" s="191"/>
      <c r="K116" s="190"/>
      <c r="L116" s="191"/>
      <c r="M116" s="190"/>
      <c r="N116" s="191"/>
      <c r="O116" s="190"/>
      <c r="P116" s="191"/>
      <c r="Q116" s="190"/>
      <c r="R116" s="191"/>
      <c r="S116" s="190"/>
      <c r="T116" s="191"/>
      <c r="U116" s="190"/>
      <c r="V116" s="191"/>
      <c r="W116" s="190"/>
      <c r="X116" s="191"/>
      <c r="Y116" s="190"/>
      <c r="Z116" s="191"/>
      <c r="AA116" s="190"/>
      <c r="AB116" s="191"/>
      <c r="AC116" s="190"/>
      <c r="AD116" s="191"/>
      <c r="AE116" s="190"/>
      <c r="AF116" s="191"/>
      <c r="AG116" s="190"/>
      <c r="AH116" s="191"/>
      <c r="AI116" s="190"/>
      <c r="AJ116" s="191"/>
      <c r="AK116" s="190"/>
      <c r="AL116" s="191"/>
      <c r="AM116" s="190"/>
      <c r="AN116" s="191"/>
      <c r="AO116" s="190"/>
      <c r="AP116" s="191"/>
      <c r="AQ116" s="190"/>
      <c r="AR116" s="191"/>
      <c r="AS116" s="190"/>
      <c r="AT116" s="191"/>
      <c r="AU116" s="190"/>
      <c r="AV116" s="191"/>
      <c r="AW116" s="190"/>
      <c r="AX116" s="191"/>
      <c r="AY116" s="190"/>
      <c r="AZ116" s="191"/>
      <c r="BA116" s="145" t="str">
        <f>IFERROR(INDEX($E$4:$AZ$4,SUMPRODUCT(MAX(COLUMN(Tbl_PDSAData[[#This Row],[D1]:[M24]])*(ListLookup!$G$3=Tbl_PDSAData[[#This Row],[D1]:[M24]]))-4)),"")</f>
        <v/>
      </c>
      <c r="BB116" s="145" t="str">
        <f>IFERROR(INDEX($E$4:$AZ$4,SUMPRODUCT(MAX(COLUMN(Tbl_PDSAData[[#This Row],[D1]:[M24]])*(ListLookup!$H$3=Tbl_PDSAData[[#This Row],[D1]:[M24]]))-4)),"")</f>
        <v/>
      </c>
    </row>
    <row r="117" spans="1:54" s="74" customFormat="1" x14ac:dyDescent="0.25">
      <c r="A117" s="189"/>
      <c r="B117" s="134" t="str">
        <f>IFERROR(INDEX(Tbl_ResidentData[Physician],MATCH(Tbl_PDSAData[[#This Row],[Resident Name (last, first)]],Tbl_ResidentData[Resident Name '[last, first']],0))&amp;"","")</f>
        <v/>
      </c>
      <c r="C117" s="135" t="str">
        <f>IFERROR(INDEX(Tbl_ResidentData[Diagnosis (RAI)],MATCH(Tbl_PDSAData[[#This Row],[Resident Name (last, first)]],Tbl_ResidentData[Resident Name '[last, first']],0))&amp;"","")</f>
        <v/>
      </c>
      <c r="D117" s="144" t="str">
        <f>IFERROR(INDEX(Tbl_ResidentData[Clinical Notes
'[free text']],MATCH(Tbl_PDSAData[[#This Row],[Resident Name (last, first)]],Tbl_ResidentData[Resident Name '[last, first']],0))&amp;"","")</f>
        <v/>
      </c>
      <c r="E117" s="190"/>
      <c r="F117" s="191"/>
      <c r="G117" s="190"/>
      <c r="H117" s="191"/>
      <c r="I117" s="190"/>
      <c r="J117" s="191"/>
      <c r="K117" s="190"/>
      <c r="L117" s="191"/>
      <c r="M117" s="190"/>
      <c r="N117" s="191"/>
      <c r="O117" s="190"/>
      <c r="P117" s="191"/>
      <c r="Q117" s="190"/>
      <c r="R117" s="191"/>
      <c r="S117" s="190"/>
      <c r="T117" s="191"/>
      <c r="U117" s="190"/>
      <c r="V117" s="191"/>
      <c r="W117" s="190"/>
      <c r="X117" s="191"/>
      <c r="Y117" s="190"/>
      <c r="Z117" s="191"/>
      <c r="AA117" s="190"/>
      <c r="AB117" s="191"/>
      <c r="AC117" s="190"/>
      <c r="AD117" s="191"/>
      <c r="AE117" s="190"/>
      <c r="AF117" s="191"/>
      <c r="AG117" s="190"/>
      <c r="AH117" s="191"/>
      <c r="AI117" s="190"/>
      <c r="AJ117" s="191"/>
      <c r="AK117" s="190"/>
      <c r="AL117" s="191"/>
      <c r="AM117" s="190"/>
      <c r="AN117" s="191"/>
      <c r="AO117" s="190"/>
      <c r="AP117" s="191"/>
      <c r="AQ117" s="190"/>
      <c r="AR117" s="191"/>
      <c r="AS117" s="190"/>
      <c r="AT117" s="191"/>
      <c r="AU117" s="190"/>
      <c r="AV117" s="191"/>
      <c r="AW117" s="190"/>
      <c r="AX117" s="191"/>
      <c r="AY117" s="190"/>
      <c r="AZ117" s="191"/>
      <c r="BA117" s="145" t="str">
        <f>IFERROR(INDEX($E$4:$AZ$4,SUMPRODUCT(MAX(COLUMN(Tbl_PDSAData[[#This Row],[D1]:[M24]])*(ListLookup!$G$3=Tbl_PDSAData[[#This Row],[D1]:[M24]]))-4)),"")</f>
        <v/>
      </c>
      <c r="BB117" s="145" t="str">
        <f>IFERROR(INDEX($E$4:$AZ$4,SUMPRODUCT(MAX(COLUMN(Tbl_PDSAData[[#This Row],[D1]:[M24]])*(ListLookup!$H$3=Tbl_PDSAData[[#This Row],[D1]:[M24]]))-4)),"")</f>
        <v/>
      </c>
    </row>
    <row r="118" spans="1:54" s="74" customFormat="1" x14ac:dyDescent="0.25">
      <c r="A118" s="189"/>
      <c r="B118" s="134" t="str">
        <f>IFERROR(INDEX(Tbl_ResidentData[Physician],MATCH(Tbl_PDSAData[[#This Row],[Resident Name (last, first)]],Tbl_ResidentData[Resident Name '[last, first']],0))&amp;"","")</f>
        <v/>
      </c>
      <c r="C118" s="135" t="str">
        <f>IFERROR(INDEX(Tbl_ResidentData[Diagnosis (RAI)],MATCH(Tbl_PDSAData[[#This Row],[Resident Name (last, first)]],Tbl_ResidentData[Resident Name '[last, first']],0))&amp;"","")</f>
        <v/>
      </c>
      <c r="D118" s="144" t="str">
        <f>IFERROR(INDEX(Tbl_ResidentData[Clinical Notes
'[free text']],MATCH(Tbl_PDSAData[[#This Row],[Resident Name (last, first)]],Tbl_ResidentData[Resident Name '[last, first']],0))&amp;"","")</f>
        <v/>
      </c>
      <c r="E118" s="190"/>
      <c r="F118" s="191"/>
      <c r="G118" s="190"/>
      <c r="H118" s="191"/>
      <c r="I118" s="190"/>
      <c r="J118" s="191"/>
      <c r="K118" s="190"/>
      <c r="L118" s="191"/>
      <c r="M118" s="190"/>
      <c r="N118" s="191"/>
      <c r="O118" s="190"/>
      <c r="P118" s="191"/>
      <c r="Q118" s="190"/>
      <c r="R118" s="191"/>
      <c r="S118" s="190"/>
      <c r="T118" s="191"/>
      <c r="U118" s="190"/>
      <c r="V118" s="191"/>
      <c r="W118" s="190"/>
      <c r="X118" s="191"/>
      <c r="Y118" s="190"/>
      <c r="Z118" s="191"/>
      <c r="AA118" s="190"/>
      <c r="AB118" s="191"/>
      <c r="AC118" s="190"/>
      <c r="AD118" s="191"/>
      <c r="AE118" s="190"/>
      <c r="AF118" s="191"/>
      <c r="AG118" s="190"/>
      <c r="AH118" s="191"/>
      <c r="AI118" s="190"/>
      <c r="AJ118" s="191"/>
      <c r="AK118" s="190"/>
      <c r="AL118" s="191"/>
      <c r="AM118" s="190"/>
      <c r="AN118" s="191"/>
      <c r="AO118" s="190"/>
      <c r="AP118" s="191"/>
      <c r="AQ118" s="190"/>
      <c r="AR118" s="191"/>
      <c r="AS118" s="190"/>
      <c r="AT118" s="191"/>
      <c r="AU118" s="190"/>
      <c r="AV118" s="191"/>
      <c r="AW118" s="190"/>
      <c r="AX118" s="191"/>
      <c r="AY118" s="190"/>
      <c r="AZ118" s="191"/>
      <c r="BA118" s="145" t="str">
        <f>IFERROR(INDEX($E$4:$AZ$4,SUMPRODUCT(MAX(COLUMN(Tbl_PDSAData[[#This Row],[D1]:[M24]])*(ListLookup!$G$3=Tbl_PDSAData[[#This Row],[D1]:[M24]]))-4)),"")</f>
        <v/>
      </c>
      <c r="BB118" s="145" t="str">
        <f>IFERROR(INDEX($E$4:$AZ$4,SUMPRODUCT(MAX(COLUMN(Tbl_PDSAData[[#This Row],[D1]:[M24]])*(ListLookup!$H$3=Tbl_PDSAData[[#This Row],[D1]:[M24]]))-4)),"")</f>
        <v/>
      </c>
    </row>
    <row r="119" spans="1:54" s="74" customFormat="1" x14ac:dyDescent="0.25">
      <c r="A119" s="189"/>
      <c r="B119" s="134" t="str">
        <f>IFERROR(INDEX(Tbl_ResidentData[Physician],MATCH(Tbl_PDSAData[[#This Row],[Resident Name (last, first)]],Tbl_ResidentData[Resident Name '[last, first']],0))&amp;"","")</f>
        <v/>
      </c>
      <c r="C119" s="135" t="str">
        <f>IFERROR(INDEX(Tbl_ResidentData[Diagnosis (RAI)],MATCH(Tbl_PDSAData[[#This Row],[Resident Name (last, first)]],Tbl_ResidentData[Resident Name '[last, first']],0))&amp;"","")</f>
        <v/>
      </c>
      <c r="D119" s="144" t="str">
        <f>IFERROR(INDEX(Tbl_ResidentData[Clinical Notes
'[free text']],MATCH(Tbl_PDSAData[[#This Row],[Resident Name (last, first)]],Tbl_ResidentData[Resident Name '[last, first']],0))&amp;"","")</f>
        <v/>
      </c>
      <c r="E119" s="190"/>
      <c r="F119" s="191"/>
      <c r="G119" s="190"/>
      <c r="H119" s="191"/>
      <c r="I119" s="190"/>
      <c r="J119" s="191"/>
      <c r="K119" s="190"/>
      <c r="L119" s="191"/>
      <c r="M119" s="190"/>
      <c r="N119" s="191"/>
      <c r="O119" s="190"/>
      <c r="P119" s="191"/>
      <c r="Q119" s="190"/>
      <c r="R119" s="191"/>
      <c r="S119" s="190"/>
      <c r="T119" s="191"/>
      <c r="U119" s="190"/>
      <c r="V119" s="191"/>
      <c r="W119" s="190"/>
      <c r="X119" s="191"/>
      <c r="Y119" s="190"/>
      <c r="Z119" s="191"/>
      <c r="AA119" s="190"/>
      <c r="AB119" s="191"/>
      <c r="AC119" s="190"/>
      <c r="AD119" s="191"/>
      <c r="AE119" s="190"/>
      <c r="AF119" s="191"/>
      <c r="AG119" s="190"/>
      <c r="AH119" s="191"/>
      <c r="AI119" s="190"/>
      <c r="AJ119" s="191"/>
      <c r="AK119" s="190"/>
      <c r="AL119" s="191"/>
      <c r="AM119" s="190"/>
      <c r="AN119" s="191"/>
      <c r="AO119" s="190"/>
      <c r="AP119" s="191"/>
      <c r="AQ119" s="190"/>
      <c r="AR119" s="191"/>
      <c r="AS119" s="190"/>
      <c r="AT119" s="191"/>
      <c r="AU119" s="190"/>
      <c r="AV119" s="191"/>
      <c r="AW119" s="190"/>
      <c r="AX119" s="191"/>
      <c r="AY119" s="190"/>
      <c r="AZ119" s="191"/>
      <c r="BA119" s="145" t="str">
        <f>IFERROR(INDEX($E$4:$AZ$4,SUMPRODUCT(MAX(COLUMN(Tbl_PDSAData[[#This Row],[D1]:[M24]])*(ListLookup!$G$3=Tbl_PDSAData[[#This Row],[D1]:[M24]]))-4)),"")</f>
        <v/>
      </c>
      <c r="BB119" s="145" t="str">
        <f>IFERROR(INDEX($E$4:$AZ$4,SUMPRODUCT(MAX(COLUMN(Tbl_PDSAData[[#This Row],[D1]:[M24]])*(ListLookup!$H$3=Tbl_PDSAData[[#This Row],[D1]:[M24]]))-4)),"")</f>
        <v/>
      </c>
    </row>
    <row r="120" spans="1:54" s="74" customFormat="1" x14ac:dyDescent="0.25">
      <c r="A120" s="189"/>
      <c r="B120" s="134" t="str">
        <f>IFERROR(INDEX(Tbl_ResidentData[Physician],MATCH(Tbl_PDSAData[[#This Row],[Resident Name (last, first)]],Tbl_ResidentData[Resident Name '[last, first']],0))&amp;"","")</f>
        <v/>
      </c>
      <c r="C120" s="135" t="str">
        <f>IFERROR(INDEX(Tbl_ResidentData[Diagnosis (RAI)],MATCH(Tbl_PDSAData[[#This Row],[Resident Name (last, first)]],Tbl_ResidentData[Resident Name '[last, first']],0))&amp;"","")</f>
        <v/>
      </c>
      <c r="D120" s="144" t="str">
        <f>IFERROR(INDEX(Tbl_ResidentData[Clinical Notes
'[free text']],MATCH(Tbl_PDSAData[[#This Row],[Resident Name (last, first)]],Tbl_ResidentData[Resident Name '[last, first']],0))&amp;"","")</f>
        <v/>
      </c>
      <c r="E120" s="190"/>
      <c r="F120" s="191"/>
      <c r="G120" s="190"/>
      <c r="H120" s="191"/>
      <c r="I120" s="190"/>
      <c r="J120" s="191"/>
      <c r="K120" s="190"/>
      <c r="L120" s="191"/>
      <c r="M120" s="190"/>
      <c r="N120" s="191"/>
      <c r="O120" s="190"/>
      <c r="P120" s="191"/>
      <c r="Q120" s="190"/>
      <c r="R120" s="191"/>
      <c r="S120" s="190"/>
      <c r="T120" s="191"/>
      <c r="U120" s="190"/>
      <c r="V120" s="191"/>
      <c r="W120" s="190"/>
      <c r="X120" s="191"/>
      <c r="Y120" s="190"/>
      <c r="Z120" s="191"/>
      <c r="AA120" s="190"/>
      <c r="AB120" s="191"/>
      <c r="AC120" s="190"/>
      <c r="AD120" s="191"/>
      <c r="AE120" s="190"/>
      <c r="AF120" s="191"/>
      <c r="AG120" s="190"/>
      <c r="AH120" s="191"/>
      <c r="AI120" s="190"/>
      <c r="AJ120" s="191"/>
      <c r="AK120" s="190"/>
      <c r="AL120" s="191"/>
      <c r="AM120" s="190"/>
      <c r="AN120" s="191"/>
      <c r="AO120" s="190"/>
      <c r="AP120" s="191"/>
      <c r="AQ120" s="190"/>
      <c r="AR120" s="191"/>
      <c r="AS120" s="190"/>
      <c r="AT120" s="191"/>
      <c r="AU120" s="190"/>
      <c r="AV120" s="191"/>
      <c r="AW120" s="190"/>
      <c r="AX120" s="191"/>
      <c r="AY120" s="190"/>
      <c r="AZ120" s="191"/>
      <c r="BA120" s="145" t="str">
        <f>IFERROR(INDEX($E$4:$AZ$4,SUMPRODUCT(MAX(COLUMN(Tbl_PDSAData[[#This Row],[D1]:[M24]])*(ListLookup!$G$3=Tbl_PDSAData[[#This Row],[D1]:[M24]]))-4)),"")</f>
        <v/>
      </c>
      <c r="BB120" s="145" t="str">
        <f>IFERROR(INDEX($E$4:$AZ$4,SUMPRODUCT(MAX(COLUMN(Tbl_PDSAData[[#This Row],[D1]:[M24]])*(ListLookup!$H$3=Tbl_PDSAData[[#This Row],[D1]:[M24]]))-4)),"")</f>
        <v/>
      </c>
    </row>
    <row r="121" spans="1:54" s="74" customFormat="1" x14ac:dyDescent="0.25">
      <c r="A121" s="189"/>
      <c r="B121" s="134" t="str">
        <f>IFERROR(INDEX(Tbl_ResidentData[Physician],MATCH(Tbl_PDSAData[[#This Row],[Resident Name (last, first)]],Tbl_ResidentData[Resident Name '[last, first']],0))&amp;"","")</f>
        <v/>
      </c>
      <c r="C121" s="135" t="str">
        <f>IFERROR(INDEX(Tbl_ResidentData[Diagnosis (RAI)],MATCH(Tbl_PDSAData[[#This Row],[Resident Name (last, first)]],Tbl_ResidentData[Resident Name '[last, first']],0))&amp;"","")</f>
        <v/>
      </c>
      <c r="D121" s="144" t="str">
        <f>IFERROR(INDEX(Tbl_ResidentData[Clinical Notes
'[free text']],MATCH(Tbl_PDSAData[[#This Row],[Resident Name (last, first)]],Tbl_ResidentData[Resident Name '[last, first']],0))&amp;"","")</f>
        <v/>
      </c>
      <c r="E121" s="190"/>
      <c r="F121" s="191"/>
      <c r="G121" s="190"/>
      <c r="H121" s="191"/>
      <c r="I121" s="190"/>
      <c r="J121" s="191"/>
      <c r="K121" s="190"/>
      <c r="L121" s="191"/>
      <c r="M121" s="190"/>
      <c r="N121" s="191"/>
      <c r="O121" s="190"/>
      <c r="P121" s="191"/>
      <c r="Q121" s="190"/>
      <c r="R121" s="191"/>
      <c r="S121" s="190"/>
      <c r="T121" s="191"/>
      <c r="U121" s="190"/>
      <c r="V121" s="191"/>
      <c r="W121" s="190"/>
      <c r="X121" s="191"/>
      <c r="Y121" s="190"/>
      <c r="Z121" s="191"/>
      <c r="AA121" s="190"/>
      <c r="AB121" s="191"/>
      <c r="AC121" s="190"/>
      <c r="AD121" s="191"/>
      <c r="AE121" s="190"/>
      <c r="AF121" s="191"/>
      <c r="AG121" s="190"/>
      <c r="AH121" s="191"/>
      <c r="AI121" s="190"/>
      <c r="AJ121" s="191"/>
      <c r="AK121" s="190"/>
      <c r="AL121" s="191"/>
      <c r="AM121" s="190"/>
      <c r="AN121" s="191"/>
      <c r="AO121" s="190"/>
      <c r="AP121" s="191"/>
      <c r="AQ121" s="190"/>
      <c r="AR121" s="191"/>
      <c r="AS121" s="190"/>
      <c r="AT121" s="191"/>
      <c r="AU121" s="190"/>
      <c r="AV121" s="191"/>
      <c r="AW121" s="190"/>
      <c r="AX121" s="191"/>
      <c r="AY121" s="190"/>
      <c r="AZ121" s="191"/>
      <c r="BA121" s="145" t="str">
        <f>IFERROR(INDEX($E$4:$AZ$4,SUMPRODUCT(MAX(COLUMN(Tbl_PDSAData[[#This Row],[D1]:[M24]])*(ListLookup!$G$3=Tbl_PDSAData[[#This Row],[D1]:[M24]]))-4)),"")</f>
        <v/>
      </c>
      <c r="BB121" s="145" t="str">
        <f>IFERROR(INDEX($E$4:$AZ$4,SUMPRODUCT(MAX(COLUMN(Tbl_PDSAData[[#This Row],[D1]:[M24]])*(ListLookup!$H$3=Tbl_PDSAData[[#This Row],[D1]:[M24]]))-4)),"")</f>
        <v/>
      </c>
    </row>
    <row r="122" spans="1:54" s="74" customFormat="1" x14ac:dyDescent="0.25">
      <c r="A122" s="189"/>
      <c r="B122" s="134" t="str">
        <f>IFERROR(INDEX(Tbl_ResidentData[Physician],MATCH(Tbl_PDSAData[[#This Row],[Resident Name (last, first)]],Tbl_ResidentData[Resident Name '[last, first']],0))&amp;"","")</f>
        <v/>
      </c>
      <c r="C122" s="135" t="str">
        <f>IFERROR(INDEX(Tbl_ResidentData[Diagnosis (RAI)],MATCH(Tbl_PDSAData[[#This Row],[Resident Name (last, first)]],Tbl_ResidentData[Resident Name '[last, first']],0))&amp;"","")</f>
        <v/>
      </c>
      <c r="D122" s="144" t="str">
        <f>IFERROR(INDEX(Tbl_ResidentData[Clinical Notes
'[free text']],MATCH(Tbl_PDSAData[[#This Row],[Resident Name (last, first)]],Tbl_ResidentData[Resident Name '[last, first']],0))&amp;"","")</f>
        <v/>
      </c>
      <c r="E122" s="190"/>
      <c r="F122" s="191"/>
      <c r="G122" s="190"/>
      <c r="H122" s="191"/>
      <c r="I122" s="190"/>
      <c r="J122" s="191"/>
      <c r="K122" s="190"/>
      <c r="L122" s="191"/>
      <c r="M122" s="190"/>
      <c r="N122" s="191"/>
      <c r="O122" s="190"/>
      <c r="P122" s="191"/>
      <c r="Q122" s="190"/>
      <c r="R122" s="191"/>
      <c r="S122" s="190"/>
      <c r="T122" s="191"/>
      <c r="U122" s="190"/>
      <c r="V122" s="191"/>
      <c r="W122" s="190"/>
      <c r="X122" s="191"/>
      <c r="Y122" s="190"/>
      <c r="Z122" s="191"/>
      <c r="AA122" s="190"/>
      <c r="AB122" s="191"/>
      <c r="AC122" s="190"/>
      <c r="AD122" s="191"/>
      <c r="AE122" s="190"/>
      <c r="AF122" s="191"/>
      <c r="AG122" s="190"/>
      <c r="AH122" s="191"/>
      <c r="AI122" s="190"/>
      <c r="AJ122" s="191"/>
      <c r="AK122" s="190"/>
      <c r="AL122" s="191"/>
      <c r="AM122" s="190"/>
      <c r="AN122" s="191"/>
      <c r="AO122" s="190"/>
      <c r="AP122" s="191"/>
      <c r="AQ122" s="190"/>
      <c r="AR122" s="191"/>
      <c r="AS122" s="190"/>
      <c r="AT122" s="191"/>
      <c r="AU122" s="190"/>
      <c r="AV122" s="191"/>
      <c r="AW122" s="190"/>
      <c r="AX122" s="191"/>
      <c r="AY122" s="190"/>
      <c r="AZ122" s="191"/>
      <c r="BA122" s="145" t="str">
        <f>IFERROR(INDEX($E$4:$AZ$4,SUMPRODUCT(MAX(COLUMN(Tbl_PDSAData[[#This Row],[D1]:[M24]])*(ListLookup!$G$3=Tbl_PDSAData[[#This Row],[D1]:[M24]]))-4)),"")</f>
        <v/>
      </c>
      <c r="BB122" s="145" t="str">
        <f>IFERROR(INDEX($E$4:$AZ$4,SUMPRODUCT(MAX(COLUMN(Tbl_PDSAData[[#This Row],[D1]:[M24]])*(ListLookup!$H$3=Tbl_PDSAData[[#This Row],[D1]:[M24]]))-4)),"")</f>
        <v/>
      </c>
    </row>
    <row r="123" spans="1:54" s="74" customFormat="1" x14ac:dyDescent="0.25">
      <c r="A123" s="189"/>
      <c r="B123" s="134" t="str">
        <f>IFERROR(INDEX(Tbl_ResidentData[Physician],MATCH(Tbl_PDSAData[[#This Row],[Resident Name (last, first)]],Tbl_ResidentData[Resident Name '[last, first']],0))&amp;"","")</f>
        <v/>
      </c>
      <c r="C123" s="135" t="str">
        <f>IFERROR(INDEX(Tbl_ResidentData[Diagnosis (RAI)],MATCH(Tbl_PDSAData[[#This Row],[Resident Name (last, first)]],Tbl_ResidentData[Resident Name '[last, first']],0))&amp;"","")</f>
        <v/>
      </c>
      <c r="D123" s="144" t="str">
        <f>IFERROR(INDEX(Tbl_ResidentData[Clinical Notes
'[free text']],MATCH(Tbl_PDSAData[[#This Row],[Resident Name (last, first)]],Tbl_ResidentData[Resident Name '[last, first']],0))&amp;"","")</f>
        <v/>
      </c>
      <c r="E123" s="190"/>
      <c r="F123" s="191"/>
      <c r="G123" s="190"/>
      <c r="H123" s="191"/>
      <c r="I123" s="190"/>
      <c r="J123" s="191"/>
      <c r="K123" s="190"/>
      <c r="L123" s="191"/>
      <c r="M123" s="190"/>
      <c r="N123" s="191"/>
      <c r="O123" s="190"/>
      <c r="P123" s="191"/>
      <c r="Q123" s="190"/>
      <c r="R123" s="191"/>
      <c r="S123" s="190"/>
      <c r="T123" s="191"/>
      <c r="U123" s="190"/>
      <c r="V123" s="191"/>
      <c r="W123" s="190"/>
      <c r="X123" s="191"/>
      <c r="Y123" s="190"/>
      <c r="Z123" s="191"/>
      <c r="AA123" s="190"/>
      <c r="AB123" s="191"/>
      <c r="AC123" s="190"/>
      <c r="AD123" s="191"/>
      <c r="AE123" s="190"/>
      <c r="AF123" s="191"/>
      <c r="AG123" s="190"/>
      <c r="AH123" s="191"/>
      <c r="AI123" s="190"/>
      <c r="AJ123" s="191"/>
      <c r="AK123" s="190"/>
      <c r="AL123" s="191"/>
      <c r="AM123" s="190"/>
      <c r="AN123" s="191"/>
      <c r="AO123" s="190"/>
      <c r="AP123" s="191"/>
      <c r="AQ123" s="190"/>
      <c r="AR123" s="191"/>
      <c r="AS123" s="190"/>
      <c r="AT123" s="191"/>
      <c r="AU123" s="190"/>
      <c r="AV123" s="191"/>
      <c r="AW123" s="190"/>
      <c r="AX123" s="191"/>
      <c r="AY123" s="190"/>
      <c r="AZ123" s="191"/>
      <c r="BA123" s="145" t="str">
        <f>IFERROR(INDEX($E$4:$AZ$4,SUMPRODUCT(MAX(COLUMN(Tbl_PDSAData[[#This Row],[D1]:[M24]])*(ListLookup!$G$3=Tbl_PDSAData[[#This Row],[D1]:[M24]]))-4)),"")</f>
        <v/>
      </c>
      <c r="BB123" s="145" t="str">
        <f>IFERROR(INDEX($E$4:$AZ$4,SUMPRODUCT(MAX(COLUMN(Tbl_PDSAData[[#This Row],[D1]:[M24]])*(ListLookup!$H$3=Tbl_PDSAData[[#This Row],[D1]:[M24]]))-4)),"")</f>
        <v/>
      </c>
    </row>
    <row r="124" spans="1:54" s="74" customFormat="1" x14ac:dyDescent="0.25">
      <c r="A124" s="189"/>
      <c r="B124" s="134" t="str">
        <f>IFERROR(INDEX(Tbl_ResidentData[Physician],MATCH(Tbl_PDSAData[[#This Row],[Resident Name (last, first)]],Tbl_ResidentData[Resident Name '[last, first']],0))&amp;"","")</f>
        <v/>
      </c>
      <c r="C124" s="135" t="str">
        <f>IFERROR(INDEX(Tbl_ResidentData[Diagnosis (RAI)],MATCH(Tbl_PDSAData[[#This Row],[Resident Name (last, first)]],Tbl_ResidentData[Resident Name '[last, first']],0))&amp;"","")</f>
        <v/>
      </c>
      <c r="D124" s="144" t="str">
        <f>IFERROR(INDEX(Tbl_ResidentData[Clinical Notes
'[free text']],MATCH(Tbl_PDSAData[[#This Row],[Resident Name (last, first)]],Tbl_ResidentData[Resident Name '[last, first']],0))&amp;"","")</f>
        <v/>
      </c>
      <c r="E124" s="190"/>
      <c r="F124" s="191"/>
      <c r="G124" s="190"/>
      <c r="H124" s="191"/>
      <c r="I124" s="190"/>
      <c r="J124" s="191"/>
      <c r="K124" s="190"/>
      <c r="L124" s="191"/>
      <c r="M124" s="190"/>
      <c r="N124" s="191"/>
      <c r="O124" s="190"/>
      <c r="P124" s="191"/>
      <c r="Q124" s="190"/>
      <c r="R124" s="191"/>
      <c r="S124" s="190"/>
      <c r="T124" s="191"/>
      <c r="U124" s="190"/>
      <c r="V124" s="191"/>
      <c r="W124" s="190"/>
      <c r="X124" s="191"/>
      <c r="Y124" s="190"/>
      <c r="Z124" s="191"/>
      <c r="AA124" s="190"/>
      <c r="AB124" s="191"/>
      <c r="AC124" s="190"/>
      <c r="AD124" s="191"/>
      <c r="AE124" s="190"/>
      <c r="AF124" s="191"/>
      <c r="AG124" s="190"/>
      <c r="AH124" s="191"/>
      <c r="AI124" s="190"/>
      <c r="AJ124" s="191"/>
      <c r="AK124" s="190"/>
      <c r="AL124" s="191"/>
      <c r="AM124" s="190"/>
      <c r="AN124" s="191"/>
      <c r="AO124" s="190"/>
      <c r="AP124" s="191"/>
      <c r="AQ124" s="190"/>
      <c r="AR124" s="191"/>
      <c r="AS124" s="190"/>
      <c r="AT124" s="191"/>
      <c r="AU124" s="190"/>
      <c r="AV124" s="191"/>
      <c r="AW124" s="190"/>
      <c r="AX124" s="191"/>
      <c r="AY124" s="190"/>
      <c r="AZ124" s="191"/>
      <c r="BA124" s="145" t="str">
        <f>IFERROR(INDEX($E$4:$AZ$4,SUMPRODUCT(MAX(COLUMN(Tbl_PDSAData[[#This Row],[D1]:[M24]])*(ListLookup!$G$3=Tbl_PDSAData[[#This Row],[D1]:[M24]]))-4)),"")</f>
        <v/>
      </c>
      <c r="BB124" s="145" t="str">
        <f>IFERROR(INDEX($E$4:$AZ$4,SUMPRODUCT(MAX(COLUMN(Tbl_PDSAData[[#This Row],[D1]:[M24]])*(ListLookup!$H$3=Tbl_PDSAData[[#This Row],[D1]:[M24]]))-4)),"")</f>
        <v/>
      </c>
    </row>
    <row r="125" spans="1:54" s="74" customFormat="1" x14ac:dyDescent="0.25">
      <c r="A125" s="189"/>
      <c r="B125" s="134" t="str">
        <f>IFERROR(INDEX(Tbl_ResidentData[Physician],MATCH(Tbl_PDSAData[[#This Row],[Resident Name (last, first)]],Tbl_ResidentData[Resident Name '[last, first']],0))&amp;"","")</f>
        <v/>
      </c>
      <c r="C125" s="135" t="str">
        <f>IFERROR(INDEX(Tbl_ResidentData[Diagnosis (RAI)],MATCH(Tbl_PDSAData[[#This Row],[Resident Name (last, first)]],Tbl_ResidentData[Resident Name '[last, first']],0))&amp;"","")</f>
        <v/>
      </c>
      <c r="D125" s="144" t="str">
        <f>IFERROR(INDEX(Tbl_ResidentData[Clinical Notes
'[free text']],MATCH(Tbl_PDSAData[[#This Row],[Resident Name (last, first)]],Tbl_ResidentData[Resident Name '[last, first']],0))&amp;"","")</f>
        <v/>
      </c>
      <c r="E125" s="190"/>
      <c r="F125" s="191"/>
      <c r="G125" s="190"/>
      <c r="H125" s="191"/>
      <c r="I125" s="190"/>
      <c r="J125" s="191"/>
      <c r="K125" s="190"/>
      <c r="L125" s="191"/>
      <c r="M125" s="190"/>
      <c r="N125" s="191"/>
      <c r="O125" s="190"/>
      <c r="P125" s="191"/>
      <c r="Q125" s="190"/>
      <c r="R125" s="191"/>
      <c r="S125" s="190"/>
      <c r="T125" s="191"/>
      <c r="U125" s="190"/>
      <c r="V125" s="191"/>
      <c r="W125" s="190"/>
      <c r="X125" s="191"/>
      <c r="Y125" s="190"/>
      <c r="Z125" s="191"/>
      <c r="AA125" s="190"/>
      <c r="AB125" s="191"/>
      <c r="AC125" s="190"/>
      <c r="AD125" s="191"/>
      <c r="AE125" s="190"/>
      <c r="AF125" s="191"/>
      <c r="AG125" s="190"/>
      <c r="AH125" s="191"/>
      <c r="AI125" s="190"/>
      <c r="AJ125" s="191"/>
      <c r="AK125" s="190"/>
      <c r="AL125" s="191"/>
      <c r="AM125" s="190"/>
      <c r="AN125" s="191"/>
      <c r="AO125" s="190"/>
      <c r="AP125" s="191"/>
      <c r="AQ125" s="190"/>
      <c r="AR125" s="191"/>
      <c r="AS125" s="190"/>
      <c r="AT125" s="191"/>
      <c r="AU125" s="190"/>
      <c r="AV125" s="191"/>
      <c r="AW125" s="190"/>
      <c r="AX125" s="191"/>
      <c r="AY125" s="190"/>
      <c r="AZ125" s="191"/>
      <c r="BA125" s="145" t="str">
        <f>IFERROR(INDEX($E$4:$AZ$4,SUMPRODUCT(MAX(COLUMN(Tbl_PDSAData[[#This Row],[D1]:[M24]])*(ListLookup!$G$3=Tbl_PDSAData[[#This Row],[D1]:[M24]]))-4)),"")</f>
        <v/>
      </c>
      <c r="BB125" s="145" t="str">
        <f>IFERROR(INDEX($E$4:$AZ$4,SUMPRODUCT(MAX(COLUMN(Tbl_PDSAData[[#This Row],[D1]:[M24]])*(ListLookup!$H$3=Tbl_PDSAData[[#This Row],[D1]:[M24]]))-4)),"")</f>
        <v/>
      </c>
    </row>
    <row r="126" spans="1:54" s="74" customFormat="1" x14ac:dyDescent="0.25">
      <c r="A126" s="189"/>
      <c r="B126" s="134" t="str">
        <f>IFERROR(INDEX(Tbl_ResidentData[Physician],MATCH(Tbl_PDSAData[[#This Row],[Resident Name (last, first)]],Tbl_ResidentData[Resident Name '[last, first']],0))&amp;"","")</f>
        <v/>
      </c>
      <c r="C126" s="135" t="str">
        <f>IFERROR(INDEX(Tbl_ResidentData[Diagnosis (RAI)],MATCH(Tbl_PDSAData[[#This Row],[Resident Name (last, first)]],Tbl_ResidentData[Resident Name '[last, first']],0))&amp;"","")</f>
        <v/>
      </c>
      <c r="D126" s="144" t="str">
        <f>IFERROR(INDEX(Tbl_ResidentData[Clinical Notes
'[free text']],MATCH(Tbl_PDSAData[[#This Row],[Resident Name (last, first)]],Tbl_ResidentData[Resident Name '[last, first']],0))&amp;"","")</f>
        <v/>
      </c>
      <c r="E126" s="190"/>
      <c r="F126" s="191"/>
      <c r="G126" s="190"/>
      <c r="H126" s="191"/>
      <c r="I126" s="190"/>
      <c r="J126" s="191"/>
      <c r="K126" s="190"/>
      <c r="L126" s="191"/>
      <c r="M126" s="190"/>
      <c r="N126" s="191"/>
      <c r="O126" s="190"/>
      <c r="P126" s="191"/>
      <c r="Q126" s="190"/>
      <c r="R126" s="191"/>
      <c r="S126" s="190"/>
      <c r="T126" s="191"/>
      <c r="U126" s="190"/>
      <c r="V126" s="191"/>
      <c r="W126" s="190"/>
      <c r="X126" s="191"/>
      <c r="Y126" s="190"/>
      <c r="Z126" s="191"/>
      <c r="AA126" s="190"/>
      <c r="AB126" s="191"/>
      <c r="AC126" s="190"/>
      <c r="AD126" s="191"/>
      <c r="AE126" s="190"/>
      <c r="AF126" s="191"/>
      <c r="AG126" s="190"/>
      <c r="AH126" s="191"/>
      <c r="AI126" s="190"/>
      <c r="AJ126" s="191"/>
      <c r="AK126" s="190"/>
      <c r="AL126" s="191"/>
      <c r="AM126" s="190"/>
      <c r="AN126" s="191"/>
      <c r="AO126" s="190"/>
      <c r="AP126" s="191"/>
      <c r="AQ126" s="190"/>
      <c r="AR126" s="191"/>
      <c r="AS126" s="190"/>
      <c r="AT126" s="191"/>
      <c r="AU126" s="190"/>
      <c r="AV126" s="191"/>
      <c r="AW126" s="190"/>
      <c r="AX126" s="191"/>
      <c r="AY126" s="190"/>
      <c r="AZ126" s="191"/>
      <c r="BA126" s="145" t="str">
        <f>IFERROR(INDEX($E$4:$AZ$4,SUMPRODUCT(MAX(COLUMN(Tbl_PDSAData[[#This Row],[D1]:[M24]])*(ListLookup!$G$3=Tbl_PDSAData[[#This Row],[D1]:[M24]]))-4)),"")</f>
        <v/>
      </c>
      <c r="BB126" s="145" t="str">
        <f>IFERROR(INDEX($E$4:$AZ$4,SUMPRODUCT(MAX(COLUMN(Tbl_PDSAData[[#This Row],[D1]:[M24]])*(ListLookup!$H$3=Tbl_PDSAData[[#This Row],[D1]:[M24]]))-4)),"")</f>
        <v/>
      </c>
    </row>
    <row r="127" spans="1:54" s="74" customFormat="1" x14ac:dyDescent="0.25">
      <c r="A127" s="189"/>
      <c r="B127" s="134" t="str">
        <f>IFERROR(INDEX(Tbl_ResidentData[Physician],MATCH(Tbl_PDSAData[[#This Row],[Resident Name (last, first)]],Tbl_ResidentData[Resident Name '[last, first']],0))&amp;"","")</f>
        <v/>
      </c>
      <c r="C127" s="135" t="str">
        <f>IFERROR(INDEX(Tbl_ResidentData[Diagnosis (RAI)],MATCH(Tbl_PDSAData[[#This Row],[Resident Name (last, first)]],Tbl_ResidentData[Resident Name '[last, first']],0))&amp;"","")</f>
        <v/>
      </c>
      <c r="D127" s="144" t="str">
        <f>IFERROR(INDEX(Tbl_ResidentData[Clinical Notes
'[free text']],MATCH(Tbl_PDSAData[[#This Row],[Resident Name (last, first)]],Tbl_ResidentData[Resident Name '[last, first']],0))&amp;"","")</f>
        <v/>
      </c>
      <c r="E127" s="190"/>
      <c r="F127" s="191"/>
      <c r="G127" s="190"/>
      <c r="H127" s="191"/>
      <c r="I127" s="190"/>
      <c r="J127" s="191"/>
      <c r="K127" s="190"/>
      <c r="L127" s="191"/>
      <c r="M127" s="190"/>
      <c r="N127" s="191"/>
      <c r="O127" s="190"/>
      <c r="P127" s="191"/>
      <c r="Q127" s="190"/>
      <c r="R127" s="191"/>
      <c r="S127" s="190"/>
      <c r="T127" s="191"/>
      <c r="U127" s="190"/>
      <c r="V127" s="191"/>
      <c r="W127" s="190"/>
      <c r="X127" s="191"/>
      <c r="Y127" s="190"/>
      <c r="Z127" s="191"/>
      <c r="AA127" s="190"/>
      <c r="AB127" s="191"/>
      <c r="AC127" s="190"/>
      <c r="AD127" s="191"/>
      <c r="AE127" s="190"/>
      <c r="AF127" s="191"/>
      <c r="AG127" s="190"/>
      <c r="AH127" s="191"/>
      <c r="AI127" s="190"/>
      <c r="AJ127" s="191"/>
      <c r="AK127" s="190"/>
      <c r="AL127" s="191"/>
      <c r="AM127" s="190"/>
      <c r="AN127" s="191"/>
      <c r="AO127" s="190"/>
      <c r="AP127" s="191"/>
      <c r="AQ127" s="190"/>
      <c r="AR127" s="191"/>
      <c r="AS127" s="190"/>
      <c r="AT127" s="191"/>
      <c r="AU127" s="190"/>
      <c r="AV127" s="191"/>
      <c r="AW127" s="190"/>
      <c r="AX127" s="191"/>
      <c r="AY127" s="190"/>
      <c r="AZ127" s="191"/>
      <c r="BA127" s="145" t="str">
        <f>IFERROR(INDEX($E$4:$AZ$4,SUMPRODUCT(MAX(COLUMN(Tbl_PDSAData[[#This Row],[D1]:[M24]])*(ListLookup!$G$3=Tbl_PDSAData[[#This Row],[D1]:[M24]]))-4)),"")</f>
        <v/>
      </c>
      <c r="BB127" s="145" t="str">
        <f>IFERROR(INDEX($E$4:$AZ$4,SUMPRODUCT(MAX(COLUMN(Tbl_PDSAData[[#This Row],[D1]:[M24]])*(ListLookup!$H$3=Tbl_PDSAData[[#This Row],[D1]:[M24]]))-4)),"")</f>
        <v/>
      </c>
    </row>
    <row r="128" spans="1:54" s="74" customFormat="1" x14ac:dyDescent="0.25">
      <c r="A128" s="189"/>
      <c r="B128" s="134" t="str">
        <f>IFERROR(INDEX(Tbl_ResidentData[Physician],MATCH(Tbl_PDSAData[[#This Row],[Resident Name (last, first)]],Tbl_ResidentData[Resident Name '[last, first']],0))&amp;"","")</f>
        <v/>
      </c>
      <c r="C128" s="135" t="str">
        <f>IFERROR(INDEX(Tbl_ResidentData[Diagnosis (RAI)],MATCH(Tbl_PDSAData[[#This Row],[Resident Name (last, first)]],Tbl_ResidentData[Resident Name '[last, first']],0))&amp;"","")</f>
        <v/>
      </c>
      <c r="D128" s="144" t="str">
        <f>IFERROR(INDEX(Tbl_ResidentData[Clinical Notes
'[free text']],MATCH(Tbl_PDSAData[[#This Row],[Resident Name (last, first)]],Tbl_ResidentData[Resident Name '[last, first']],0))&amp;"","")</f>
        <v/>
      </c>
      <c r="E128" s="190"/>
      <c r="F128" s="191"/>
      <c r="G128" s="190"/>
      <c r="H128" s="191"/>
      <c r="I128" s="190"/>
      <c r="J128" s="191"/>
      <c r="K128" s="190"/>
      <c r="L128" s="191"/>
      <c r="M128" s="190"/>
      <c r="N128" s="191"/>
      <c r="O128" s="190"/>
      <c r="P128" s="191"/>
      <c r="Q128" s="190"/>
      <c r="R128" s="191"/>
      <c r="S128" s="190"/>
      <c r="T128" s="191"/>
      <c r="U128" s="190"/>
      <c r="V128" s="191"/>
      <c r="W128" s="190"/>
      <c r="X128" s="191"/>
      <c r="Y128" s="190"/>
      <c r="Z128" s="191"/>
      <c r="AA128" s="190"/>
      <c r="AB128" s="191"/>
      <c r="AC128" s="190"/>
      <c r="AD128" s="191"/>
      <c r="AE128" s="190"/>
      <c r="AF128" s="191"/>
      <c r="AG128" s="190"/>
      <c r="AH128" s="191"/>
      <c r="AI128" s="190"/>
      <c r="AJ128" s="191"/>
      <c r="AK128" s="190"/>
      <c r="AL128" s="191"/>
      <c r="AM128" s="190"/>
      <c r="AN128" s="191"/>
      <c r="AO128" s="190"/>
      <c r="AP128" s="191"/>
      <c r="AQ128" s="190"/>
      <c r="AR128" s="191"/>
      <c r="AS128" s="190"/>
      <c r="AT128" s="191"/>
      <c r="AU128" s="190"/>
      <c r="AV128" s="191"/>
      <c r="AW128" s="190"/>
      <c r="AX128" s="191"/>
      <c r="AY128" s="190"/>
      <c r="AZ128" s="191"/>
      <c r="BA128" s="145" t="str">
        <f>IFERROR(INDEX($E$4:$AZ$4,SUMPRODUCT(MAX(COLUMN(Tbl_PDSAData[[#This Row],[D1]:[M24]])*(ListLookup!$G$3=Tbl_PDSAData[[#This Row],[D1]:[M24]]))-4)),"")</f>
        <v/>
      </c>
      <c r="BB128" s="145" t="str">
        <f>IFERROR(INDEX($E$4:$AZ$4,SUMPRODUCT(MAX(COLUMN(Tbl_PDSAData[[#This Row],[D1]:[M24]])*(ListLookup!$H$3=Tbl_PDSAData[[#This Row],[D1]:[M24]]))-4)),"")</f>
        <v/>
      </c>
    </row>
    <row r="129" spans="1:54" s="74" customFormat="1" x14ac:dyDescent="0.25">
      <c r="A129" s="189"/>
      <c r="B129" s="134" t="str">
        <f>IFERROR(INDEX(Tbl_ResidentData[Physician],MATCH(Tbl_PDSAData[[#This Row],[Resident Name (last, first)]],Tbl_ResidentData[Resident Name '[last, first']],0))&amp;"","")</f>
        <v/>
      </c>
      <c r="C129" s="135" t="str">
        <f>IFERROR(INDEX(Tbl_ResidentData[Diagnosis (RAI)],MATCH(Tbl_PDSAData[[#This Row],[Resident Name (last, first)]],Tbl_ResidentData[Resident Name '[last, first']],0))&amp;"","")</f>
        <v/>
      </c>
      <c r="D129" s="144" t="str">
        <f>IFERROR(INDEX(Tbl_ResidentData[Clinical Notes
'[free text']],MATCH(Tbl_PDSAData[[#This Row],[Resident Name (last, first)]],Tbl_ResidentData[Resident Name '[last, first']],0))&amp;"","")</f>
        <v/>
      </c>
      <c r="E129" s="190"/>
      <c r="F129" s="191"/>
      <c r="G129" s="190"/>
      <c r="H129" s="191"/>
      <c r="I129" s="190"/>
      <c r="J129" s="191"/>
      <c r="K129" s="190"/>
      <c r="L129" s="191"/>
      <c r="M129" s="190"/>
      <c r="N129" s="191"/>
      <c r="O129" s="190"/>
      <c r="P129" s="191"/>
      <c r="Q129" s="190"/>
      <c r="R129" s="191"/>
      <c r="S129" s="190"/>
      <c r="T129" s="191"/>
      <c r="U129" s="190"/>
      <c r="V129" s="191"/>
      <c r="W129" s="190"/>
      <c r="X129" s="191"/>
      <c r="Y129" s="190"/>
      <c r="Z129" s="191"/>
      <c r="AA129" s="190"/>
      <c r="AB129" s="191"/>
      <c r="AC129" s="190"/>
      <c r="AD129" s="191"/>
      <c r="AE129" s="190"/>
      <c r="AF129" s="191"/>
      <c r="AG129" s="190"/>
      <c r="AH129" s="191"/>
      <c r="AI129" s="190"/>
      <c r="AJ129" s="191"/>
      <c r="AK129" s="190"/>
      <c r="AL129" s="191"/>
      <c r="AM129" s="190"/>
      <c r="AN129" s="191"/>
      <c r="AO129" s="190"/>
      <c r="AP129" s="191"/>
      <c r="AQ129" s="190"/>
      <c r="AR129" s="191"/>
      <c r="AS129" s="190"/>
      <c r="AT129" s="191"/>
      <c r="AU129" s="190"/>
      <c r="AV129" s="191"/>
      <c r="AW129" s="190"/>
      <c r="AX129" s="191"/>
      <c r="AY129" s="190"/>
      <c r="AZ129" s="191"/>
      <c r="BA129" s="145" t="str">
        <f>IFERROR(INDEX($E$4:$AZ$4,SUMPRODUCT(MAX(COLUMN(Tbl_PDSAData[[#This Row],[D1]:[M24]])*(ListLookup!$G$3=Tbl_PDSAData[[#This Row],[D1]:[M24]]))-4)),"")</f>
        <v/>
      </c>
      <c r="BB129" s="145" t="str">
        <f>IFERROR(INDEX($E$4:$AZ$4,SUMPRODUCT(MAX(COLUMN(Tbl_PDSAData[[#This Row],[D1]:[M24]])*(ListLookup!$H$3=Tbl_PDSAData[[#This Row],[D1]:[M24]]))-4)),"")</f>
        <v/>
      </c>
    </row>
    <row r="130" spans="1:54" s="74" customFormat="1" x14ac:dyDescent="0.25">
      <c r="A130" s="189"/>
      <c r="B130" s="134" t="str">
        <f>IFERROR(INDEX(Tbl_ResidentData[Physician],MATCH(Tbl_PDSAData[[#This Row],[Resident Name (last, first)]],Tbl_ResidentData[Resident Name '[last, first']],0))&amp;"","")</f>
        <v/>
      </c>
      <c r="C130" s="135" t="str">
        <f>IFERROR(INDEX(Tbl_ResidentData[Diagnosis (RAI)],MATCH(Tbl_PDSAData[[#This Row],[Resident Name (last, first)]],Tbl_ResidentData[Resident Name '[last, first']],0))&amp;"","")</f>
        <v/>
      </c>
      <c r="D130" s="144" t="str">
        <f>IFERROR(INDEX(Tbl_ResidentData[Clinical Notes
'[free text']],MATCH(Tbl_PDSAData[[#This Row],[Resident Name (last, first)]],Tbl_ResidentData[Resident Name '[last, first']],0))&amp;"","")</f>
        <v/>
      </c>
      <c r="E130" s="190"/>
      <c r="F130" s="191"/>
      <c r="G130" s="190"/>
      <c r="H130" s="191"/>
      <c r="I130" s="190"/>
      <c r="J130" s="191"/>
      <c r="K130" s="190"/>
      <c r="L130" s="191"/>
      <c r="M130" s="190"/>
      <c r="N130" s="191"/>
      <c r="O130" s="190"/>
      <c r="P130" s="191"/>
      <c r="Q130" s="190"/>
      <c r="R130" s="191"/>
      <c r="S130" s="190"/>
      <c r="T130" s="191"/>
      <c r="U130" s="190"/>
      <c r="V130" s="191"/>
      <c r="W130" s="190"/>
      <c r="X130" s="191"/>
      <c r="Y130" s="190"/>
      <c r="Z130" s="191"/>
      <c r="AA130" s="190"/>
      <c r="AB130" s="191"/>
      <c r="AC130" s="190"/>
      <c r="AD130" s="191"/>
      <c r="AE130" s="190"/>
      <c r="AF130" s="191"/>
      <c r="AG130" s="190"/>
      <c r="AH130" s="191"/>
      <c r="AI130" s="190"/>
      <c r="AJ130" s="191"/>
      <c r="AK130" s="190"/>
      <c r="AL130" s="191"/>
      <c r="AM130" s="190"/>
      <c r="AN130" s="191"/>
      <c r="AO130" s="190"/>
      <c r="AP130" s="191"/>
      <c r="AQ130" s="190"/>
      <c r="AR130" s="191"/>
      <c r="AS130" s="190"/>
      <c r="AT130" s="191"/>
      <c r="AU130" s="190"/>
      <c r="AV130" s="191"/>
      <c r="AW130" s="190"/>
      <c r="AX130" s="191"/>
      <c r="AY130" s="190"/>
      <c r="AZ130" s="191"/>
      <c r="BA130" s="145" t="str">
        <f>IFERROR(INDEX($E$4:$AZ$4,SUMPRODUCT(MAX(COLUMN(Tbl_PDSAData[[#This Row],[D1]:[M24]])*(ListLookup!$G$3=Tbl_PDSAData[[#This Row],[D1]:[M24]]))-4)),"")</f>
        <v/>
      </c>
      <c r="BB130" s="145" t="str">
        <f>IFERROR(INDEX($E$4:$AZ$4,SUMPRODUCT(MAX(COLUMN(Tbl_PDSAData[[#This Row],[D1]:[M24]])*(ListLookup!$H$3=Tbl_PDSAData[[#This Row],[D1]:[M24]]))-4)),"")</f>
        <v/>
      </c>
    </row>
    <row r="131" spans="1:54" s="74" customFormat="1" x14ac:dyDescent="0.25">
      <c r="A131" s="189"/>
      <c r="B131" s="134" t="str">
        <f>IFERROR(INDEX(Tbl_ResidentData[Physician],MATCH(Tbl_PDSAData[[#This Row],[Resident Name (last, first)]],Tbl_ResidentData[Resident Name '[last, first']],0))&amp;"","")</f>
        <v/>
      </c>
      <c r="C131" s="135" t="str">
        <f>IFERROR(INDEX(Tbl_ResidentData[Diagnosis (RAI)],MATCH(Tbl_PDSAData[[#This Row],[Resident Name (last, first)]],Tbl_ResidentData[Resident Name '[last, first']],0))&amp;"","")</f>
        <v/>
      </c>
      <c r="D131" s="144" t="str">
        <f>IFERROR(INDEX(Tbl_ResidentData[Clinical Notes
'[free text']],MATCH(Tbl_PDSAData[[#This Row],[Resident Name (last, first)]],Tbl_ResidentData[Resident Name '[last, first']],0))&amp;"","")</f>
        <v/>
      </c>
      <c r="E131" s="190"/>
      <c r="F131" s="191"/>
      <c r="G131" s="190"/>
      <c r="H131" s="191"/>
      <c r="I131" s="190"/>
      <c r="J131" s="191"/>
      <c r="K131" s="190"/>
      <c r="L131" s="191"/>
      <c r="M131" s="190"/>
      <c r="N131" s="191"/>
      <c r="O131" s="190"/>
      <c r="P131" s="191"/>
      <c r="Q131" s="190"/>
      <c r="R131" s="191"/>
      <c r="S131" s="190"/>
      <c r="T131" s="191"/>
      <c r="U131" s="190"/>
      <c r="V131" s="191"/>
      <c r="W131" s="190"/>
      <c r="X131" s="191"/>
      <c r="Y131" s="190"/>
      <c r="Z131" s="191"/>
      <c r="AA131" s="190"/>
      <c r="AB131" s="191"/>
      <c r="AC131" s="190"/>
      <c r="AD131" s="191"/>
      <c r="AE131" s="190"/>
      <c r="AF131" s="191"/>
      <c r="AG131" s="190"/>
      <c r="AH131" s="191"/>
      <c r="AI131" s="190"/>
      <c r="AJ131" s="191"/>
      <c r="AK131" s="190"/>
      <c r="AL131" s="191"/>
      <c r="AM131" s="190"/>
      <c r="AN131" s="191"/>
      <c r="AO131" s="190"/>
      <c r="AP131" s="191"/>
      <c r="AQ131" s="190"/>
      <c r="AR131" s="191"/>
      <c r="AS131" s="190"/>
      <c r="AT131" s="191"/>
      <c r="AU131" s="190"/>
      <c r="AV131" s="191"/>
      <c r="AW131" s="190"/>
      <c r="AX131" s="191"/>
      <c r="AY131" s="190"/>
      <c r="AZ131" s="191"/>
      <c r="BA131" s="145" t="str">
        <f>IFERROR(INDEX($E$4:$AZ$4,SUMPRODUCT(MAX(COLUMN(Tbl_PDSAData[[#This Row],[D1]:[M24]])*(ListLookup!$G$3=Tbl_PDSAData[[#This Row],[D1]:[M24]]))-4)),"")</f>
        <v/>
      </c>
      <c r="BB131" s="145" t="str">
        <f>IFERROR(INDEX($E$4:$AZ$4,SUMPRODUCT(MAX(COLUMN(Tbl_PDSAData[[#This Row],[D1]:[M24]])*(ListLookup!$H$3=Tbl_PDSAData[[#This Row],[D1]:[M24]]))-4)),"")</f>
        <v/>
      </c>
    </row>
    <row r="132" spans="1:54" s="74" customFormat="1" x14ac:dyDescent="0.25">
      <c r="A132" s="189"/>
      <c r="B132" s="134" t="str">
        <f>IFERROR(INDEX(Tbl_ResidentData[Physician],MATCH(Tbl_PDSAData[[#This Row],[Resident Name (last, first)]],Tbl_ResidentData[Resident Name '[last, first']],0))&amp;"","")</f>
        <v/>
      </c>
      <c r="C132" s="135" t="str">
        <f>IFERROR(INDEX(Tbl_ResidentData[Diagnosis (RAI)],MATCH(Tbl_PDSAData[[#This Row],[Resident Name (last, first)]],Tbl_ResidentData[Resident Name '[last, first']],0))&amp;"","")</f>
        <v/>
      </c>
      <c r="D132" s="144" t="str">
        <f>IFERROR(INDEX(Tbl_ResidentData[Clinical Notes
'[free text']],MATCH(Tbl_PDSAData[[#This Row],[Resident Name (last, first)]],Tbl_ResidentData[Resident Name '[last, first']],0))&amp;"","")</f>
        <v/>
      </c>
      <c r="E132" s="190"/>
      <c r="F132" s="191"/>
      <c r="G132" s="190"/>
      <c r="H132" s="191"/>
      <c r="I132" s="190"/>
      <c r="J132" s="191"/>
      <c r="K132" s="190"/>
      <c r="L132" s="191"/>
      <c r="M132" s="190"/>
      <c r="N132" s="191"/>
      <c r="O132" s="190"/>
      <c r="P132" s="191"/>
      <c r="Q132" s="190"/>
      <c r="R132" s="191"/>
      <c r="S132" s="190"/>
      <c r="T132" s="191"/>
      <c r="U132" s="190"/>
      <c r="V132" s="191"/>
      <c r="W132" s="190"/>
      <c r="X132" s="191"/>
      <c r="Y132" s="190"/>
      <c r="Z132" s="191"/>
      <c r="AA132" s="190"/>
      <c r="AB132" s="191"/>
      <c r="AC132" s="190"/>
      <c r="AD132" s="191"/>
      <c r="AE132" s="190"/>
      <c r="AF132" s="191"/>
      <c r="AG132" s="190"/>
      <c r="AH132" s="191"/>
      <c r="AI132" s="190"/>
      <c r="AJ132" s="191"/>
      <c r="AK132" s="190"/>
      <c r="AL132" s="191"/>
      <c r="AM132" s="190"/>
      <c r="AN132" s="191"/>
      <c r="AO132" s="190"/>
      <c r="AP132" s="191"/>
      <c r="AQ132" s="190"/>
      <c r="AR132" s="191"/>
      <c r="AS132" s="190"/>
      <c r="AT132" s="191"/>
      <c r="AU132" s="190"/>
      <c r="AV132" s="191"/>
      <c r="AW132" s="190"/>
      <c r="AX132" s="191"/>
      <c r="AY132" s="190"/>
      <c r="AZ132" s="191"/>
      <c r="BA132" s="145" t="str">
        <f>IFERROR(INDEX($E$4:$AZ$4,SUMPRODUCT(MAX(COLUMN(Tbl_PDSAData[[#This Row],[D1]:[M24]])*(ListLookup!$G$3=Tbl_PDSAData[[#This Row],[D1]:[M24]]))-4)),"")</f>
        <v/>
      </c>
      <c r="BB132" s="145" t="str">
        <f>IFERROR(INDEX($E$4:$AZ$4,SUMPRODUCT(MAX(COLUMN(Tbl_PDSAData[[#This Row],[D1]:[M24]])*(ListLookup!$H$3=Tbl_PDSAData[[#This Row],[D1]:[M24]]))-4)),"")</f>
        <v/>
      </c>
    </row>
    <row r="133" spans="1:54" s="74" customFormat="1" x14ac:dyDescent="0.25">
      <c r="A133" s="189"/>
      <c r="B133" s="134" t="str">
        <f>IFERROR(INDEX(Tbl_ResidentData[Physician],MATCH(Tbl_PDSAData[[#This Row],[Resident Name (last, first)]],Tbl_ResidentData[Resident Name '[last, first']],0))&amp;"","")</f>
        <v/>
      </c>
      <c r="C133" s="135" t="str">
        <f>IFERROR(INDEX(Tbl_ResidentData[Diagnosis (RAI)],MATCH(Tbl_PDSAData[[#This Row],[Resident Name (last, first)]],Tbl_ResidentData[Resident Name '[last, first']],0))&amp;"","")</f>
        <v/>
      </c>
      <c r="D133" s="144" t="str">
        <f>IFERROR(INDEX(Tbl_ResidentData[Clinical Notes
'[free text']],MATCH(Tbl_PDSAData[[#This Row],[Resident Name (last, first)]],Tbl_ResidentData[Resident Name '[last, first']],0))&amp;"","")</f>
        <v/>
      </c>
      <c r="E133" s="190"/>
      <c r="F133" s="191"/>
      <c r="G133" s="190"/>
      <c r="H133" s="191"/>
      <c r="I133" s="190"/>
      <c r="J133" s="191"/>
      <c r="K133" s="190"/>
      <c r="L133" s="191"/>
      <c r="M133" s="190"/>
      <c r="N133" s="191"/>
      <c r="O133" s="190"/>
      <c r="P133" s="191"/>
      <c r="Q133" s="190"/>
      <c r="R133" s="191"/>
      <c r="S133" s="190"/>
      <c r="T133" s="191"/>
      <c r="U133" s="190"/>
      <c r="V133" s="191"/>
      <c r="W133" s="190"/>
      <c r="X133" s="191"/>
      <c r="Y133" s="190"/>
      <c r="Z133" s="191"/>
      <c r="AA133" s="190"/>
      <c r="AB133" s="191"/>
      <c r="AC133" s="190"/>
      <c r="AD133" s="191"/>
      <c r="AE133" s="190"/>
      <c r="AF133" s="191"/>
      <c r="AG133" s="190"/>
      <c r="AH133" s="191"/>
      <c r="AI133" s="190"/>
      <c r="AJ133" s="191"/>
      <c r="AK133" s="190"/>
      <c r="AL133" s="191"/>
      <c r="AM133" s="190"/>
      <c r="AN133" s="191"/>
      <c r="AO133" s="190"/>
      <c r="AP133" s="191"/>
      <c r="AQ133" s="190"/>
      <c r="AR133" s="191"/>
      <c r="AS133" s="190"/>
      <c r="AT133" s="191"/>
      <c r="AU133" s="190"/>
      <c r="AV133" s="191"/>
      <c r="AW133" s="190"/>
      <c r="AX133" s="191"/>
      <c r="AY133" s="190"/>
      <c r="AZ133" s="191"/>
      <c r="BA133" s="145" t="str">
        <f>IFERROR(INDEX($E$4:$AZ$4,SUMPRODUCT(MAX(COLUMN(Tbl_PDSAData[[#This Row],[D1]:[M24]])*(ListLookup!$G$3=Tbl_PDSAData[[#This Row],[D1]:[M24]]))-4)),"")</f>
        <v/>
      </c>
      <c r="BB133" s="145" t="str">
        <f>IFERROR(INDEX($E$4:$AZ$4,SUMPRODUCT(MAX(COLUMN(Tbl_PDSAData[[#This Row],[D1]:[M24]])*(ListLookup!$H$3=Tbl_PDSAData[[#This Row],[D1]:[M24]]))-4)),"")</f>
        <v/>
      </c>
    </row>
    <row r="134" spans="1:54" s="74" customFormat="1" x14ac:dyDescent="0.25">
      <c r="A134" s="189"/>
      <c r="B134" s="134" t="str">
        <f>IFERROR(INDEX(Tbl_ResidentData[Physician],MATCH(Tbl_PDSAData[[#This Row],[Resident Name (last, first)]],Tbl_ResidentData[Resident Name '[last, first']],0))&amp;"","")</f>
        <v/>
      </c>
      <c r="C134" s="135" t="str">
        <f>IFERROR(INDEX(Tbl_ResidentData[Diagnosis (RAI)],MATCH(Tbl_PDSAData[[#This Row],[Resident Name (last, first)]],Tbl_ResidentData[Resident Name '[last, first']],0))&amp;"","")</f>
        <v/>
      </c>
      <c r="D134" s="144" t="str">
        <f>IFERROR(INDEX(Tbl_ResidentData[Clinical Notes
'[free text']],MATCH(Tbl_PDSAData[[#This Row],[Resident Name (last, first)]],Tbl_ResidentData[Resident Name '[last, first']],0))&amp;"","")</f>
        <v/>
      </c>
      <c r="E134" s="190"/>
      <c r="F134" s="191"/>
      <c r="G134" s="190"/>
      <c r="H134" s="191"/>
      <c r="I134" s="190"/>
      <c r="J134" s="191"/>
      <c r="K134" s="190"/>
      <c r="L134" s="191"/>
      <c r="M134" s="190"/>
      <c r="N134" s="191"/>
      <c r="O134" s="190"/>
      <c r="P134" s="191"/>
      <c r="Q134" s="190"/>
      <c r="R134" s="191"/>
      <c r="S134" s="190"/>
      <c r="T134" s="191"/>
      <c r="U134" s="190"/>
      <c r="V134" s="191"/>
      <c r="W134" s="190"/>
      <c r="X134" s="191"/>
      <c r="Y134" s="190"/>
      <c r="Z134" s="191"/>
      <c r="AA134" s="190"/>
      <c r="AB134" s="191"/>
      <c r="AC134" s="190"/>
      <c r="AD134" s="191"/>
      <c r="AE134" s="190"/>
      <c r="AF134" s="191"/>
      <c r="AG134" s="190"/>
      <c r="AH134" s="191"/>
      <c r="AI134" s="190"/>
      <c r="AJ134" s="191"/>
      <c r="AK134" s="190"/>
      <c r="AL134" s="191"/>
      <c r="AM134" s="190"/>
      <c r="AN134" s="191"/>
      <c r="AO134" s="190"/>
      <c r="AP134" s="191"/>
      <c r="AQ134" s="190"/>
      <c r="AR134" s="191"/>
      <c r="AS134" s="190"/>
      <c r="AT134" s="191"/>
      <c r="AU134" s="190"/>
      <c r="AV134" s="191"/>
      <c r="AW134" s="190"/>
      <c r="AX134" s="191"/>
      <c r="AY134" s="190"/>
      <c r="AZ134" s="191"/>
      <c r="BA134" s="145" t="str">
        <f>IFERROR(INDEX($E$4:$AZ$4,SUMPRODUCT(MAX(COLUMN(Tbl_PDSAData[[#This Row],[D1]:[M24]])*(ListLookup!$G$3=Tbl_PDSAData[[#This Row],[D1]:[M24]]))-4)),"")</f>
        <v/>
      </c>
      <c r="BB134" s="145" t="str">
        <f>IFERROR(INDEX($E$4:$AZ$4,SUMPRODUCT(MAX(COLUMN(Tbl_PDSAData[[#This Row],[D1]:[M24]])*(ListLookup!$H$3=Tbl_PDSAData[[#This Row],[D1]:[M24]]))-4)),"")</f>
        <v/>
      </c>
    </row>
    <row r="135" spans="1:54" s="74" customFormat="1" x14ac:dyDescent="0.25">
      <c r="A135" s="189"/>
      <c r="B135" s="134" t="str">
        <f>IFERROR(INDEX(Tbl_ResidentData[Physician],MATCH(Tbl_PDSAData[[#This Row],[Resident Name (last, first)]],Tbl_ResidentData[Resident Name '[last, first']],0))&amp;"","")</f>
        <v/>
      </c>
      <c r="C135" s="135" t="str">
        <f>IFERROR(INDEX(Tbl_ResidentData[Diagnosis (RAI)],MATCH(Tbl_PDSAData[[#This Row],[Resident Name (last, first)]],Tbl_ResidentData[Resident Name '[last, first']],0))&amp;"","")</f>
        <v/>
      </c>
      <c r="D135" s="144" t="str">
        <f>IFERROR(INDEX(Tbl_ResidentData[Clinical Notes
'[free text']],MATCH(Tbl_PDSAData[[#This Row],[Resident Name (last, first)]],Tbl_ResidentData[Resident Name '[last, first']],0))&amp;"","")</f>
        <v/>
      </c>
      <c r="E135" s="190"/>
      <c r="F135" s="191"/>
      <c r="G135" s="190"/>
      <c r="H135" s="191"/>
      <c r="I135" s="190"/>
      <c r="J135" s="191"/>
      <c r="K135" s="190"/>
      <c r="L135" s="191"/>
      <c r="M135" s="190"/>
      <c r="N135" s="191"/>
      <c r="O135" s="190"/>
      <c r="P135" s="191"/>
      <c r="Q135" s="190"/>
      <c r="R135" s="191"/>
      <c r="S135" s="190"/>
      <c r="T135" s="191"/>
      <c r="U135" s="190"/>
      <c r="V135" s="191"/>
      <c r="W135" s="190"/>
      <c r="X135" s="191"/>
      <c r="Y135" s="190"/>
      <c r="Z135" s="191"/>
      <c r="AA135" s="190"/>
      <c r="AB135" s="191"/>
      <c r="AC135" s="190"/>
      <c r="AD135" s="191"/>
      <c r="AE135" s="190"/>
      <c r="AF135" s="191"/>
      <c r="AG135" s="190"/>
      <c r="AH135" s="191"/>
      <c r="AI135" s="190"/>
      <c r="AJ135" s="191"/>
      <c r="AK135" s="190"/>
      <c r="AL135" s="191"/>
      <c r="AM135" s="190"/>
      <c r="AN135" s="191"/>
      <c r="AO135" s="190"/>
      <c r="AP135" s="191"/>
      <c r="AQ135" s="190"/>
      <c r="AR135" s="191"/>
      <c r="AS135" s="190"/>
      <c r="AT135" s="191"/>
      <c r="AU135" s="190"/>
      <c r="AV135" s="191"/>
      <c r="AW135" s="190"/>
      <c r="AX135" s="191"/>
      <c r="AY135" s="190"/>
      <c r="AZ135" s="191"/>
      <c r="BA135" s="145" t="str">
        <f>IFERROR(INDEX($E$4:$AZ$4,SUMPRODUCT(MAX(COLUMN(Tbl_PDSAData[[#This Row],[D1]:[M24]])*(ListLookup!$G$3=Tbl_PDSAData[[#This Row],[D1]:[M24]]))-4)),"")</f>
        <v/>
      </c>
      <c r="BB135" s="145" t="str">
        <f>IFERROR(INDEX($E$4:$AZ$4,SUMPRODUCT(MAX(COLUMN(Tbl_PDSAData[[#This Row],[D1]:[M24]])*(ListLookup!$H$3=Tbl_PDSAData[[#This Row],[D1]:[M24]]))-4)),"")</f>
        <v/>
      </c>
    </row>
    <row r="136" spans="1:54" s="74" customFormat="1" x14ac:dyDescent="0.25">
      <c r="A136" s="189"/>
      <c r="B136" s="134" t="str">
        <f>IFERROR(INDEX(Tbl_ResidentData[Physician],MATCH(Tbl_PDSAData[[#This Row],[Resident Name (last, first)]],Tbl_ResidentData[Resident Name '[last, first']],0))&amp;"","")</f>
        <v/>
      </c>
      <c r="C136" s="135" t="str">
        <f>IFERROR(INDEX(Tbl_ResidentData[Diagnosis (RAI)],MATCH(Tbl_PDSAData[[#This Row],[Resident Name (last, first)]],Tbl_ResidentData[Resident Name '[last, first']],0))&amp;"","")</f>
        <v/>
      </c>
      <c r="D136" s="144" t="str">
        <f>IFERROR(INDEX(Tbl_ResidentData[Clinical Notes
'[free text']],MATCH(Tbl_PDSAData[[#This Row],[Resident Name (last, first)]],Tbl_ResidentData[Resident Name '[last, first']],0))&amp;"","")</f>
        <v/>
      </c>
      <c r="E136" s="190"/>
      <c r="F136" s="191"/>
      <c r="G136" s="190"/>
      <c r="H136" s="191"/>
      <c r="I136" s="190"/>
      <c r="J136" s="191"/>
      <c r="K136" s="190"/>
      <c r="L136" s="191"/>
      <c r="M136" s="190"/>
      <c r="N136" s="191"/>
      <c r="O136" s="190"/>
      <c r="P136" s="191"/>
      <c r="Q136" s="190"/>
      <c r="R136" s="191"/>
      <c r="S136" s="190"/>
      <c r="T136" s="191"/>
      <c r="U136" s="190"/>
      <c r="V136" s="191"/>
      <c r="W136" s="190"/>
      <c r="X136" s="191"/>
      <c r="Y136" s="190"/>
      <c r="Z136" s="191"/>
      <c r="AA136" s="190"/>
      <c r="AB136" s="191"/>
      <c r="AC136" s="190"/>
      <c r="AD136" s="191"/>
      <c r="AE136" s="190"/>
      <c r="AF136" s="191"/>
      <c r="AG136" s="190"/>
      <c r="AH136" s="191"/>
      <c r="AI136" s="190"/>
      <c r="AJ136" s="191"/>
      <c r="AK136" s="190"/>
      <c r="AL136" s="191"/>
      <c r="AM136" s="190"/>
      <c r="AN136" s="191"/>
      <c r="AO136" s="190"/>
      <c r="AP136" s="191"/>
      <c r="AQ136" s="190"/>
      <c r="AR136" s="191"/>
      <c r="AS136" s="190"/>
      <c r="AT136" s="191"/>
      <c r="AU136" s="190"/>
      <c r="AV136" s="191"/>
      <c r="AW136" s="190"/>
      <c r="AX136" s="191"/>
      <c r="AY136" s="190"/>
      <c r="AZ136" s="191"/>
      <c r="BA136" s="145" t="str">
        <f>IFERROR(INDEX($E$4:$AZ$4,SUMPRODUCT(MAX(COLUMN(Tbl_PDSAData[[#This Row],[D1]:[M24]])*(ListLookup!$G$3=Tbl_PDSAData[[#This Row],[D1]:[M24]]))-4)),"")</f>
        <v/>
      </c>
      <c r="BB136" s="145" t="str">
        <f>IFERROR(INDEX($E$4:$AZ$4,SUMPRODUCT(MAX(COLUMN(Tbl_PDSAData[[#This Row],[D1]:[M24]])*(ListLookup!$H$3=Tbl_PDSAData[[#This Row],[D1]:[M24]]))-4)),"")</f>
        <v/>
      </c>
    </row>
    <row r="137" spans="1:54" s="74" customFormat="1" x14ac:dyDescent="0.25">
      <c r="A137" s="189"/>
      <c r="B137" s="134" t="str">
        <f>IFERROR(INDEX(Tbl_ResidentData[Physician],MATCH(Tbl_PDSAData[[#This Row],[Resident Name (last, first)]],Tbl_ResidentData[Resident Name '[last, first']],0))&amp;"","")</f>
        <v/>
      </c>
      <c r="C137" s="135" t="str">
        <f>IFERROR(INDEX(Tbl_ResidentData[Diagnosis (RAI)],MATCH(Tbl_PDSAData[[#This Row],[Resident Name (last, first)]],Tbl_ResidentData[Resident Name '[last, first']],0))&amp;"","")</f>
        <v/>
      </c>
      <c r="D137" s="144" t="str">
        <f>IFERROR(INDEX(Tbl_ResidentData[Clinical Notes
'[free text']],MATCH(Tbl_PDSAData[[#This Row],[Resident Name (last, first)]],Tbl_ResidentData[Resident Name '[last, first']],0))&amp;"","")</f>
        <v/>
      </c>
      <c r="E137" s="190"/>
      <c r="F137" s="191"/>
      <c r="G137" s="190"/>
      <c r="H137" s="191"/>
      <c r="I137" s="190"/>
      <c r="J137" s="191"/>
      <c r="K137" s="190"/>
      <c r="L137" s="191"/>
      <c r="M137" s="190"/>
      <c r="N137" s="191"/>
      <c r="O137" s="190"/>
      <c r="P137" s="191"/>
      <c r="Q137" s="190"/>
      <c r="R137" s="191"/>
      <c r="S137" s="190"/>
      <c r="T137" s="191"/>
      <c r="U137" s="190"/>
      <c r="V137" s="191"/>
      <c r="W137" s="190"/>
      <c r="X137" s="191"/>
      <c r="Y137" s="190"/>
      <c r="Z137" s="191"/>
      <c r="AA137" s="190"/>
      <c r="AB137" s="191"/>
      <c r="AC137" s="190"/>
      <c r="AD137" s="191"/>
      <c r="AE137" s="190"/>
      <c r="AF137" s="191"/>
      <c r="AG137" s="190"/>
      <c r="AH137" s="191"/>
      <c r="AI137" s="190"/>
      <c r="AJ137" s="191"/>
      <c r="AK137" s="190"/>
      <c r="AL137" s="191"/>
      <c r="AM137" s="190"/>
      <c r="AN137" s="191"/>
      <c r="AO137" s="190"/>
      <c r="AP137" s="191"/>
      <c r="AQ137" s="190"/>
      <c r="AR137" s="191"/>
      <c r="AS137" s="190"/>
      <c r="AT137" s="191"/>
      <c r="AU137" s="190"/>
      <c r="AV137" s="191"/>
      <c r="AW137" s="190"/>
      <c r="AX137" s="191"/>
      <c r="AY137" s="190"/>
      <c r="AZ137" s="191"/>
      <c r="BA137" s="145" t="str">
        <f>IFERROR(INDEX($E$4:$AZ$4,SUMPRODUCT(MAX(COLUMN(Tbl_PDSAData[[#This Row],[D1]:[M24]])*(ListLookup!$G$3=Tbl_PDSAData[[#This Row],[D1]:[M24]]))-4)),"")</f>
        <v/>
      </c>
      <c r="BB137" s="145" t="str">
        <f>IFERROR(INDEX($E$4:$AZ$4,SUMPRODUCT(MAX(COLUMN(Tbl_PDSAData[[#This Row],[D1]:[M24]])*(ListLookup!$H$3=Tbl_PDSAData[[#This Row],[D1]:[M24]]))-4)),"")</f>
        <v/>
      </c>
    </row>
    <row r="138" spans="1:54" s="74" customFormat="1" x14ac:dyDescent="0.25">
      <c r="A138" s="189"/>
      <c r="B138" s="134" t="str">
        <f>IFERROR(INDEX(Tbl_ResidentData[Physician],MATCH(Tbl_PDSAData[[#This Row],[Resident Name (last, first)]],Tbl_ResidentData[Resident Name '[last, first']],0))&amp;"","")</f>
        <v/>
      </c>
      <c r="C138" s="135" t="str">
        <f>IFERROR(INDEX(Tbl_ResidentData[Diagnosis (RAI)],MATCH(Tbl_PDSAData[[#This Row],[Resident Name (last, first)]],Tbl_ResidentData[Resident Name '[last, first']],0))&amp;"","")</f>
        <v/>
      </c>
      <c r="D138" s="144" t="str">
        <f>IFERROR(INDEX(Tbl_ResidentData[Clinical Notes
'[free text']],MATCH(Tbl_PDSAData[[#This Row],[Resident Name (last, first)]],Tbl_ResidentData[Resident Name '[last, first']],0))&amp;"","")</f>
        <v/>
      </c>
      <c r="E138" s="190"/>
      <c r="F138" s="191"/>
      <c r="G138" s="190"/>
      <c r="H138" s="191"/>
      <c r="I138" s="190"/>
      <c r="J138" s="191"/>
      <c r="K138" s="190"/>
      <c r="L138" s="191"/>
      <c r="M138" s="190"/>
      <c r="N138" s="191"/>
      <c r="O138" s="190"/>
      <c r="P138" s="191"/>
      <c r="Q138" s="190"/>
      <c r="R138" s="191"/>
      <c r="S138" s="190"/>
      <c r="T138" s="191"/>
      <c r="U138" s="190"/>
      <c r="V138" s="191"/>
      <c r="W138" s="190"/>
      <c r="X138" s="191"/>
      <c r="Y138" s="190"/>
      <c r="Z138" s="191"/>
      <c r="AA138" s="190"/>
      <c r="AB138" s="191"/>
      <c r="AC138" s="190"/>
      <c r="AD138" s="191"/>
      <c r="AE138" s="190"/>
      <c r="AF138" s="191"/>
      <c r="AG138" s="190"/>
      <c r="AH138" s="191"/>
      <c r="AI138" s="190"/>
      <c r="AJ138" s="191"/>
      <c r="AK138" s="190"/>
      <c r="AL138" s="191"/>
      <c r="AM138" s="190"/>
      <c r="AN138" s="191"/>
      <c r="AO138" s="190"/>
      <c r="AP138" s="191"/>
      <c r="AQ138" s="190"/>
      <c r="AR138" s="191"/>
      <c r="AS138" s="190"/>
      <c r="AT138" s="191"/>
      <c r="AU138" s="190"/>
      <c r="AV138" s="191"/>
      <c r="AW138" s="190"/>
      <c r="AX138" s="191"/>
      <c r="AY138" s="190"/>
      <c r="AZ138" s="191"/>
      <c r="BA138" s="145" t="str">
        <f>IFERROR(INDEX($E$4:$AZ$4,SUMPRODUCT(MAX(COLUMN(Tbl_PDSAData[[#This Row],[D1]:[M24]])*(ListLookup!$G$3=Tbl_PDSAData[[#This Row],[D1]:[M24]]))-4)),"")</f>
        <v/>
      </c>
      <c r="BB138" s="145" t="str">
        <f>IFERROR(INDEX($E$4:$AZ$4,SUMPRODUCT(MAX(COLUMN(Tbl_PDSAData[[#This Row],[D1]:[M24]])*(ListLookup!$H$3=Tbl_PDSAData[[#This Row],[D1]:[M24]]))-4)),"")</f>
        <v/>
      </c>
    </row>
    <row r="139" spans="1:54" s="74" customFormat="1" x14ac:dyDescent="0.25">
      <c r="A139" s="189"/>
      <c r="B139" s="134" t="str">
        <f>IFERROR(INDEX(Tbl_ResidentData[Physician],MATCH(Tbl_PDSAData[[#This Row],[Resident Name (last, first)]],Tbl_ResidentData[Resident Name '[last, first']],0))&amp;"","")</f>
        <v/>
      </c>
      <c r="C139" s="135" t="str">
        <f>IFERROR(INDEX(Tbl_ResidentData[Diagnosis (RAI)],MATCH(Tbl_PDSAData[[#This Row],[Resident Name (last, first)]],Tbl_ResidentData[Resident Name '[last, first']],0))&amp;"","")</f>
        <v/>
      </c>
      <c r="D139" s="144" t="str">
        <f>IFERROR(INDEX(Tbl_ResidentData[Clinical Notes
'[free text']],MATCH(Tbl_PDSAData[[#This Row],[Resident Name (last, first)]],Tbl_ResidentData[Resident Name '[last, first']],0))&amp;"","")</f>
        <v/>
      </c>
      <c r="E139" s="190"/>
      <c r="F139" s="191"/>
      <c r="G139" s="190"/>
      <c r="H139" s="191"/>
      <c r="I139" s="190"/>
      <c r="J139" s="191"/>
      <c r="K139" s="190"/>
      <c r="L139" s="191"/>
      <c r="M139" s="190"/>
      <c r="N139" s="191"/>
      <c r="O139" s="190"/>
      <c r="P139" s="191"/>
      <c r="Q139" s="190"/>
      <c r="R139" s="191"/>
      <c r="S139" s="190"/>
      <c r="T139" s="191"/>
      <c r="U139" s="190"/>
      <c r="V139" s="191"/>
      <c r="W139" s="190"/>
      <c r="X139" s="191"/>
      <c r="Y139" s="190"/>
      <c r="Z139" s="191"/>
      <c r="AA139" s="190"/>
      <c r="AB139" s="191"/>
      <c r="AC139" s="190"/>
      <c r="AD139" s="191"/>
      <c r="AE139" s="190"/>
      <c r="AF139" s="191"/>
      <c r="AG139" s="190"/>
      <c r="AH139" s="191"/>
      <c r="AI139" s="190"/>
      <c r="AJ139" s="191"/>
      <c r="AK139" s="190"/>
      <c r="AL139" s="191"/>
      <c r="AM139" s="190"/>
      <c r="AN139" s="191"/>
      <c r="AO139" s="190"/>
      <c r="AP139" s="191"/>
      <c r="AQ139" s="190"/>
      <c r="AR139" s="191"/>
      <c r="AS139" s="190"/>
      <c r="AT139" s="191"/>
      <c r="AU139" s="190"/>
      <c r="AV139" s="191"/>
      <c r="AW139" s="190"/>
      <c r="AX139" s="191"/>
      <c r="AY139" s="190"/>
      <c r="AZ139" s="191"/>
      <c r="BA139" s="145" t="str">
        <f>IFERROR(INDEX($E$4:$AZ$4,SUMPRODUCT(MAX(COLUMN(Tbl_PDSAData[[#This Row],[D1]:[M24]])*(ListLookup!$G$3=Tbl_PDSAData[[#This Row],[D1]:[M24]]))-4)),"")</f>
        <v/>
      </c>
      <c r="BB139" s="145" t="str">
        <f>IFERROR(INDEX($E$4:$AZ$4,SUMPRODUCT(MAX(COLUMN(Tbl_PDSAData[[#This Row],[D1]:[M24]])*(ListLookup!$H$3=Tbl_PDSAData[[#This Row],[D1]:[M24]]))-4)),"")</f>
        <v/>
      </c>
    </row>
    <row r="140" spans="1:54" s="74" customFormat="1" x14ac:dyDescent="0.25">
      <c r="A140" s="189"/>
      <c r="B140" s="134" t="str">
        <f>IFERROR(INDEX(Tbl_ResidentData[Physician],MATCH(Tbl_PDSAData[[#This Row],[Resident Name (last, first)]],Tbl_ResidentData[Resident Name '[last, first']],0))&amp;"","")</f>
        <v/>
      </c>
      <c r="C140" s="135" t="str">
        <f>IFERROR(INDEX(Tbl_ResidentData[Diagnosis (RAI)],MATCH(Tbl_PDSAData[[#This Row],[Resident Name (last, first)]],Tbl_ResidentData[Resident Name '[last, first']],0))&amp;"","")</f>
        <v/>
      </c>
      <c r="D140" s="144" t="str">
        <f>IFERROR(INDEX(Tbl_ResidentData[Clinical Notes
'[free text']],MATCH(Tbl_PDSAData[[#This Row],[Resident Name (last, first)]],Tbl_ResidentData[Resident Name '[last, first']],0))&amp;"","")</f>
        <v/>
      </c>
      <c r="E140" s="190"/>
      <c r="F140" s="191"/>
      <c r="G140" s="190"/>
      <c r="H140" s="191"/>
      <c r="I140" s="190"/>
      <c r="J140" s="191"/>
      <c r="K140" s="190"/>
      <c r="L140" s="191"/>
      <c r="M140" s="190"/>
      <c r="N140" s="191"/>
      <c r="O140" s="190"/>
      <c r="P140" s="191"/>
      <c r="Q140" s="190"/>
      <c r="R140" s="191"/>
      <c r="S140" s="190"/>
      <c r="T140" s="191"/>
      <c r="U140" s="190"/>
      <c r="V140" s="191"/>
      <c r="W140" s="190"/>
      <c r="X140" s="191"/>
      <c r="Y140" s="190"/>
      <c r="Z140" s="191"/>
      <c r="AA140" s="190"/>
      <c r="AB140" s="191"/>
      <c r="AC140" s="190"/>
      <c r="AD140" s="191"/>
      <c r="AE140" s="190"/>
      <c r="AF140" s="191"/>
      <c r="AG140" s="190"/>
      <c r="AH140" s="191"/>
      <c r="AI140" s="190"/>
      <c r="AJ140" s="191"/>
      <c r="AK140" s="190"/>
      <c r="AL140" s="191"/>
      <c r="AM140" s="190"/>
      <c r="AN140" s="191"/>
      <c r="AO140" s="190"/>
      <c r="AP140" s="191"/>
      <c r="AQ140" s="190"/>
      <c r="AR140" s="191"/>
      <c r="AS140" s="190"/>
      <c r="AT140" s="191"/>
      <c r="AU140" s="190"/>
      <c r="AV140" s="191"/>
      <c r="AW140" s="190"/>
      <c r="AX140" s="191"/>
      <c r="AY140" s="190"/>
      <c r="AZ140" s="191"/>
      <c r="BA140" s="145" t="str">
        <f>IFERROR(INDEX($E$4:$AZ$4,SUMPRODUCT(MAX(COLUMN(Tbl_PDSAData[[#This Row],[D1]:[M24]])*(ListLookup!$G$3=Tbl_PDSAData[[#This Row],[D1]:[M24]]))-4)),"")</f>
        <v/>
      </c>
      <c r="BB140" s="145" t="str">
        <f>IFERROR(INDEX($E$4:$AZ$4,SUMPRODUCT(MAX(COLUMN(Tbl_PDSAData[[#This Row],[D1]:[M24]])*(ListLookup!$H$3=Tbl_PDSAData[[#This Row],[D1]:[M24]]))-4)),"")</f>
        <v/>
      </c>
    </row>
    <row r="141" spans="1:54" s="74" customFormat="1" x14ac:dyDescent="0.25">
      <c r="A141" s="189"/>
      <c r="B141" s="134" t="str">
        <f>IFERROR(INDEX(Tbl_ResidentData[Physician],MATCH(Tbl_PDSAData[[#This Row],[Resident Name (last, first)]],Tbl_ResidentData[Resident Name '[last, first']],0))&amp;"","")</f>
        <v/>
      </c>
      <c r="C141" s="135" t="str">
        <f>IFERROR(INDEX(Tbl_ResidentData[Diagnosis (RAI)],MATCH(Tbl_PDSAData[[#This Row],[Resident Name (last, first)]],Tbl_ResidentData[Resident Name '[last, first']],0))&amp;"","")</f>
        <v/>
      </c>
      <c r="D141" s="144" t="str">
        <f>IFERROR(INDEX(Tbl_ResidentData[Clinical Notes
'[free text']],MATCH(Tbl_PDSAData[[#This Row],[Resident Name (last, first)]],Tbl_ResidentData[Resident Name '[last, first']],0))&amp;"","")</f>
        <v/>
      </c>
      <c r="E141" s="190"/>
      <c r="F141" s="191"/>
      <c r="G141" s="190"/>
      <c r="H141" s="191"/>
      <c r="I141" s="190"/>
      <c r="J141" s="191"/>
      <c r="K141" s="190"/>
      <c r="L141" s="191"/>
      <c r="M141" s="190"/>
      <c r="N141" s="191"/>
      <c r="O141" s="190"/>
      <c r="P141" s="191"/>
      <c r="Q141" s="190"/>
      <c r="R141" s="191"/>
      <c r="S141" s="190"/>
      <c r="T141" s="191"/>
      <c r="U141" s="190"/>
      <c r="V141" s="191"/>
      <c r="W141" s="190"/>
      <c r="X141" s="191"/>
      <c r="Y141" s="190"/>
      <c r="Z141" s="191"/>
      <c r="AA141" s="190"/>
      <c r="AB141" s="191"/>
      <c r="AC141" s="190"/>
      <c r="AD141" s="191"/>
      <c r="AE141" s="190"/>
      <c r="AF141" s="191"/>
      <c r="AG141" s="190"/>
      <c r="AH141" s="191"/>
      <c r="AI141" s="190"/>
      <c r="AJ141" s="191"/>
      <c r="AK141" s="190"/>
      <c r="AL141" s="191"/>
      <c r="AM141" s="190"/>
      <c r="AN141" s="191"/>
      <c r="AO141" s="190"/>
      <c r="AP141" s="191"/>
      <c r="AQ141" s="190"/>
      <c r="AR141" s="191"/>
      <c r="AS141" s="190"/>
      <c r="AT141" s="191"/>
      <c r="AU141" s="190"/>
      <c r="AV141" s="191"/>
      <c r="AW141" s="190"/>
      <c r="AX141" s="191"/>
      <c r="AY141" s="190"/>
      <c r="AZ141" s="191"/>
      <c r="BA141" s="145" t="str">
        <f>IFERROR(INDEX($E$4:$AZ$4,SUMPRODUCT(MAX(COLUMN(Tbl_PDSAData[[#This Row],[D1]:[M24]])*(ListLookup!$G$3=Tbl_PDSAData[[#This Row],[D1]:[M24]]))-4)),"")</f>
        <v/>
      </c>
      <c r="BB141" s="145" t="str">
        <f>IFERROR(INDEX($E$4:$AZ$4,SUMPRODUCT(MAX(COLUMN(Tbl_PDSAData[[#This Row],[D1]:[M24]])*(ListLookup!$H$3=Tbl_PDSAData[[#This Row],[D1]:[M24]]))-4)),"")</f>
        <v/>
      </c>
    </row>
    <row r="142" spans="1:54" s="74" customFormat="1" x14ac:dyDescent="0.25">
      <c r="A142" s="189"/>
      <c r="B142" s="134" t="str">
        <f>IFERROR(INDEX(Tbl_ResidentData[Physician],MATCH(Tbl_PDSAData[[#This Row],[Resident Name (last, first)]],Tbl_ResidentData[Resident Name '[last, first']],0))&amp;"","")</f>
        <v/>
      </c>
      <c r="C142" s="135" t="str">
        <f>IFERROR(INDEX(Tbl_ResidentData[Diagnosis (RAI)],MATCH(Tbl_PDSAData[[#This Row],[Resident Name (last, first)]],Tbl_ResidentData[Resident Name '[last, first']],0))&amp;"","")</f>
        <v/>
      </c>
      <c r="D142" s="144" t="str">
        <f>IFERROR(INDEX(Tbl_ResidentData[Clinical Notes
'[free text']],MATCH(Tbl_PDSAData[[#This Row],[Resident Name (last, first)]],Tbl_ResidentData[Resident Name '[last, first']],0))&amp;"","")</f>
        <v/>
      </c>
      <c r="E142" s="190"/>
      <c r="F142" s="191"/>
      <c r="G142" s="190"/>
      <c r="H142" s="191"/>
      <c r="I142" s="190"/>
      <c r="J142" s="191"/>
      <c r="K142" s="190"/>
      <c r="L142" s="191"/>
      <c r="M142" s="190"/>
      <c r="N142" s="191"/>
      <c r="O142" s="190"/>
      <c r="P142" s="191"/>
      <c r="Q142" s="190"/>
      <c r="R142" s="191"/>
      <c r="S142" s="190"/>
      <c r="T142" s="191"/>
      <c r="U142" s="190"/>
      <c r="V142" s="191"/>
      <c r="W142" s="190"/>
      <c r="X142" s="191"/>
      <c r="Y142" s="190"/>
      <c r="Z142" s="191"/>
      <c r="AA142" s="190"/>
      <c r="AB142" s="191"/>
      <c r="AC142" s="190"/>
      <c r="AD142" s="191"/>
      <c r="AE142" s="190"/>
      <c r="AF142" s="191"/>
      <c r="AG142" s="190"/>
      <c r="AH142" s="191"/>
      <c r="AI142" s="190"/>
      <c r="AJ142" s="191"/>
      <c r="AK142" s="190"/>
      <c r="AL142" s="191"/>
      <c r="AM142" s="190"/>
      <c r="AN142" s="191"/>
      <c r="AO142" s="190"/>
      <c r="AP142" s="191"/>
      <c r="AQ142" s="190"/>
      <c r="AR142" s="191"/>
      <c r="AS142" s="190"/>
      <c r="AT142" s="191"/>
      <c r="AU142" s="190"/>
      <c r="AV142" s="191"/>
      <c r="AW142" s="190"/>
      <c r="AX142" s="191"/>
      <c r="AY142" s="190"/>
      <c r="AZ142" s="191"/>
      <c r="BA142" s="145" t="str">
        <f>IFERROR(INDEX($E$4:$AZ$4,SUMPRODUCT(MAX(COLUMN(Tbl_PDSAData[[#This Row],[D1]:[M24]])*(ListLookup!$G$3=Tbl_PDSAData[[#This Row],[D1]:[M24]]))-4)),"")</f>
        <v/>
      </c>
      <c r="BB142" s="145" t="str">
        <f>IFERROR(INDEX($E$4:$AZ$4,SUMPRODUCT(MAX(COLUMN(Tbl_PDSAData[[#This Row],[D1]:[M24]])*(ListLookup!$H$3=Tbl_PDSAData[[#This Row],[D1]:[M24]]))-4)),"")</f>
        <v/>
      </c>
    </row>
    <row r="143" spans="1:54" s="74" customFormat="1" x14ac:dyDescent="0.25">
      <c r="A143" s="189"/>
      <c r="B143" s="134" t="str">
        <f>IFERROR(INDEX(Tbl_ResidentData[Physician],MATCH(Tbl_PDSAData[[#This Row],[Resident Name (last, first)]],Tbl_ResidentData[Resident Name '[last, first']],0))&amp;"","")</f>
        <v/>
      </c>
      <c r="C143" s="135" t="str">
        <f>IFERROR(INDEX(Tbl_ResidentData[Diagnosis (RAI)],MATCH(Tbl_PDSAData[[#This Row],[Resident Name (last, first)]],Tbl_ResidentData[Resident Name '[last, first']],0))&amp;"","")</f>
        <v/>
      </c>
      <c r="D143" s="144" t="str">
        <f>IFERROR(INDEX(Tbl_ResidentData[Clinical Notes
'[free text']],MATCH(Tbl_PDSAData[[#This Row],[Resident Name (last, first)]],Tbl_ResidentData[Resident Name '[last, first']],0))&amp;"","")</f>
        <v/>
      </c>
      <c r="E143" s="190"/>
      <c r="F143" s="191"/>
      <c r="G143" s="190"/>
      <c r="H143" s="191"/>
      <c r="I143" s="190"/>
      <c r="J143" s="191"/>
      <c r="K143" s="190"/>
      <c r="L143" s="191"/>
      <c r="M143" s="190"/>
      <c r="N143" s="191"/>
      <c r="O143" s="190"/>
      <c r="P143" s="191"/>
      <c r="Q143" s="190"/>
      <c r="R143" s="191"/>
      <c r="S143" s="190"/>
      <c r="T143" s="191"/>
      <c r="U143" s="190"/>
      <c r="V143" s="191"/>
      <c r="W143" s="190"/>
      <c r="X143" s="191"/>
      <c r="Y143" s="190"/>
      <c r="Z143" s="191"/>
      <c r="AA143" s="190"/>
      <c r="AB143" s="191"/>
      <c r="AC143" s="190"/>
      <c r="AD143" s="191"/>
      <c r="AE143" s="190"/>
      <c r="AF143" s="191"/>
      <c r="AG143" s="190"/>
      <c r="AH143" s="191"/>
      <c r="AI143" s="190"/>
      <c r="AJ143" s="191"/>
      <c r="AK143" s="190"/>
      <c r="AL143" s="191"/>
      <c r="AM143" s="190"/>
      <c r="AN143" s="191"/>
      <c r="AO143" s="190"/>
      <c r="AP143" s="191"/>
      <c r="AQ143" s="190"/>
      <c r="AR143" s="191"/>
      <c r="AS143" s="190"/>
      <c r="AT143" s="191"/>
      <c r="AU143" s="190"/>
      <c r="AV143" s="191"/>
      <c r="AW143" s="190"/>
      <c r="AX143" s="191"/>
      <c r="AY143" s="190"/>
      <c r="AZ143" s="191"/>
      <c r="BA143" s="145" t="str">
        <f>IFERROR(INDEX($E$4:$AZ$4,SUMPRODUCT(MAX(COLUMN(Tbl_PDSAData[[#This Row],[D1]:[M24]])*(ListLookup!$G$3=Tbl_PDSAData[[#This Row],[D1]:[M24]]))-4)),"")</f>
        <v/>
      </c>
      <c r="BB143" s="145" t="str">
        <f>IFERROR(INDEX($E$4:$AZ$4,SUMPRODUCT(MAX(COLUMN(Tbl_PDSAData[[#This Row],[D1]:[M24]])*(ListLookup!$H$3=Tbl_PDSAData[[#This Row],[D1]:[M24]]))-4)),"")</f>
        <v/>
      </c>
    </row>
    <row r="144" spans="1:54" s="74" customFormat="1" x14ac:dyDescent="0.25">
      <c r="A144" s="189"/>
      <c r="B144" s="134" t="str">
        <f>IFERROR(INDEX(Tbl_ResidentData[Physician],MATCH(Tbl_PDSAData[[#This Row],[Resident Name (last, first)]],Tbl_ResidentData[Resident Name '[last, first']],0))&amp;"","")</f>
        <v/>
      </c>
      <c r="C144" s="135" t="str">
        <f>IFERROR(INDEX(Tbl_ResidentData[Diagnosis (RAI)],MATCH(Tbl_PDSAData[[#This Row],[Resident Name (last, first)]],Tbl_ResidentData[Resident Name '[last, first']],0))&amp;"","")</f>
        <v/>
      </c>
      <c r="D144" s="144" t="str">
        <f>IFERROR(INDEX(Tbl_ResidentData[Clinical Notes
'[free text']],MATCH(Tbl_PDSAData[[#This Row],[Resident Name (last, first)]],Tbl_ResidentData[Resident Name '[last, first']],0))&amp;"","")</f>
        <v/>
      </c>
      <c r="E144" s="190"/>
      <c r="F144" s="191"/>
      <c r="G144" s="190"/>
      <c r="H144" s="191"/>
      <c r="I144" s="190"/>
      <c r="J144" s="191"/>
      <c r="K144" s="190"/>
      <c r="L144" s="191"/>
      <c r="M144" s="190"/>
      <c r="N144" s="191"/>
      <c r="O144" s="190"/>
      <c r="P144" s="191"/>
      <c r="Q144" s="190"/>
      <c r="R144" s="191"/>
      <c r="S144" s="190"/>
      <c r="T144" s="191"/>
      <c r="U144" s="190"/>
      <c r="V144" s="191"/>
      <c r="W144" s="190"/>
      <c r="X144" s="191"/>
      <c r="Y144" s="190"/>
      <c r="Z144" s="191"/>
      <c r="AA144" s="190"/>
      <c r="AB144" s="191"/>
      <c r="AC144" s="190"/>
      <c r="AD144" s="191"/>
      <c r="AE144" s="190"/>
      <c r="AF144" s="191"/>
      <c r="AG144" s="190"/>
      <c r="AH144" s="191"/>
      <c r="AI144" s="190"/>
      <c r="AJ144" s="191"/>
      <c r="AK144" s="190"/>
      <c r="AL144" s="191"/>
      <c r="AM144" s="190"/>
      <c r="AN144" s="191"/>
      <c r="AO144" s="190"/>
      <c r="AP144" s="191"/>
      <c r="AQ144" s="190"/>
      <c r="AR144" s="191"/>
      <c r="AS144" s="190"/>
      <c r="AT144" s="191"/>
      <c r="AU144" s="190"/>
      <c r="AV144" s="191"/>
      <c r="AW144" s="190"/>
      <c r="AX144" s="191"/>
      <c r="AY144" s="190"/>
      <c r="AZ144" s="191"/>
      <c r="BA144" s="145" t="str">
        <f>IFERROR(INDEX($E$4:$AZ$4,SUMPRODUCT(MAX(COLUMN(Tbl_PDSAData[[#This Row],[D1]:[M24]])*(ListLookup!$G$3=Tbl_PDSAData[[#This Row],[D1]:[M24]]))-4)),"")</f>
        <v/>
      </c>
      <c r="BB144" s="145" t="str">
        <f>IFERROR(INDEX($E$4:$AZ$4,SUMPRODUCT(MAX(COLUMN(Tbl_PDSAData[[#This Row],[D1]:[M24]])*(ListLookup!$H$3=Tbl_PDSAData[[#This Row],[D1]:[M24]]))-4)),"")</f>
        <v/>
      </c>
    </row>
    <row r="145" spans="1:54" s="74" customFormat="1" x14ac:dyDescent="0.25">
      <c r="A145" s="189"/>
      <c r="B145" s="134" t="str">
        <f>IFERROR(INDEX(Tbl_ResidentData[Physician],MATCH(Tbl_PDSAData[[#This Row],[Resident Name (last, first)]],Tbl_ResidentData[Resident Name '[last, first']],0))&amp;"","")</f>
        <v/>
      </c>
      <c r="C145" s="135" t="str">
        <f>IFERROR(INDEX(Tbl_ResidentData[Diagnosis (RAI)],MATCH(Tbl_PDSAData[[#This Row],[Resident Name (last, first)]],Tbl_ResidentData[Resident Name '[last, first']],0))&amp;"","")</f>
        <v/>
      </c>
      <c r="D145" s="144" t="str">
        <f>IFERROR(INDEX(Tbl_ResidentData[Clinical Notes
'[free text']],MATCH(Tbl_PDSAData[[#This Row],[Resident Name (last, first)]],Tbl_ResidentData[Resident Name '[last, first']],0))&amp;"","")</f>
        <v/>
      </c>
      <c r="E145" s="190"/>
      <c r="F145" s="191"/>
      <c r="G145" s="190"/>
      <c r="H145" s="191"/>
      <c r="I145" s="190"/>
      <c r="J145" s="191"/>
      <c r="K145" s="190"/>
      <c r="L145" s="191"/>
      <c r="M145" s="190"/>
      <c r="N145" s="191"/>
      <c r="O145" s="190"/>
      <c r="P145" s="191"/>
      <c r="Q145" s="190"/>
      <c r="R145" s="191"/>
      <c r="S145" s="190"/>
      <c r="T145" s="191"/>
      <c r="U145" s="190"/>
      <c r="V145" s="191"/>
      <c r="W145" s="190"/>
      <c r="X145" s="191"/>
      <c r="Y145" s="190"/>
      <c r="Z145" s="191"/>
      <c r="AA145" s="190"/>
      <c r="AB145" s="191"/>
      <c r="AC145" s="190"/>
      <c r="AD145" s="191"/>
      <c r="AE145" s="190"/>
      <c r="AF145" s="191"/>
      <c r="AG145" s="190"/>
      <c r="AH145" s="191"/>
      <c r="AI145" s="190"/>
      <c r="AJ145" s="191"/>
      <c r="AK145" s="190"/>
      <c r="AL145" s="191"/>
      <c r="AM145" s="190"/>
      <c r="AN145" s="191"/>
      <c r="AO145" s="190"/>
      <c r="AP145" s="191"/>
      <c r="AQ145" s="190"/>
      <c r="AR145" s="191"/>
      <c r="AS145" s="190"/>
      <c r="AT145" s="191"/>
      <c r="AU145" s="190"/>
      <c r="AV145" s="191"/>
      <c r="AW145" s="190"/>
      <c r="AX145" s="191"/>
      <c r="AY145" s="190"/>
      <c r="AZ145" s="191"/>
      <c r="BA145" s="145" t="str">
        <f>IFERROR(INDEX($E$4:$AZ$4,SUMPRODUCT(MAX(COLUMN(Tbl_PDSAData[[#This Row],[D1]:[M24]])*(ListLookup!$G$3=Tbl_PDSAData[[#This Row],[D1]:[M24]]))-4)),"")</f>
        <v/>
      </c>
      <c r="BB145" s="145" t="str">
        <f>IFERROR(INDEX($E$4:$AZ$4,SUMPRODUCT(MAX(COLUMN(Tbl_PDSAData[[#This Row],[D1]:[M24]])*(ListLookup!$H$3=Tbl_PDSAData[[#This Row],[D1]:[M24]]))-4)),"")</f>
        <v/>
      </c>
    </row>
    <row r="146" spans="1:54" s="74" customFormat="1" x14ac:dyDescent="0.25">
      <c r="A146" s="189"/>
      <c r="B146" s="134" t="str">
        <f>IFERROR(INDEX(Tbl_ResidentData[Physician],MATCH(Tbl_PDSAData[[#This Row],[Resident Name (last, first)]],Tbl_ResidentData[Resident Name '[last, first']],0))&amp;"","")</f>
        <v/>
      </c>
      <c r="C146" s="135" t="str">
        <f>IFERROR(INDEX(Tbl_ResidentData[Diagnosis (RAI)],MATCH(Tbl_PDSAData[[#This Row],[Resident Name (last, first)]],Tbl_ResidentData[Resident Name '[last, first']],0))&amp;"","")</f>
        <v/>
      </c>
      <c r="D146" s="144" t="str">
        <f>IFERROR(INDEX(Tbl_ResidentData[Clinical Notes
'[free text']],MATCH(Tbl_PDSAData[[#This Row],[Resident Name (last, first)]],Tbl_ResidentData[Resident Name '[last, first']],0))&amp;"","")</f>
        <v/>
      </c>
      <c r="E146" s="190"/>
      <c r="F146" s="191"/>
      <c r="G146" s="190"/>
      <c r="H146" s="191"/>
      <c r="I146" s="190"/>
      <c r="J146" s="191"/>
      <c r="K146" s="190"/>
      <c r="L146" s="191"/>
      <c r="M146" s="190"/>
      <c r="N146" s="191"/>
      <c r="O146" s="190"/>
      <c r="P146" s="191"/>
      <c r="Q146" s="190"/>
      <c r="R146" s="191"/>
      <c r="S146" s="190"/>
      <c r="T146" s="191"/>
      <c r="U146" s="190"/>
      <c r="V146" s="191"/>
      <c r="W146" s="190"/>
      <c r="X146" s="191"/>
      <c r="Y146" s="190"/>
      <c r="Z146" s="191"/>
      <c r="AA146" s="190"/>
      <c r="AB146" s="191"/>
      <c r="AC146" s="190"/>
      <c r="AD146" s="191"/>
      <c r="AE146" s="190"/>
      <c r="AF146" s="191"/>
      <c r="AG146" s="190"/>
      <c r="AH146" s="191"/>
      <c r="AI146" s="190"/>
      <c r="AJ146" s="191"/>
      <c r="AK146" s="190"/>
      <c r="AL146" s="191"/>
      <c r="AM146" s="190"/>
      <c r="AN146" s="191"/>
      <c r="AO146" s="190"/>
      <c r="AP146" s="191"/>
      <c r="AQ146" s="190"/>
      <c r="AR146" s="191"/>
      <c r="AS146" s="190"/>
      <c r="AT146" s="191"/>
      <c r="AU146" s="190"/>
      <c r="AV146" s="191"/>
      <c r="AW146" s="190"/>
      <c r="AX146" s="191"/>
      <c r="AY146" s="190"/>
      <c r="AZ146" s="191"/>
      <c r="BA146" s="145" t="str">
        <f>IFERROR(INDEX($E$4:$AZ$4,SUMPRODUCT(MAX(COLUMN(Tbl_PDSAData[[#This Row],[D1]:[M24]])*(ListLookup!$G$3=Tbl_PDSAData[[#This Row],[D1]:[M24]]))-4)),"")</f>
        <v/>
      </c>
      <c r="BB146" s="145" t="str">
        <f>IFERROR(INDEX($E$4:$AZ$4,SUMPRODUCT(MAX(COLUMN(Tbl_PDSAData[[#This Row],[D1]:[M24]])*(ListLookup!$H$3=Tbl_PDSAData[[#This Row],[D1]:[M24]]))-4)),"")</f>
        <v/>
      </c>
    </row>
    <row r="147" spans="1:54" s="74" customFormat="1" x14ac:dyDescent="0.25">
      <c r="A147" s="189"/>
      <c r="B147" s="134" t="str">
        <f>IFERROR(INDEX(Tbl_ResidentData[Physician],MATCH(Tbl_PDSAData[[#This Row],[Resident Name (last, first)]],Tbl_ResidentData[Resident Name '[last, first']],0))&amp;"","")</f>
        <v/>
      </c>
      <c r="C147" s="135" t="str">
        <f>IFERROR(INDEX(Tbl_ResidentData[Diagnosis (RAI)],MATCH(Tbl_PDSAData[[#This Row],[Resident Name (last, first)]],Tbl_ResidentData[Resident Name '[last, first']],0))&amp;"","")</f>
        <v/>
      </c>
      <c r="D147" s="144" t="str">
        <f>IFERROR(INDEX(Tbl_ResidentData[Clinical Notes
'[free text']],MATCH(Tbl_PDSAData[[#This Row],[Resident Name (last, first)]],Tbl_ResidentData[Resident Name '[last, first']],0))&amp;"","")</f>
        <v/>
      </c>
      <c r="E147" s="190"/>
      <c r="F147" s="191"/>
      <c r="G147" s="190"/>
      <c r="H147" s="191"/>
      <c r="I147" s="190"/>
      <c r="J147" s="191"/>
      <c r="K147" s="190"/>
      <c r="L147" s="191"/>
      <c r="M147" s="190"/>
      <c r="N147" s="191"/>
      <c r="O147" s="190"/>
      <c r="P147" s="191"/>
      <c r="Q147" s="190"/>
      <c r="R147" s="191"/>
      <c r="S147" s="190"/>
      <c r="T147" s="191"/>
      <c r="U147" s="190"/>
      <c r="V147" s="191"/>
      <c r="W147" s="190"/>
      <c r="X147" s="191"/>
      <c r="Y147" s="190"/>
      <c r="Z147" s="191"/>
      <c r="AA147" s="190"/>
      <c r="AB147" s="191"/>
      <c r="AC147" s="190"/>
      <c r="AD147" s="191"/>
      <c r="AE147" s="190"/>
      <c r="AF147" s="191"/>
      <c r="AG147" s="190"/>
      <c r="AH147" s="191"/>
      <c r="AI147" s="190"/>
      <c r="AJ147" s="191"/>
      <c r="AK147" s="190"/>
      <c r="AL147" s="191"/>
      <c r="AM147" s="190"/>
      <c r="AN147" s="191"/>
      <c r="AO147" s="190"/>
      <c r="AP147" s="191"/>
      <c r="AQ147" s="190"/>
      <c r="AR147" s="191"/>
      <c r="AS147" s="190"/>
      <c r="AT147" s="191"/>
      <c r="AU147" s="190"/>
      <c r="AV147" s="191"/>
      <c r="AW147" s="190"/>
      <c r="AX147" s="191"/>
      <c r="AY147" s="190"/>
      <c r="AZ147" s="191"/>
      <c r="BA147" s="145" t="str">
        <f>IFERROR(INDEX($E$4:$AZ$4,SUMPRODUCT(MAX(COLUMN(Tbl_PDSAData[[#This Row],[D1]:[M24]])*(ListLookup!$G$3=Tbl_PDSAData[[#This Row],[D1]:[M24]]))-4)),"")</f>
        <v/>
      </c>
      <c r="BB147" s="145" t="str">
        <f>IFERROR(INDEX($E$4:$AZ$4,SUMPRODUCT(MAX(COLUMN(Tbl_PDSAData[[#This Row],[D1]:[M24]])*(ListLookup!$H$3=Tbl_PDSAData[[#This Row],[D1]:[M24]]))-4)),"")</f>
        <v/>
      </c>
    </row>
    <row r="148" spans="1:54" s="74" customFormat="1" x14ac:dyDescent="0.25">
      <c r="A148" s="189"/>
      <c r="B148" s="134" t="str">
        <f>IFERROR(INDEX(Tbl_ResidentData[Physician],MATCH(Tbl_PDSAData[[#This Row],[Resident Name (last, first)]],Tbl_ResidentData[Resident Name '[last, first']],0))&amp;"","")</f>
        <v/>
      </c>
      <c r="C148" s="135" t="str">
        <f>IFERROR(INDEX(Tbl_ResidentData[Diagnosis (RAI)],MATCH(Tbl_PDSAData[[#This Row],[Resident Name (last, first)]],Tbl_ResidentData[Resident Name '[last, first']],0))&amp;"","")</f>
        <v/>
      </c>
      <c r="D148" s="144" t="str">
        <f>IFERROR(INDEX(Tbl_ResidentData[Clinical Notes
'[free text']],MATCH(Tbl_PDSAData[[#This Row],[Resident Name (last, first)]],Tbl_ResidentData[Resident Name '[last, first']],0))&amp;"","")</f>
        <v/>
      </c>
      <c r="E148" s="190"/>
      <c r="F148" s="191"/>
      <c r="G148" s="190"/>
      <c r="H148" s="191"/>
      <c r="I148" s="190"/>
      <c r="J148" s="191"/>
      <c r="K148" s="190"/>
      <c r="L148" s="191"/>
      <c r="M148" s="190"/>
      <c r="N148" s="191"/>
      <c r="O148" s="190"/>
      <c r="P148" s="191"/>
      <c r="Q148" s="190"/>
      <c r="R148" s="191"/>
      <c r="S148" s="190"/>
      <c r="T148" s="191"/>
      <c r="U148" s="190"/>
      <c r="V148" s="191"/>
      <c r="W148" s="190"/>
      <c r="X148" s="191"/>
      <c r="Y148" s="190"/>
      <c r="Z148" s="191"/>
      <c r="AA148" s="190"/>
      <c r="AB148" s="191"/>
      <c r="AC148" s="190"/>
      <c r="AD148" s="191"/>
      <c r="AE148" s="190"/>
      <c r="AF148" s="191"/>
      <c r="AG148" s="190"/>
      <c r="AH148" s="191"/>
      <c r="AI148" s="190"/>
      <c r="AJ148" s="191"/>
      <c r="AK148" s="190"/>
      <c r="AL148" s="191"/>
      <c r="AM148" s="190"/>
      <c r="AN148" s="191"/>
      <c r="AO148" s="190"/>
      <c r="AP148" s="191"/>
      <c r="AQ148" s="190"/>
      <c r="AR148" s="191"/>
      <c r="AS148" s="190"/>
      <c r="AT148" s="191"/>
      <c r="AU148" s="190"/>
      <c r="AV148" s="191"/>
      <c r="AW148" s="190"/>
      <c r="AX148" s="191"/>
      <c r="AY148" s="190"/>
      <c r="AZ148" s="191"/>
      <c r="BA148" s="145" t="str">
        <f>IFERROR(INDEX($E$4:$AZ$4,SUMPRODUCT(MAX(COLUMN(Tbl_PDSAData[[#This Row],[D1]:[M24]])*(ListLookup!$G$3=Tbl_PDSAData[[#This Row],[D1]:[M24]]))-4)),"")</f>
        <v/>
      </c>
      <c r="BB148" s="145" t="str">
        <f>IFERROR(INDEX($E$4:$AZ$4,SUMPRODUCT(MAX(COLUMN(Tbl_PDSAData[[#This Row],[D1]:[M24]])*(ListLookup!$H$3=Tbl_PDSAData[[#This Row],[D1]:[M24]]))-4)),"")</f>
        <v/>
      </c>
    </row>
    <row r="149" spans="1:54" s="74" customFormat="1" x14ac:dyDescent="0.25">
      <c r="A149" s="189"/>
      <c r="B149" s="134" t="str">
        <f>IFERROR(INDEX(Tbl_ResidentData[Physician],MATCH(Tbl_PDSAData[[#This Row],[Resident Name (last, first)]],Tbl_ResidentData[Resident Name '[last, first']],0))&amp;"","")</f>
        <v/>
      </c>
      <c r="C149" s="135" t="str">
        <f>IFERROR(INDEX(Tbl_ResidentData[Diagnosis (RAI)],MATCH(Tbl_PDSAData[[#This Row],[Resident Name (last, first)]],Tbl_ResidentData[Resident Name '[last, first']],0))&amp;"","")</f>
        <v/>
      </c>
      <c r="D149" s="144" t="str">
        <f>IFERROR(INDEX(Tbl_ResidentData[Clinical Notes
'[free text']],MATCH(Tbl_PDSAData[[#This Row],[Resident Name (last, first)]],Tbl_ResidentData[Resident Name '[last, first']],0))&amp;"","")</f>
        <v/>
      </c>
      <c r="E149" s="190"/>
      <c r="F149" s="191"/>
      <c r="G149" s="190"/>
      <c r="H149" s="191"/>
      <c r="I149" s="190"/>
      <c r="J149" s="191"/>
      <c r="K149" s="190"/>
      <c r="L149" s="191"/>
      <c r="M149" s="190"/>
      <c r="N149" s="191"/>
      <c r="O149" s="190"/>
      <c r="P149" s="191"/>
      <c r="Q149" s="190"/>
      <c r="R149" s="191"/>
      <c r="S149" s="190"/>
      <c r="T149" s="191"/>
      <c r="U149" s="190"/>
      <c r="V149" s="191"/>
      <c r="W149" s="190"/>
      <c r="X149" s="191"/>
      <c r="Y149" s="190"/>
      <c r="Z149" s="191"/>
      <c r="AA149" s="190"/>
      <c r="AB149" s="191"/>
      <c r="AC149" s="190"/>
      <c r="AD149" s="191"/>
      <c r="AE149" s="190"/>
      <c r="AF149" s="191"/>
      <c r="AG149" s="190"/>
      <c r="AH149" s="191"/>
      <c r="AI149" s="190"/>
      <c r="AJ149" s="191"/>
      <c r="AK149" s="190"/>
      <c r="AL149" s="191"/>
      <c r="AM149" s="190"/>
      <c r="AN149" s="191"/>
      <c r="AO149" s="190"/>
      <c r="AP149" s="191"/>
      <c r="AQ149" s="190"/>
      <c r="AR149" s="191"/>
      <c r="AS149" s="190"/>
      <c r="AT149" s="191"/>
      <c r="AU149" s="190"/>
      <c r="AV149" s="191"/>
      <c r="AW149" s="190"/>
      <c r="AX149" s="191"/>
      <c r="AY149" s="190"/>
      <c r="AZ149" s="191"/>
      <c r="BA149" s="145" t="str">
        <f>IFERROR(INDEX($E$4:$AZ$4,SUMPRODUCT(MAX(COLUMN(Tbl_PDSAData[[#This Row],[D1]:[M24]])*(ListLookup!$G$3=Tbl_PDSAData[[#This Row],[D1]:[M24]]))-4)),"")</f>
        <v/>
      </c>
      <c r="BB149" s="145" t="str">
        <f>IFERROR(INDEX($E$4:$AZ$4,SUMPRODUCT(MAX(COLUMN(Tbl_PDSAData[[#This Row],[D1]:[M24]])*(ListLookup!$H$3=Tbl_PDSAData[[#This Row],[D1]:[M24]]))-4)),"")</f>
        <v/>
      </c>
    </row>
    <row r="150" spans="1:54" s="74" customFormat="1" x14ac:dyDescent="0.25">
      <c r="A150" s="189"/>
      <c r="B150" s="134" t="str">
        <f>IFERROR(INDEX(Tbl_ResidentData[Physician],MATCH(Tbl_PDSAData[[#This Row],[Resident Name (last, first)]],Tbl_ResidentData[Resident Name '[last, first']],0))&amp;"","")</f>
        <v/>
      </c>
      <c r="C150" s="135" t="str">
        <f>IFERROR(INDEX(Tbl_ResidentData[Diagnosis (RAI)],MATCH(Tbl_PDSAData[[#This Row],[Resident Name (last, first)]],Tbl_ResidentData[Resident Name '[last, first']],0))&amp;"","")</f>
        <v/>
      </c>
      <c r="D150" s="144" t="str">
        <f>IFERROR(INDEX(Tbl_ResidentData[Clinical Notes
'[free text']],MATCH(Tbl_PDSAData[[#This Row],[Resident Name (last, first)]],Tbl_ResidentData[Resident Name '[last, first']],0))&amp;"","")</f>
        <v/>
      </c>
      <c r="E150" s="190"/>
      <c r="F150" s="191"/>
      <c r="G150" s="190"/>
      <c r="H150" s="191"/>
      <c r="I150" s="190"/>
      <c r="J150" s="191"/>
      <c r="K150" s="190"/>
      <c r="L150" s="191"/>
      <c r="M150" s="190"/>
      <c r="N150" s="191"/>
      <c r="O150" s="190"/>
      <c r="P150" s="191"/>
      <c r="Q150" s="190"/>
      <c r="R150" s="191"/>
      <c r="S150" s="190"/>
      <c r="T150" s="191"/>
      <c r="U150" s="190"/>
      <c r="V150" s="191"/>
      <c r="W150" s="190"/>
      <c r="X150" s="191"/>
      <c r="Y150" s="190"/>
      <c r="Z150" s="191"/>
      <c r="AA150" s="190"/>
      <c r="AB150" s="191"/>
      <c r="AC150" s="190"/>
      <c r="AD150" s="191"/>
      <c r="AE150" s="190"/>
      <c r="AF150" s="191"/>
      <c r="AG150" s="190"/>
      <c r="AH150" s="191"/>
      <c r="AI150" s="190"/>
      <c r="AJ150" s="191"/>
      <c r="AK150" s="190"/>
      <c r="AL150" s="191"/>
      <c r="AM150" s="190"/>
      <c r="AN150" s="191"/>
      <c r="AO150" s="190"/>
      <c r="AP150" s="191"/>
      <c r="AQ150" s="190"/>
      <c r="AR150" s="191"/>
      <c r="AS150" s="190"/>
      <c r="AT150" s="191"/>
      <c r="AU150" s="190"/>
      <c r="AV150" s="191"/>
      <c r="AW150" s="190"/>
      <c r="AX150" s="191"/>
      <c r="AY150" s="190"/>
      <c r="AZ150" s="191"/>
      <c r="BA150" s="145" t="str">
        <f>IFERROR(INDEX($E$4:$AZ$4,SUMPRODUCT(MAX(COLUMN(Tbl_PDSAData[[#This Row],[D1]:[M24]])*(ListLookup!$G$3=Tbl_PDSAData[[#This Row],[D1]:[M24]]))-4)),"")</f>
        <v/>
      </c>
      <c r="BB150" s="145" t="str">
        <f>IFERROR(INDEX($E$4:$AZ$4,SUMPRODUCT(MAX(COLUMN(Tbl_PDSAData[[#This Row],[D1]:[M24]])*(ListLookup!$H$3=Tbl_PDSAData[[#This Row],[D1]:[M24]]))-4)),"")</f>
        <v/>
      </c>
    </row>
    <row r="151" spans="1:54" s="74" customFormat="1" x14ac:dyDescent="0.25">
      <c r="A151" s="189"/>
      <c r="B151" s="134" t="str">
        <f>IFERROR(INDEX(Tbl_ResidentData[Physician],MATCH(Tbl_PDSAData[[#This Row],[Resident Name (last, first)]],Tbl_ResidentData[Resident Name '[last, first']],0))&amp;"","")</f>
        <v/>
      </c>
      <c r="C151" s="135" t="str">
        <f>IFERROR(INDEX(Tbl_ResidentData[Diagnosis (RAI)],MATCH(Tbl_PDSAData[[#This Row],[Resident Name (last, first)]],Tbl_ResidentData[Resident Name '[last, first']],0))&amp;"","")</f>
        <v/>
      </c>
      <c r="D151" s="144" t="str">
        <f>IFERROR(INDEX(Tbl_ResidentData[Clinical Notes
'[free text']],MATCH(Tbl_PDSAData[[#This Row],[Resident Name (last, first)]],Tbl_ResidentData[Resident Name '[last, first']],0))&amp;"","")</f>
        <v/>
      </c>
      <c r="E151" s="190"/>
      <c r="F151" s="191"/>
      <c r="G151" s="190"/>
      <c r="H151" s="191"/>
      <c r="I151" s="190"/>
      <c r="J151" s="191"/>
      <c r="K151" s="190"/>
      <c r="L151" s="191"/>
      <c r="M151" s="190"/>
      <c r="N151" s="191"/>
      <c r="O151" s="190"/>
      <c r="P151" s="191"/>
      <c r="Q151" s="190"/>
      <c r="R151" s="191"/>
      <c r="S151" s="190"/>
      <c r="T151" s="191"/>
      <c r="U151" s="190"/>
      <c r="V151" s="191"/>
      <c r="W151" s="190"/>
      <c r="X151" s="191"/>
      <c r="Y151" s="190"/>
      <c r="Z151" s="191"/>
      <c r="AA151" s="190"/>
      <c r="AB151" s="191"/>
      <c r="AC151" s="190"/>
      <c r="AD151" s="191"/>
      <c r="AE151" s="190"/>
      <c r="AF151" s="191"/>
      <c r="AG151" s="190"/>
      <c r="AH151" s="191"/>
      <c r="AI151" s="190"/>
      <c r="AJ151" s="191"/>
      <c r="AK151" s="190"/>
      <c r="AL151" s="191"/>
      <c r="AM151" s="190"/>
      <c r="AN151" s="191"/>
      <c r="AO151" s="190"/>
      <c r="AP151" s="191"/>
      <c r="AQ151" s="190"/>
      <c r="AR151" s="191"/>
      <c r="AS151" s="190"/>
      <c r="AT151" s="191"/>
      <c r="AU151" s="190"/>
      <c r="AV151" s="191"/>
      <c r="AW151" s="190"/>
      <c r="AX151" s="191"/>
      <c r="AY151" s="190"/>
      <c r="AZ151" s="191"/>
      <c r="BA151" s="145" t="str">
        <f>IFERROR(INDEX($E$4:$AZ$4,SUMPRODUCT(MAX(COLUMN(Tbl_PDSAData[[#This Row],[D1]:[M24]])*(ListLookup!$G$3=Tbl_PDSAData[[#This Row],[D1]:[M24]]))-4)),"")</f>
        <v/>
      </c>
      <c r="BB151" s="145" t="str">
        <f>IFERROR(INDEX($E$4:$AZ$4,SUMPRODUCT(MAX(COLUMN(Tbl_PDSAData[[#This Row],[D1]:[M24]])*(ListLookup!$H$3=Tbl_PDSAData[[#This Row],[D1]:[M24]]))-4)),"")</f>
        <v/>
      </c>
    </row>
    <row r="152" spans="1:54" s="74" customFormat="1" x14ac:dyDescent="0.25">
      <c r="A152" s="189"/>
      <c r="B152" s="134" t="str">
        <f>IFERROR(INDEX(Tbl_ResidentData[Physician],MATCH(Tbl_PDSAData[[#This Row],[Resident Name (last, first)]],Tbl_ResidentData[Resident Name '[last, first']],0))&amp;"","")</f>
        <v/>
      </c>
      <c r="C152" s="135" t="str">
        <f>IFERROR(INDEX(Tbl_ResidentData[Diagnosis (RAI)],MATCH(Tbl_PDSAData[[#This Row],[Resident Name (last, first)]],Tbl_ResidentData[Resident Name '[last, first']],0))&amp;"","")</f>
        <v/>
      </c>
      <c r="D152" s="144" t="str">
        <f>IFERROR(INDEX(Tbl_ResidentData[Clinical Notes
'[free text']],MATCH(Tbl_PDSAData[[#This Row],[Resident Name (last, first)]],Tbl_ResidentData[Resident Name '[last, first']],0))&amp;"","")</f>
        <v/>
      </c>
      <c r="E152" s="190"/>
      <c r="F152" s="191"/>
      <c r="G152" s="190"/>
      <c r="H152" s="191"/>
      <c r="I152" s="190"/>
      <c r="J152" s="191"/>
      <c r="K152" s="190"/>
      <c r="L152" s="191"/>
      <c r="M152" s="190"/>
      <c r="N152" s="191"/>
      <c r="O152" s="190"/>
      <c r="P152" s="191"/>
      <c r="Q152" s="190"/>
      <c r="R152" s="191"/>
      <c r="S152" s="190"/>
      <c r="T152" s="191"/>
      <c r="U152" s="190"/>
      <c r="V152" s="191"/>
      <c r="W152" s="190"/>
      <c r="X152" s="191"/>
      <c r="Y152" s="190"/>
      <c r="Z152" s="191"/>
      <c r="AA152" s="190"/>
      <c r="AB152" s="191"/>
      <c r="AC152" s="190"/>
      <c r="AD152" s="191"/>
      <c r="AE152" s="190"/>
      <c r="AF152" s="191"/>
      <c r="AG152" s="190"/>
      <c r="AH152" s="191"/>
      <c r="AI152" s="190"/>
      <c r="AJ152" s="191"/>
      <c r="AK152" s="190"/>
      <c r="AL152" s="191"/>
      <c r="AM152" s="190"/>
      <c r="AN152" s="191"/>
      <c r="AO152" s="190"/>
      <c r="AP152" s="191"/>
      <c r="AQ152" s="190"/>
      <c r="AR152" s="191"/>
      <c r="AS152" s="190"/>
      <c r="AT152" s="191"/>
      <c r="AU152" s="190"/>
      <c r="AV152" s="191"/>
      <c r="AW152" s="190"/>
      <c r="AX152" s="191"/>
      <c r="AY152" s="190"/>
      <c r="AZ152" s="191"/>
      <c r="BA152" s="145" t="str">
        <f>IFERROR(INDEX($E$4:$AZ$4,SUMPRODUCT(MAX(COLUMN(Tbl_PDSAData[[#This Row],[D1]:[M24]])*(ListLookup!$G$3=Tbl_PDSAData[[#This Row],[D1]:[M24]]))-4)),"")</f>
        <v/>
      </c>
      <c r="BB152" s="145" t="str">
        <f>IFERROR(INDEX($E$4:$AZ$4,SUMPRODUCT(MAX(COLUMN(Tbl_PDSAData[[#This Row],[D1]:[M24]])*(ListLookup!$H$3=Tbl_PDSAData[[#This Row],[D1]:[M24]]))-4)),"")</f>
        <v/>
      </c>
    </row>
    <row r="153" spans="1:54" s="74" customFormat="1" x14ac:dyDescent="0.25">
      <c r="A153" s="189"/>
      <c r="B153" s="134" t="str">
        <f>IFERROR(INDEX(Tbl_ResidentData[Physician],MATCH(Tbl_PDSAData[[#This Row],[Resident Name (last, first)]],Tbl_ResidentData[Resident Name '[last, first']],0))&amp;"","")</f>
        <v/>
      </c>
      <c r="C153" s="135" t="str">
        <f>IFERROR(INDEX(Tbl_ResidentData[Diagnosis (RAI)],MATCH(Tbl_PDSAData[[#This Row],[Resident Name (last, first)]],Tbl_ResidentData[Resident Name '[last, first']],0))&amp;"","")</f>
        <v/>
      </c>
      <c r="D153" s="144" t="str">
        <f>IFERROR(INDEX(Tbl_ResidentData[Clinical Notes
'[free text']],MATCH(Tbl_PDSAData[[#This Row],[Resident Name (last, first)]],Tbl_ResidentData[Resident Name '[last, first']],0))&amp;"","")</f>
        <v/>
      </c>
      <c r="E153" s="190"/>
      <c r="F153" s="191"/>
      <c r="G153" s="190"/>
      <c r="H153" s="191"/>
      <c r="I153" s="190"/>
      <c r="J153" s="191"/>
      <c r="K153" s="190"/>
      <c r="L153" s="191"/>
      <c r="M153" s="190"/>
      <c r="N153" s="191"/>
      <c r="O153" s="190"/>
      <c r="P153" s="191"/>
      <c r="Q153" s="190"/>
      <c r="R153" s="191"/>
      <c r="S153" s="190"/>
      <c r="T153" s="191"/>
      <c r="U153" s="190"/>
      <c r="V153" s="191"/>
      <c r="W153" s="190"/>
      <c r="X153" s="191"/>
      <c r="Y153" s="190"/>
      <c r="Z153" s="191"/>
      <c r="AA153" s="190"/>
      <c r="AB153" s="191"/>
      <c r="AC153" s="190"/>
      <c r="AD153" s="191"/>
      <c r="AE153" s="190"/>
      <c r="AF153" s="191"/>
      <c r="AG153" s="190"/>
      <c r="AH153" s="191"/>
      <c r="AI153" s="190"/>
      <c r="AJ153" s="191"/>
      <c r="AK153" s="190"/>
      <c r="AL153" s="191"/>
      <c r="AM153" s="190"/>
      <c r="AN153" s="191"/>
      <c r="AO153" s="190"/>
      <c r="AP153" s="191"/>
      <c r="AQ153" s="190"/>
      <c r="AR153" s="191"/>
      <c r="AS153" s="190"/>
      <c r="AT153" s="191"/>
      <c r="AU153" s="190"/>
      <c r="AV153" s="191"/>
      <c r="AW153" s="190"/>
      <c r="AX153" s="191"/>
      <c r="AY153" s="190"/>
      <c r="AZ153" s="191"/>
      <c r="BA153" s="145" t="str">
        <f>IFERROR(INDEX($E$4:$AZ$4,SUMPRODUCT(MAX(COLUMN(Tbl_PDSAData[[#This Row],[D1]:[M24]])*(ListLookup!$G$3=Tbl_PDSAData[[#This Row],[D1]:[M24]]))-4)),"")</f>
        <v/>
      </c>
      <c r="BB153" s="145" t="str">
        <f>IFERROR(INDEX($E$4:$AZ$4,SUMPRODUCT(MAX(COLUMN(Tbl_PDSAData[[#This Row],[D1]:[M24]])*(ListLookup!$H$3=Tbl_PDSAData[[#This Row],[D1]:[M24]]))-4)),"")</f>
        <v/>
      </c>
    </row>
    <row r="154" spans="1:54" s="74" customFormat="1" x14ac:dyDescent="0.25">
      <c r="A154" s="189"/>
      <c r="B154" s="134" t="str">
        <f>IFERROR(INDEX(Tbl_ResidentData[Physician],MATCH(Tbl_PDSAData[[#This Row],[Resident Name (last, first)]],Tbl_ResidentData[Resident Name '[last, first']],0))&amp;"","")</f>
        <v/>
      </c>
      <c r="C154" s="135" t="str">
        <f>IFERROR(INDEX(Tbl_ResidentData[Diagnosis (RAI)],MATCH(Tbl_PDSAData[[#This Row],[Resident Name (last, first)]],Tbl_ResidentData[Resident Name '[last, first']],0))&amp;"","")</f>
        <v/>
      </c>
      <c r="D154" s="144" t="str">
        <f>IFERROR(INDEX(Tbl_ResidentData[Clinical Notes
'[free text']],MATCH(Tbl_PDSAData[[#This Row],[Resident Name (last, first)]],Tbl_ResidentData[Resident Name '[last, first']],0))&amp;"","")</f>
        <v/>
      </c>
      <c r="E154" s="190"/>
      <c r="F154" s="191"/>
      <c r="G154" s="190"/>
      <c r="H154" s="191"/>
      <c r="I154" s="190"/>
      <c r="J154" s="191"/>
      <c r="K154" s="190"/>
      <c r="L154" s="191"/>
      <c r="M154" s="190"/>
      <c r="N154" s="191"/>
      <c r="O154" s="190"/>
      <c r="P154" s="191"/>
      <c r="Q154" s="190"/>
      <c r="R154" s="191"/>
      <c r="S154" s="190"/>
      <c r="T154" s="191"/>
      <c r="U154" s="190"/>
      <c r="V154" s="191"/>
      <c r="W154" s="190"/>
      <c r="X154" s="191"/>
      <c r="Y154" s="190"/>
      <c r="Z154" s="191"/>
      <c r="AA154" s="190"/>
      <c r="AB154" s="191"/>
      <c r="AC154" s="190"/>
      <c r="AD154" s="191"/>
      <c r="AE154" s="190"/>
      <c r="AF154" s="191"/>
      <c r="AG154" s="190"/>
      <c r="AH154" s="191"/>
      <c r="AI154" s="190"/>
      <c r="AJ154" s="191"/>
      <c r="AK154" s="190"/>
      <c r="AL154" s="191"/>
      <c r="AM154" s="190"/>
      <c r="AN154" s="191"/>
      <c r="AO154" s="190"/>
      <c r="AP154" s="191"/>
      <c r="AQ154" s="190"/>
      <c r="AR154" s="191"/>
      <c r="AS154" s="190"/>
      <c r="AT154" s="191"/>
      <c r="AU154" s="190"/>
      <c r="AV154" s="191"/>
      <c r="AW154" s="190"/>
      <c r="AX154" s="191"/>
      <c r="AY154" s="190"/>
      <c r="AZ154" s="191"/>
      <c r="BA154" s="145" t="str">
        <f>IFERROR(INDEX($E$4:$AZ$4,SUMPRODUCT(MAX(COLUMN(Tbl_PDSAData[[#This Row],[D1]:[M24]])*(ListLookup!$G$3=Tbl_PDSAData[[#This Row],[D1]:[M24]]))-4)),"")</f>
        <v/>
      </c>
      <c r="BB154" s="145" t="str">
        <f>IFERROR(INDEX($E$4:$AZ$4,SUMPRODUCT(MAX(COLUMN(Tbl_PDSAData[[#This Row],[D1]:[M24]])*(ListLookup!$H$3=Tbl_PDSAData[[#This Row],[D1]:[M24]]))-4)),"")</f>
        <v/>
      </c>
    </row>
    <row r="155" spans="1:54" s="74" customFormat="1" x14ac:dyDescent="0.25">
      <c r="A155" s="189"/>
      <c r="B155" s="134" t="str">
        <f>IFERROR(INDEX(Tbl_ResidentData[Physician],MATCH(Tbl_PDSAData[[#This Row],[Resident Name (last, first)]],Tbl_ResidentData[Resident Name '[last, first']],0))&amp;"","")</f>
        <v/>
      </c>
      <c r="C155" s="135" t="str">
        <f>IFERROR(INDEX(Tbl_ResidentData[Diagnosis (RAI)],MATCH(Tbl_PDSAData[[#This Row],[Resident Name (last, first)]],Tbl_ResidentData[Resident Name '[last, first']],0))&amp;"","")</f>
        <v/>
      </c>
      <c r="D155" s="144" t="str">
        <f>IFERROR(INDEX(Tbl_ResidentData[Clinical Notes
'[free text']],MATCH(Tbl_PDSAData[[#This Row],[Resident Name (last, first)]],Tbl_ResidentData[Resident Name '[last, first']],0))&amp;"","")</f>
        <v/>
      </c>
      <c r="E155" s="190"/>
      <c r="F155" s="191"/>
      <c r="G155" s="190"/>
      <c r="H155" s="191"/>
      <c r="I155" s="190"/>
      <c r="J155" s="191"/>
      <c r="K155" s="190"/>
      <c r="L155" s="191"/>
      <c r="M155" s="190"/>
      <c r="N155" s="191"/>
      <c r="O155" s="190"/>
      <c r="P155" s="191"/>
      <c r="Q155" s="190"/>
      <c r="R155" s="191"/>
      <c r="S155" s="190"/>
      <c r="T155" s="191"/>
      <c r="U155" s="190"/>
      <c r="V155" s="191"/>
      <c r="W155" s="190"/>
      <c r="X155" s="191"/>
      <c r="Y155" s="190"/>
      <c r="Z155" s="191"/>
      <c r="AA155" s="190"/>
      <c r="AB155" s="191"/>
      <c r="AC155" s="190"/>
      <c r="AD155" s="191"/>
      <c r="AE155" s="190"/>
      <c r="AF155" s="191"/>
      <c r="AG155" s="190"/>
      <c r="AH155" s="191"/>
      <c r="AI155" s="190"/>
      <c r="AJ155" s="191"/>
      <c r="AK155" s="190"/>
      <c r="AL155" s="191"/>
      <c r="AM155" s="190"/>
      <c r="AN155" s="191"/>
      <c r="AO155" s="190"/>
      <c r="AP155" s="191"/>
      <c r="AQ155" s="190"/>
      <c r="AR155" s="191"/>
      <c r="AS155" s="190"/>
      <c r="AT155" s="191"/>
      <c r="AU155" s="190"/>
      <c r="AV155" s="191"/>
      <c r="AW155" s="190"/>
      <c r="AX155" s="191"/>
      <c r="AY155" s="190"/>
      <c r="AZ155" s="191"/>
      <c r="BA155" s="145" t="str">
        <f>IFERROR(INDEX($E$4:$AZ$4,SUMPRODUCT(MAX(COLUMN(Tbl_PDSAData[[#This Row],[D1]:[M24]])*(ListLookup!$G$3=Tbl_PDSAData[[#This Row],[D1]:[M24]]))-4)),"")</f>
        <v/>
      </c>
      <c r="BB155" s="145" t="str">
        <f>IFERROR(INDEX($E$4:$AZ$4,SUMPRODUCT(MAX(COLUMN(Tbl_PDSAData[[#This Row],[D1]:[M24]])*(ListLookup!$H$3=Tbl_PDSAData[[#This Row],[D1]:[M24]]))-4)),"")</f>
        <v/>
      </c>
    </row>
    <row r="156" spans="1:54" s="74" customFormat="1" x14ac:dyDescent="0.25">
      <c r="A156" s="189"/>
      <c r="B156" s="134" t="str">
        <f>IFERROR(INDEX(Tbl_ResidentData[Physician],MATCH(Tbl_PDSAData[[#This Row],[Resident Name (last, first)]],Tbl_ResidentData[Resident Name '[last, first']],0))&amp;"","")</f>
        <v/>
      </c>
      <c r="C156" s="135" t="str">
        <f>IFERROR(INDEX(Tbl_ResidentData[Diagnosis (RAI)],MATCH(Tbl_PDSAData[[#This Row],[Resident Name (last, first)]],Tbl_ResidentData[Resident Name '[last, first']],0))&amp;"","")</f>
        <v/>
      </c>
      <c r="D156" s="144" t="str">
        <f>IFERROR(INDEX(Tbl_ResidentData[Clinical Notes
'[free text']],MATCH(Tbl_PDSAData[[#This Row],[Resident Name (last, first)]],Tbl_ResidentData[Resident Name '[last, first']],0))&amp;"","")</f>
        <v/>
      </c>
      <c r="E156" s="190"/>
      <c r="F156" s="191"/>
      <c r="G156" s="190"/>
      <c r="H156" s="191"/>
      <c r="I156" s="190"/>
      <c r="J156" s="191"/>
      <c r="K156" s="190"/>
      <c r="L156" s="191"/>
      <c r="M156" s="190"/>
      <c r="N156" s="191"/>
      <c r="O156" s="190"/>
      <c r="P156" s="191"/>
      <c r="Q156" s="190"/>
      <c r="R156" s="191"/>
      <c r="S156" s="190"/>
      <c r="T156" s="191"/>
      <c r="U156" s="190"/>
      <c r="V156" s="191"/>
      <c r="W156" s="190"/>
      <c r="X156" s="191"/>
      <c r="Y156" s="190"/>
      <c r="Z156" s="191"/>
      <c r="AA156" s="190"/>
      <c r="AB156" s="191"/>
      <c r="AC156" s="190"/>
      <c r="AD156" s="191"/>
      <c r="AE156" s="190"/>
      <c r="AF156" s="191"/>
      <c r="AG156" s="190"/>
      <c r="AH156" s="191"/>
      <c r="AI156" s="190"/>
      <c r="AJ156" s="191"/>
      <c r="AK156" s="190"/>
      <c r="AL156" s="191"/>
      <c r="AM156" s="190"/>
      <c r="AN156" s="191"/>
      <c r="AO156" s="190"/>
      <c r="AP156" s="191"/>
      <c r="AQ156" s="190"/>
      <c r="AR156" s="191"/>
      <c r="AS156" s="190"/>
      <c r="AT156" s="191"/>
      <c r="AU156" s="190"/>
      <c r="AV156" s="191"/>
      <c r="AW156" s="190"/>
      <c r="AX156" s="191"/>
      <c r="AY156" s="190"/>
      <c r="AZ156" s="191"/>
      <c r="BA156" s="145" t="str">
        <f>IFERROR(INDEX($E$4:$AZ$4,SUMPRODUCT(MAX(COLUMN(Tbl_PDSAData[[#This Row],[D1]:[M24]])*(ListLookup!$G$3=Tbl_PDSAData[[#This Row],[D1]:[M24]]))-4)),"")</f>
        <v/>
      </c>
      <c r="BB156" s="145" t="str">
        <f>IFERROR(INDEX($E$4:$AZ$4,SUMPRODUCT(MAX(COLUMN(Tbl_PDSAData[[#This Row],[D1]:[M24]])*(ListLookup!$H$3=Tbl_PDSAData[[#This Row],[D1]:[M24]]))-4)),"")</f>
        <v/>
      </c>
    </row>
    <row r="157" spans="1:54" s="74" customFormat="1" x14ac:dyDescent="0.25">
      <c r="A157" s="189"/>
      <c r="B157" s="134" t="str">
        <f>IFERROR(INDEX(Tbl_ResidentData[Physician],MATCH(Tbl_PDSAData[[#This Row],[Resident Name (last, first)]],Tbl_ResidentData[Resident Name '[last, first']],0))&amp;"","")</f>
        <v/>
      </c>
      <c r="C157" s="135" t="str">
        <f>IFERROR(INDEX(Tbl_ResidentData[Diagnosis (RAI)],MATCH(Tbl_PDSAData[[#This Row],[Resident Name (last, first)]],Tbl_ResidentData[Resident Name '[last, first']],0))&amp;"","")</f>
        <v/>
      </c>
      <c r="D157" s="144" t="str">
        <f>IFERROR(INDEX(Tbl_ResidentData[Clinical Notes
'[free text']],MATCH(Tbl_PDSAData[[#This Row],[Resident Name (last, first)]],Tbl_ResidentData[Resident Name '[last, first']],0))&amp;"","")</f>
        <v/>
      </c>
      <c r="E157" s="190"/>
      <c r="F157" s="191"/>
      <c r="G157" s="190"/>
      <c r="H157" s="191"/>
      <c r="I157" s="190"/>
      <c r="J157" s="191"/>
      <c r="K157" s="190"/>
      <c r="L157" s="191"/>
      <c r="M157" s="190"/>
      <c r="N157" s="191"/>
      <c r="O157" s="190"/>
      <c r="P157" s="191"/>
      <c r="Q157" s="190"/>
      <c r="R157" s="191"/>
      <c r="S157" s="190"/>
      <c r="T157" s="191"/>
      <c r="U157" s="190"/>
      <c r="V157" s="191"/>
      <c r="W157" s="190"/>
      <c r="X157" s="191"/>
      <c r="Y157" s="190"/>
      <c r="Z157" s="191"/>
      <c r="AA157" s="190"/>
      <c r="AB157" s="191"/>
      <c r="AC157" s="190"/>
      <c r="AD157" s="191"/>
      <c r="AE157" s="190"/>
      <c r="AF157" s="191"/>
      <c r="AG157" s="190"/>
      <c r="AH157" s="191"/>
      <c r="AI157" s="190"/>
      <c r="AJ157" s="191"/>
      <c r="AK157" s="190"/>
      <c r="AL157" s="191"/>
      <c r="AM157" s="190"/>
      <c r="AN157" s="191"/>
      <c r="AO157" s="190"/>
      <c r="AP157" s="191"/>
      <c r="AQ157" s="190"/>
      <c r="AR157" s="191"/>
      <c r="AS157" s="190"/>
      <c r="AT157" s="191"/>
      <c r="AU157" s="190"/>
      <c r="AV157" s="191"/>
      <c r="AW157" s="190"/>
      <c r="AX157" s="191"/>
      <c r="AY157" s="190"/>
      <c r="AZ157" s="191"/>
      <c r="BA157" s="145" t="str">
        <f>IFERROR(INDEX($E$4:$AZ$4,SUMPRODUCT(MAX(COLUMN(Tbl_PDSAData[[#This Row],[D1]:[M24]])*(ListLookup!$G$3=Tbl_PDSAData[[#This Row],[D1]:[M24]]))-4)),"")</f>
        <v/>
      </c>
      <c r="BB157" s="145" t="str">
        <f>IFERROR(INDEX($E$4:$AZ$4,SUMPRODUCT(MAX(COLUMN(Tbl_PDSAData[[#This Row],[D1]:[M24]])*(ListLookup!$H$3=Tbl_PDSAData[[#This Row],[D1]:[M24]]))-4)),"")</f>
        <v/>
      </c>
    </row>
    <row r="158" spans="1:54" s="74" customFormat="1" x14ac:dyDescent="0.25">
      <c r="A158" s="189"/>
      <c r="B158" s="134" t="str">
        <f>IFERROR(INDEX(Tbl_ResidentData[Physician],MATCH(Tbl_PDSAData[[#This Row],[Resident Name (last, first)]],Tbl_ResidentData[Resident Name '[last, first']],0))&amp;"","")</f>
        <v/>
      </c>
      <c r="C158" s="135" t="str">
        <f>IFERROR(INDEX(Tbl_ResidentData[Diagnosis (RAI)],MATCH(Tbl_PDSAData[[#This Row],[Resident Name (last, first)]],Tbl_ResidentData[Resident Name '[last, first']],0))&amp;"","")</f>
        <v/>
      </c>
      <c r="D158" s="144" t="str">
        <f>IFERROR(INDEX(Tbl_ResidentData[Clinical Notes
'[free text']],MATCH(Tbl_PDSAData[[#This Row],[Resident Name (last, first)]],Tbl_ResidentData[Resident Name '[last, first']],0))&amp;"","")</f>
        <v/>
      </c>
      <c r="E158" s="190"/>
      <c r="F158" s="191"/>
      <c r="G158" s="190"/>
      <c r="H158" s="191"/>
      <c r="I158" s="190"/>
      <c r="J158" s="191"/>
      <c r="K158" s="190"/>
      <c r="L158" s="191"/>
      <c r="M158" s="190"/>
      <c r="N158" s="191"/>
      <c r="O158" s="190"/>
      <c r="P158" s="191"/>
      <c r="Q158" s="190"/>
      <c r="R158" s="191"/>
      <c r="S158" s="190"/>
      <c r="T158" s="191"/>
      <c r="U158" s="190"/>
      <c r="V158" s="191"/>
      <c r="W158" s="190"/>
      <c r="X158" s="191"/>
      <c r="Y158" s="190"/>
      <c r="Z158" s="191"/>
      <c r="AA158" s="190"/>
      <c r="AB158" s="191"/>
      <c r="AC158" s="190"/>
      <c r="AD158" s="191"/>
      <c r="AE158" s="190"/>
      <c r="AF158" s="191"/>
      <c r="AG158" s="190"/>
      <c r="AH158" s="191"/>
      <c r="AI158" s="190"/>
      <c r="AJ158" s="191"/>
      <c r="AK158" s="190"/>
      <c r="AL158" s="191"/>
      <c r="AM158" s="190"/>
      <c r="AN158" s="191"/>
      <c r="AO158" s="190"/>
      <c r="AP158" s="191"/>
      <c r="AQ158" s="190"/>
      <c r="AR158" s="191"/>
      <c r="AS158" s="190"/>
      <c r="AT158" s="191"/>
      <c r="AU158" s="190"/>
      <c r="AV158" s="191"/>
      <c r="AW158" s="190"/>
      <c r="AX158" s="191"/>
      <c r="AY158" s="190"/>
      <c r="AZ158" s="191"/>
      <c r="BA158" s="145" t="str">
        <f>IFERROR(INDEX($E$4:$AZ$4,SUMPRODUCT(MAX(COLUMN(Tbl_PDSAData[[#This Row],[D1]:[M24]])*(ListLookup!$G$3=Tbl_PDSAData[[#This Row],[D1]:[M24]]))-4)),"")</f>
        <v/>
      </c>
      <c r="BB158" s="145" t="str">
        <f>IFERROR(INDEX($E$4:$AZ$4,SUMPRODUCT(MAX(COLUMN(Tbl_PDSAData[[#This Row],[D1]:[M24]])*(ListLookup!$H$3=Tbl_PDSAData[[#This Row],[D1]:[M24]]))-4)),"")</f>
        <v/>
      </c>
    </row>
    <row r="159" spans="1:54" s="74" customFormat="1" x14ac:dyDescent="0.25">
      <c r="A159" s="189"/>
      <c r="B159" s="134" t="str">
        <f>IFERROR(INDEX(Tbl_ResidentData[Physician],MATCH(Tbl_PDSAData[[#This Row],[Resident Name (last, first)]],Tbl_ResidentData[Resident Name '[last, first']],0))&amp;"","")</f>
        <v/>
      </c>
      <c r="C159" s="135" t="str">
        <f>IFERROR(INDEX(Tbl_ResidentData[Diagnosis (RAI)],MATCH(Tbl_PDSAData[[#This Row],[Resident Name (last, first)]],Tbl_ResidentData[Resident Name '[last, first']],0))&amp;"","")</f>
        <v/>
      </c>
      <c r="D159" s="144" t="str">
        <f>IFERROR(INDEX(Tbl_ResidentData[Clinical Notes
'[free text']],MATCH(Tbl_PDSAData[[#This Row],[Resident Name (last, first)]],Tbl_ResidentData[Resident Name '[last, first']],0))&amp;"","")</f>
        <v/>
      </c>
      <c r="E159" s="190"/>
      <c r="F159" s="191"/>
      <c r="G159" s="190"/>
      <c r="H159" s="191"/>
      <c r="I159" s="190"/>
      <c r="J159" s="191"/>
      <c r="K159" s="190"/>
      <c r="L159" s="191"/>
      <c r="M159" s="190"/>
      <c r="N159" s="191"/>
      <c r="O159" s="190"/>
      <c r="P159" s="191"/>
      <c r="Q159" s="190"/>
      <c r="R159" s="191"/>
      <c r="S159" s="190"/>
      <c r="T159" s="191"/>
      <c r="U159" s="190"/>
      <c r="V159" s="191"/>
      <c r="W159" s="190"/>
      <c r="X159" s="191"/>
      <c r="Y159" s="190"/>
      <c r="Z159" s="191"/>
      <c r="AA159" s="190"/>
      <c r="AB159" s="191"/>
      <c r="AC159" s="190"/>
      <c r="AD159" s="191"/>
      <c r="AE159" s="190"/>
      <c r="AF159" s="191"/>
      <c r="AG159" s="190"/>
      <c r="AH159" s="191"/>
      <c r="AI159" s="190"/>
      <c r="AJ159" s="191"/>
      <c r="AK159" s="190"/>
      <c r="AL159" s="191"/>
      <c r="AM159" s="190"/>
      <c r="AN159" s="191"/>
      <c r="AO159" s="190"/>
      <c r="AP159" s="191"/>
      <c r="AQ159" s="190"/>
      <c r="AR159" s="191"/>
      <c r="AS159" s="190"/>
      <c r="AT159" s="191"/>
      <c r="AU159" s="190"/>
      <c r="AV159" s="191"/>
      <c r="AW159" s="190"/>
      <c r="AX159" s="191"/>
      <c r="AY159" s="190"/>
      <c r="AZ159" s="191"/>
      <c r="BA159" s="145" t="str">
        <f>IFERROR(INDEX($E$4:$AZ$4,SUMPRODUCT(MAX(COLUMN(Tbl_PDSAData[[#This Row],[D1]:[M24]])*(ListLookup!$G$3=Tbl_PDSAData[[#This Row],[D1]:[M24]]))-4)),"")</f>
        <v/>
      </c>
      <c r="BB159" s="145" t="str">
        <f>IFERROR(INDEX($E$4:$AZ$4,SUMPRODUCT(MAX(COLUMN(Tbl_PDSAData[[#This Row],[D1]:[M24]])*(ListLookup!$H$3=Tbl_PDSAData[[#This Row],[D1]:[M24]]))-4)),"")</f>
        <v/>
      </c>
    </row>
    <row r="160" spans="1:54" s="74" customFormat="1" x14ac:dyDescent="0.25">
      <c r="A160" s="189"/>
      <c r="B160" s="134" t="str">
        <f>IFERROR(INDEX(Tbl_ResidentData[Physician],MATCH(Tbl_PDSAData[[#This Row],[Resident Name (last, first)]],Tbl_ResidentData[Resident Name '[last, first']],0))&amp;"","")</f>
        <v/>
      </c>
      <c r="C160" s="135" t="str">
        <f>IFERROR(INDEX(Tbl_ResidentData[Diagnosis (RAI)],MATCH(Tbl_PDSAData[[#This Row],[Resident Name (last, first)]],Tbl_ResidentData[Resident Name '[last, first']],0))&amp;"","")</f>
        <v/>
      </c>
      <c r="D160" s="144" t="str">
        <f>IFERROR(INDEX(Tbl_ResidentData[Clinical Notes
'[free text']],MATCH(Tbl_PDSAData[[#This Row],[Resident Name (last, first)]],Tbl_ResidentData[Resident Name '[last, first']],0))&amp;"","")</f>
        <v/>
      </c>
      <c r="E160" s="190"/>
      <c r="F160" s="191"/>
      <c r="G160" s="190"/>
      <c r="H160" s="191"/>
      <c r="I160" s="190"/>
      <c r="J160" s="191"/>
      <c r="K160" s="190"/>
      <c r="L160" s="191"/>
      <c r="M160" s="190"/>
      <c r="N160" s="191"/>
      <c r="O160" s="190"/>
      <c r="P160" s="191"/>
      <c r="Q160" s="190"/>
      <c r="R160" s="191"/>
      <c r="S160" s="190"/>
      <c r="T160" s="191"/>
      <c r="U160" s="190"/>
      <c r="V160" s="191"/>
      <c r="W160" s="190"/>
      <c r="X160" s="191"/>
      <c r="Y160" s="190"/>
      <c r="Z160" s="191"/>
      <c r="AA160" s="190"/>
      <c r="AB160" s="191"/>
      <c r="AC160" s="190"/>
      <c r="AD160" s="191"/>
      <c r="AE160" s="190"/>
      <c r="AF160" s="191"/>
      <c r="AG160" s="190"/>
      <c r="AH160" s="191"/>
      <c r="AI160" s="190"/>
      <c r="AJ160" s="191"/>
      <c r="AK160" s="190"/>
      <c r="AL160" s="191"/>
      <c r="AM160" s="190"/>
      <c r="AN160" s="191"/>
      <c r="AO160" s="190"/>
      <c r="AP160" s="191"/>
      <c r="AQ160" s="190"/>
      <c r="AR160" s="191"/>
      <c r="AS160" s="190"/>
      <c r="AT160" s="191"/>
      <c r="AU160" s="190"/>
      <c r="AV160" s="191"/>
      <c r="AW160" s="190"/>
      <c r="AX160" s="191"/>
      <c r="AY160" s="190"/>
      <c r="AZ160" s="191"/>
      <c r="BA160" s="145" t="str">
        <f>IFERROR(INDEX($E$4:$AZ$4,SUMPRODUCT(MAX(COLUMN(Tbl_PDSAData[[#This Row],[D1]:[M24]])*(ListLookup!$G$3=Tbl_PDSAData[[#This Row],[D1]:[M24]]))-4)),"")</f>
        <v/>
      </c>
      <c r="BB160" s="145" t="str">
        <f>IFERROR(INDEX($E$4:$AZ$4,SUMPRODUCT(MAX(COLUMN(Tbl_PDSAData[[#This Row],[D1]:[M24]])*(ListLookup!$H$3=Tbl_PDSAData[[#This Row],[D1]:[M24]]))-4)),"")</f>
        <v/>
      </c>
    </row>
    <row r="161" spans="1:54" s="74" customFormat="1" x14ac:dyDescent="0.25">
      <c r="A161" s="189"/>
      <c r="B161" s="134" t="str">
        <f>IFERROR(INDEX(Tbl_ResidentData[Physician],MATCH(Tbl_PDSAData[[#This Row],[Resident Name (last, first)]],Tbl_ResidentData[Resident Name '[last, first']],0))&amp;"","")</f>
        <v/>
      </c>
      <c r="C161" s="135" t="str">
        <f>IFERROR(INDEX(Tbl_ResidentData[Diagnosis (RAI)],MATCH(Tbl_PDSAData[[#This Row],[Resident Name (last, first)]],Tbl_ResidentData[Resident Name '[last, first']],0))&amp;"","")</f>
        <v/>
      </c>
      <c r="D161" s="144" t="str">
        <f>IFERROR(INDEX(Tbl_ResidentData[Clinical Notes
'[free text']],MATCH(Tbl_PDSAData[[#This Row],[Resident Name (last, first)]],Tbl_ResidentData[Resident Name '[last, first']],0))&amp;"","")</f>
        <v/>
      </c>
      <c r="E161" s="190"/>
      <c r="F161" s="191"/>
      <c r="G161" s="190"/>
      <c r="H161" s="191"/>
      <c r="I161" s="190"/>
      <c r="J161" s="191"/>
      <c r="K161" s="190"/>
      <c r="L161" s="191"/>
      <c r="M161" s="190"/>
      <c r="N161" s="191"/>
      <c r="O161" s="190"/>
      <c r="P161" s="191"/>
      <c r="Q161" s="190"/>
      <c r="R161" s="191"/>
      <c r="S161" s="190"/>
      <c r="T161" s="191"/>
      <c r="U161" s="190"/>
      <c r="V161" s="191"/>
      <c r="W161" s="190"/>
      <c r="X161" s="191"/>
      <c r="Y161" s="190"/>
      <c r="Z161" s="191"/>
      <c r="AA161" s="190"/>
      <c r="AB161" s="191"/>
      <c r="AC161" s="190"/>
      <c r="AD161" s="191"/>
      <c r="AE161" s="190"/>
      <c r="AF161" s="191"/>
      <c r="AG161" s="190"/>
      <c r="AH161" s="191"/>
      <c r="AI161" s="190"/>
      <c r="AJ161" s="191"/>
      <c r="AK161" s="190"/>
      <c r="AL161" s="191"/>
      <c r="AM161" s="190"/>
      <c r="AN161" s="191"/>
      <c r="AO161" s="190"/>
      <c r="AP161" s="191"/>
      <c r="AQ161" s="190"/>
      <c r="AR161" s="191"/>
      <c r="AS161" s="190"/>
      <c r="AT161" s="191"/>
      <c r="AU161" s="190"/>
      <c r="AV161" s="191"/>
      <c r="AW161" s="190"/>
      <c r="AX161" s="191"/>
      <c r="AY161" s="190"/>
      <c r="AZ161" s="191"/>
      <c r="BA161" s="145" t="str">
        <f>IFERROR(INDEX($E$4:$AZ$4,SUMPRODUCT(MAX(COLUMN(Tbl_PDSAData[[#This Row],[D1]:[M24]])*(ListLookup!$G$3=Tbl_PDSAData[[#This Row],[D1]:[M24]]))-4)),"")</f>
        <v/>
      </c>
      <c r="BB161" s="145" t="str">
        <f>IFERROR(INDEX($E$4:$AZ$4,SUMPRODUCT(MAX(COLUMN(Tbl_PDSAData[[#This Row],[D1]:[M24]])*(ListLookup!$H$3=Tbl_PDSAData[[#This Row],[D1]:[M24]]))-4)),"")</f>
        <v/>
      </c>
    </row>
    <row r="162" spans="1:54" s="74" customFormat="1" x14ac:dyDescent="0.25">
      <c r="A162" s="189"/>
      <c r="B162" s="134" t="str">
        <f>IFERROR(INDEX(Tbl_ResidentData[Physician],MATCH(Tbl_PDSAData[[#This Row],[Resident Name (last, first)]],Tbl_ResidentData[Resident Name '[last, first']],0))&amp;"","")</f>
        <v/>
      </c>
      <c r="C162" s="135" t="str">
        <f>IFERROR(INDEX(Tbl_ResidentData[Diagnosis (RAI)],MATCH(Tbl_PDSAData[[#This Row],[Resident Name (last, first)]],Tbl_ResidentData[Resident Name '[last, first']],0))&amp;"","")</f>
        <v/>
      </c>
      <c r="D162" s="144" t="str">
        <f>IFERROR(INDEX(Tbl_ResidentData[Clinical Notes
'[free text']],MATCH(Tbl_PDSAData[[#This Row],[Resident Name (last, first)]],Tbl_ResidentData[Resident Name '[last, first']],0))&amp;"","")</f>
        <v/>
      </c>
      <c r="E162" s="190"/>
      <c r="F162" s="191"/>
      <c r="G162" s="190"/>
      <c r="H162" s="191"/>
      <c r="I162" s="190"/>
      <c r="J162" s="191"/>
      <c r="K162" s="190"/>
      <c r="L162" s="191"/>
      <c r="M162" s="190"/>
      <c r="N162" s="191"/>
      <c r="O162" s="190"/>
      <c r="P162" s="191"/>
      <c r="Q162" s="190"/>
      <c r="R162" s="191"/>
      <c r="S162" s="190"/>
      <c r="T162" s="191"/>
      <c r="U162" s="190"/>
      <c r="V162" s="191"/>
      <c r="W162" s="190"/>
      <c r="X162" s="191"/>
      <c r="Y162" s="190"/>
      <c r="Z162" s="191"/>
      <c r="AA162" s="190"/>
      <c r="AB162" s="191"/>
      <c r="AC162" s="190"/>
      <c r="AD162" s="191"/>
      <c r="AE162" s="190"/>
      <c r="AF162" s="191"/>
      <c r="AG162" s="190"/>
      <c r="AH162" s="191"/>
      <c r="AI162" s="190"/>
      <c r="AJ162" s="191"/>
      <c r="AK162" s="190"/>
      <c r="AL162" s="191"/>
      <c r="AM162" s="190"/>
      <c r="AN162" s="191"/>
      <c r="AO162" s="190"/>
      <c r="AP162" s="191"/>
      <c r="AQ162" s="190"/>
      <c r="AR162" s="191"/>
      <c r="AS162" s="190"/>
      <c r="AT162" s="191"/>
      <c r="AU162" s="190"/>
      <c r="AV162" s="191"/>
      <c r="AW162" s="190"/>
      <c r="AX162" s="191"/>
      <c r="AY162" s="190"/>
      <c r="AZ162" s="191"/>
      <c r="BA162" s="145" t="str">
        <f>IFERROR(INDEX($E$4:$AZ$4,SUMPRODUCT(MAX(COLUMN(Tbl_PDSAData[[#This Row],[D1]:[M24]])*(ListLookup!$G$3=Tbl_PDSAData[[#This Row],[D1]:[M24]]))-4)),"")</f>
        <v/>
      </c>
      <c r="BB162" s="145" t="str">
        <f>IFERROR(INDEX($E$4:$AZ$4,SUMPRODUCT(MAX(COLUMN(Tbl_PDSAData[[#This Row],[D1]:[M24]])*(ListLookup!$H$3=Tbl_PDSAData[[#This Row],[D1]:[M24]]))-4)),"")</f>
        <v/>
      </c>
    </row>
    <row r="163" spans="1:54" s="74" customFormat="1" x14ac:dyDescent="0.25">
      <c r="A163" s="189"/>
      <c r="B163" s="134" t="str">
        <f>IFERROR(INDEX(Tbl_ResidentData[Physician],MATCH(Tbl_PDSAData[[#This Row],[Resident Name (last, first)]],Tbl_ResidentData[Resident Name '[last, first']],0))&amp;"","")</f>
        <v/>
      </c>
      <c r="C163" s="135" t="str">
        <f>IFERROR(INDEX(Tbl_ResidentData[Diagnosis (RAI)],MATCH(Tbl_PDSAData[[#This Row],[Resident Name (last, first)]],Tbl_ResidentData[Resident Name '[last, first']],0))&amp;"","")</f>
        <v/>
      </c>
      <c r="D163" s="144" t="str">
        <f>IFERROR(INDEX(Tbl_ResidentData[Clinical Notes
'[free text']],MATCH(Tbl_PDSAData[[#This Row],[Resident Name (last, first)]],Tbl_ResidentData[Resident Name '[last, first']],0))&amp;"","")</f>
        <v/>
      </c>
      <c r="E163" s="190"/>
      <c r="F163" s="191"/>
      <c r="G163" s="190"/>
      <c r="H163" s="191"/>
      <c r="I163" s="190"/>
      <c r="J163" s="191"/>
      <c r="K163" s="190"/>
      <c r="L163" s="191"/>
      <c r="M163" s="190"/>
      <c r="N163" s="191"/>
      <c r="O163" s="190"/>
      <c r="P163" s="191"/>
      <c r="Q163" s="190"/>
      <c r="R163" s="191"/>
      <c r="S163" s="190"/>
      <c r="T163" s="191"/>
      <c r="U163" s="190"/>
      <c r="V163" s="191"/>
      <c r="W163" s="190"/>
      <c r="X163" s="191"/>
      <c r="Y163" s="190"/>
      <c r="Z163" s="191"/>
      <c r="AA163" s="190"/>
      <c r="AB163" s="191"/>
      <c r="AC163" s="190"/>
      <c r="AD163" s="191"/>
      <c r="AE163" s="190"/>
      <c r="AF163" s="191"/>
      <c r="AG163" s="190"/>
      <c r="AH163" s="191"/>
      <c r="AI163" s="190"/>
      <c r="AJ163" s="191"/>
      <c r="AK163" s="190"/>
      <c r="AL163" s="191"/>
      <c r="AM163" s="190"/>
      <c r="AN163" s="191"/>
      <c r="AO163" s="190"/>
      <c r="AP163" s="191"/>
      <c r="AQ163" s="190"/>
      <c r="AR163" s="191"/>
      <c r="AS163" s="190"/>
      <c r="AT163" s="191"/>
      <c r="AU163" s="190"/>
      <c r="AV163" s="191"/>
      <c r="AW163" s="190"/>
      <c r="AX163" s="191"/>
      <c r="AY163" s="190"/>
      <c r="AZ163" s="191"/>
      <c r="BA163" s="145" t="str">
        <f>IFERROR(INDEX($E$4:$AZ$4,SUMPRODUCT(MAX(COLUMN(Tbl_PDSAData[[#This Row],[D1]:[M24]])*(ListLookup!$G$3=Tbl_PDSAData[[#This Row],[D1]:[M24]]))-4)),"")</f>
        <v/>
      </c>
      <c r="BB163" s="145" t="str">
        <f>IFERROR(INDEX($E$4:$AZ$4,SUMPRODUCT(MAX(COLUMN(Tbl_PDSAData[[#This Row],[D1]:[M24]])*(ListLookup!$H$3=Tbl_PDSAData[[#This Row],[D1]:[M24]]))-4)),"")</f>
        <v/>
      </c>
    </row>
    <row r="164" spans="1:54" s="74" customFormat="1" x14ac:dyDescent="0.25">
      <c r="A164" s="189"/>
      <c r="B164" s="134" t="str">
        <f>IFERROR(INDEX(Tbl_ResidentData[Physician],MATCH(Tbl_PDSAData[[#This Row],[Resident Name (last, first)]],Tbl_ResidentData[Resident Name '[last, first']],0))&amp;"","")</f>
        <v/>
      </c>
      <c r="C164" s="135" t="str">
        <f>IFERROR(INDEX(Tbl_ResidentData[Diagnosis (RAI)],MATCH(Tbl_PDSAData[[#This Row],[Resident Name (last, first)]],Tbl_ResidentData[Resident Name '[last, first']],0))&amp;"","")</f>
        <v/>
      </c>
      <c r="D164" s="144" t="str">
        <f>IFERROR(INDEX(Tbl_ResidentData[Clinical Notes
'[free text']],MATCH(Tbl_PDSAData[[#This Row],[Resident Name (last, first)]],Tbl_ResidentData[Resident Name '[last, first']],0))&amp;"","")</f>
        <v/>
      </c>
      <c r="E164" s="190"/>
      <c r="F164" s="191"/>
      <c r="G164" s="190"/>
      <c r="H164" s="191"/>
      <c r="I164" s="190"/>
      <c r="J164" s="191"/>
      <c r="K164" s="190"/>
      <c r="L164" s="191"/>
      <c r="M164" s="190"/>
      <c r="N164" s="191"/>
      <c r="O164" s="190"/>
      <c r="P164" s="191"/>
      <c r="Q164" s="190"/>
      <c r="R164" s="191"/>
      <c r="S164" s="190"/>
      <c r="T164" s="191"/>
      <c r="U164" s="190"/>
      <c r="V164" s="191"/>
      <c r="W164" s="190"/>
      <c r="X164" s="191"/>
      <c r="Y164" s="190"/>
      <c r="Z164" s="191"/>
      <c r="AA164" s="190"/>
      <c r="AB164" s="191"/>
      <c r="AC164" s="190"/>
      <c r="AD164" s="191"/>
      <c r="AE164" s="190"/>
      <c r="AF164" s="191"/>
      <c r="AG164" s="190"/>
      <c r="AH164" s="191"/>
      <c r="AI164" s="190"/>
      <c r="AJ164" s="191"/>
      <c r="AK164" s="190"/>
      <c r="AL164" s="191"/>
      <c r="AM164" s="190"/>
      <c r="AN164" s="191"/>
      <c r="AO164" s="190"/>
      <c r="AP164" s="191"/>
      <c r="AQ164" s="190"/>
      <c r="AR164" s="191"/>
      <c r="AS164" s="190"/>
      <c r="AT164" s="191"/>
      <c r="AU164" s="190"/>
      <c r="AV164" s="191"/>
      <c r="AW164" s="190"/>
      <c r="AX164" s="191"/>
      <c r="AY164" s="190"/>
      <c r="AZ164" s="191"/>
      <c r="BA164" s="145" t="str">
        <f>IFERROR(INDEX($E$4:$AZ$4,SUMPRODUCT(MAX(COLUMN(Tbl_PDSAData[[#This Row],[D1]:[M24]])*(ListLookup!$G$3=Tbl_PDSAData[[#This Row],[D1]:[M24]]))-4)),"")</f>
        <v/>
      </c>
      <c r="BB164" s="145" t="str">
        <f>IFERROR(INDEX($E$4:$AZ$4,SUMPRODUCT(MAX(COLUMN(Tbl_PDSAData[[#This Row],[D1]:[M24]])*(ListLookup!$H$3=Tbl_PDSAData[[#This Row],[D1]:[M24]]))-4)),"")</f>
        <v/>
      </c>
    </row>
    <row r="165" spans="1:54" s="74" customFormat="1" x14ac:dyDescent="0.25">
      <c r="A165" s="189"/>
      <c r="B165" s="134" t="str">
        <f>IFERROR(INDEX(Tbl_ResidentData[Physician],MATCH(Tbl_PDSAData[[#This Row],[Resident Name (last, first)]],Tbl_ResidentData[Resident Name '[last, first']],0))&amp;"","")</f>
        <v/>
      </c>
      <c r="C165" s="135" t="str">
        <f>IFERROR(INDEX(Tbl_ResidentData[Diagnosis (RAI)],MATCH(Tbl_PDSAData[[#This Row],[Resident Name (last, first)]],Tbl_ResidentData[Resident Name '[last, first']],0))&amp;"","")</f>
        <v/>
      </c>
      <c r="D165" s="144" t="str">
        <f>IFERROR(INDEX(Tbl_ResidentData[Clinical Notes
'[free text']],MATCH(Tbl_PDSAData[[#This Row],[Resident Name (last, first)]],Tbl_ResidentData[Resident Name '[last, first']],0))&amp;"","")</f>
        <v/>
      </c>
      <c r="E165" s="190"/>
      <c r="F165" s="191"/>
      <c r="G165" s="190"/>
      <c r="H165" s="191"/>
      <c r="I165" s="190"/>
      <c r="J165" s="191"/>
      <c r="K165" s="190"/>
      <c r="L165" s="191"/>
      <c r="M165" s="190"/>
      <c r="N165" s="191"/>
      <c r="O165" s="190"/>
      <c r="P165" s="191"/>
      <c r="Q165" s="190"/>
      <c r="R165" s="191"/>
      <c r="S165" s="190"/>
      <c r="T165" s="191"/>
      <c r="U165" s="190"/>
      <c r="V165" s="191"/>
      <c r="W165" s="190"/>
      <c r="X165" s="191"/>
      <c r="Y165" s="190"/>
      <c r="Z165" s="191"/>
      <c r="AA165" s="190"/>
      <c r="AB165" s="191"/>
      <c r="AC165" s="190"/>
      <c r="AD165" s="191"/>
      <c r="AE165" s="190"/>
      <c r="AF165" s="191"/>
      <c r="AG165" s="190"/>
      <c r="AH165" s="191"/>
      <c r="AI165" s="190"/>
      <c r="AJ165" s="191"/>
      <c r="AK165" s="190"/>
      <c r="AL165" s="191"/>
      <c r="AM165" s="190"/>
      <c r="AN165" s="191"/>
      <c r="AO165" s="190"/>
      <c r="AP165" s="191"/>
      <c r="AQ165" s="190"/>
      <c r="AR165" s="191"/>
      <c r="AS165" s="190"/>
      <c r="AT165" s="191"/>
      <c r="AU165" s="190"/>
      <c r="AV165" s="191"/>
      <c r="AW165" s="190"/>
      <c r="AX165" s="191"/>
      <c r="AY165" s="190"/>
      <c r="AZ165" s="191"/>
      <c r="BA165" s="145" t="str">
        <f>IFERROR(INDEX($E$4:$AZ$4,SUMPRODUCT(MAX(COLUMN(Tbl_PDSAData[[#This Row],[D1]:[M24]])*(ListLookup!$G$3=Tbl_PDSAData[[#This Row],[D1]:[M24]]))-4)),"")</f>
        <v/>
      </c>
      <c r="BB165" s="145" t="str">
        <f>IFERROR(INDEX($E$4:$AZ$4,SUMPRODUCT(MAX(COLUMN(Tbl_PDSAData[[#This Row],[D1]:[M24]])*(ListLookup!$H$3=Tbl_PDSAData[[#This Row],[D1]:[M24]]))-4)),"")</f>
        <v/>
      </c>
    </row>
    <row r="166" spans="1:54" s="74" customFormat="1" x14ac:dyDescent="0.25">
      <c r="A166" s="189"/>
      <c r="B166" s="134" t="str">
        <f>IFERROR(INDEX(Tbl_ResidentData[Physician],MATCH(Tbl_PDSAData[[#This Row],[Resident Name (last, first)]],Tbl_ResidentData[Resident Name '[last, first']],0))&amp;"","")</f>
        <v/>
      </c>
      <c r="C166" s="135" t="str">
        <f>IFERROR(INDEX(Tbl_ResidentData[Diagnosis (RAI)],MATCH(Tbl_PDSAData[[#This Row],[Resident Name (last, first)]],Tbl_ResidentData[Resident Name '[last, first']],0))&amp;"","")</f>
        <v/>
      </c>
      <c r="D166" s="144" t="str">
        <f>IFERROR(INDEX(Tbl_ResidentData[Clinical Notes
'[free text']],MATCH(Tbl_PDSAData[[#This Row],[Resident Name (last, first)]],Tbl_ResidentData[Resident Name '[last, first']],0))&amp;"","")</f>
        <v/>
      </c>
      <c r="E166" s="190"/>
      <c r="F166" s="191"/>
      <c r="G166" s="190"/>
      <c r="H166" s="191"/>
      <c r="I166" s="190"/>
      <c r="J166" s="191"/>
      <c r="K166" s="190"/>
      <c r="L166" s="191"/>
      <c r="M166" s="190"/>
      <c r="N166" s="191"/>
      <c r="O166" s="190"/>
      <c r="P166" s="191"/>
      <c r="Q166" s="190"/>
      <c r="R166" s="191"/>
      <c r="S166" s="190"/>
      <c r="T166" s="191"/>
      <c r="U166" s="190"/>
      <c r="V166" s="191"/>
      <c r="W166" s="190"/>
      <c r="X166" s="191"/>
      <c r="Y166" s="190"/>
      <c r="Z166" s="191"/>
      <c r="AA166" s="190"/>
      <c r="AB166" s="191"/>
      <c r="AC166" s="190"/>
      <c r="AD166" s="191"/>
      <c r="AE166" s="190"/>
      <c r="AF166" s="191"/>
      <c r="AG166" s="190"/>
      <c r="AH166" s="191"/>
      <c r="AI166" s="190"/>
      <c r="AJ166" s="191"/>
      <c r="AK166" s="190"/>
      <c r="AL166" s="191"/>
      <c r="AM166" s="190"/>
      <c r="AN166" s="191"/>
      <c r="AO166" s="190"/>
      <c r="AP166" s="191"/>
      <c r="AQ166" s="190"/>
      <c r="AR166" s="191"/>
      <c r="AS166" s="190"/>
      <c r="AT166" s="191"/>
      <c r="AU166" s="190"/>
      <c r="AV166" s="191"/>
      <c r="AW166" s="190"/>
      <c r="AX166" s="191"/>
      <c r="AY166" s="190"/>
      <c r="AZ166" s="191"/>
      <c r="BA166" s="145" t="str">
        <f>IFERROR(INDEX($E$4:$AZ$4,SUMPRODUCT(MAX(COLUMN(Tbl_PDSAData[[#This Row],[D1]:[M24]])*(ListLookup!$G$3=Tbl_PDSAData[[#This Row],[D1]:[M24]]))-4)),"")</f>
        <v/>
      </c>
      <c r="BB166" s="145" t="str">
        <f>IFERROR(INDEX($E$4:$AZ$4,SUMPRODUCT(MAX(COLUMN(Tbl_PDSAData[[#This Row],[D1]:[M24]])*(ListLookup!$H$3=Tbl_PDSAData[[#This Row],[D1]:[M24]]))-4)),"")</f>
        <v/>
      </c>
    </row>
    <row r="167" spans="1:54" s="74" customFormat="1" x14ac:dyDescent="0.25">
      <c r="A167" s="189"/>
      <c r="B167" s="134" t="str">
        <f>IFERROR(INDEX(Tbl_ResidentData[Physician],MATCH(Tbl_PDSAData[[#This Row],[Resident Name (last, first)]],Tbl_ResidentData[Resident Name '[last, first']],0))&amp;"","")</f>
        <v/>
      </c>
      <c r="C167" s="135" t="str">
        <f>IFERROR(INDEX(Tbl_ResidentData[Diagnosis (RAI)],MATCH(Tbl_PDSAData[[#This Row],[Resident Name (last, first)]],Tbl_ResidentData[Resident Name '[last, first']],0))&amp;"","")</f>
        <v/>
      </c>
      <c r="D167" s="144" t="str">
        <f>IFERROR(INDEX(Tbl_ResidentData[Clinical Notes
'[free text']],MATCH(Tbl_PDSAData[[#This Row],[Resident Name (last, first)]],Tbl_ResidentData[Resident Name '[last, first']],0))&amp;"","")</f>
        <v/>
      </c>
      <c r="E167" s="190"/>
      <c r="F167" s="191"/>
      <c r="G167" s="190"/>
      <c r="H167" s="191"/>
      <c r="I167" s="190"/>
      <c r="J167" s="191"/>
      <c r="K167" s="190"/>
      <c r="L167" s="191"/>
      <c r="M167" s="190"/>
      <c r="N167" s="191"/>
      <c r="O167" s="190"/>
      <c r="P167" s="191"/>
      <c r="Q167" s="190"/>
      <c r="R167" s="191"/>
      <c r="S167" s="190"/>
      <c r="T167" s="191"/>
      <c r="U167" s="190"/>
      <c r="V167" s="191"/>
      <c r="W167" s="190"/>
      <c r="X167" s="191"/>
      <c r="Y167" s="190"/>
      <c r="Z167" s="191"/>
      <c r="AA167" s="190"/>
      <c r="AB167" s="191"/>
      <c r="AC167" s="190"/>
      <c r="AD167" s="191"/>
      <c r="AE167" s="190"/>
      <c r="AF167" s="191"/>
      <c r="AG167" s="190"/>
      <c r="AH167" s="191"/>
      <c r="AI167" s="190"/>
      <c r="AJ167" s="191"/>
      <c r="AK167" s="190"/>
      <c r="AL167" s="191"/>
      <c r="AM167" s="190"/>
      <c r="AN167" s="191"/>
      <c r="AO167" s="190"/>
      <c r="AP167" s="191"/>
      <c r="AQ167" s="190"/>
      <c r="AR167" s="191"/>
      <c r="AS167" s="190"/>
      <c r="AT167" s="191"/>
      <c r="AU167" s="190"/>
      <c r="AV167" s="191"/>
      <c r="AW167" s="190"/>
      <c r="AX167" s="191"/>
      <c r="AY167" s="190"/>
      <c r="AZ167" s="191"/>
      <c r="BA167" s="145" t="str">
        <f>IFERROR(INDEX($E$4:$AZ$4,SUMPRODUCT(MAX(COLUMN(Tbl_PDSAData[[#This Row],[D1]:[M24]])*(ListLookup!$G$3=Tbl_PDSAData[[#This Row],[D1]:[M24]]))-4)),"")</f>
        <v/>
      </c>
      <c r="BB167" s="145" t="str">
        <f>IFERROR(INDEX($E$4:$AZ$4,SUMPRODUCT(MAX(COLUMN(Tbl_PDSAData[[#This Row],[D1]:[M24]])*(ListLookup!$H$3=Tbl_PDSAData[[#This Row],[D1]:[M24]]))-4)),"")</f>
        <v/>
      </c>
    </row>
    <row r="168" spans="1:54" s="74" customFormat="1" x14ac:dyDescent="0.25">
      <c r="A168" s="189"/>
      <c r="B168" s="134" t="str">
        <f>IFERROR(INDEX(Tbl_ResidentData[Physician],MATCH(Tbl_PDSAData[[#This Row],[Resident Name (last, first)]],Tbl_ResidentData[Resident Name '[last, first']],0))&amp;"","")</f>
        <v/>
      </c>
      <c r="C168" s="135" t="str">
        <f>IFERROR(INDEX(Tbl_ResidentData[Diagnosis (RAI)],MATCH(Tbl_PDSAData[[#This Row],[Resident Name (last, first)]],Tbl_ResidentData[Resident Name '[last, first']],0))&amp;"","")</f>
        <v/>
      </c>
      <c r="D168" s="144" t="str">
        <f>IFERROR(INDEX(Tbl_ResidentData[Clinical Notes
'[free text']],MATCH(Tbl_PDSAData[[#This Row],[Resident Name (last, first)]],Tbl_ResidentData[Resident Name '[last, first']],0))&amp;"","")</f>
        <v/>
      </c>
      <c r="E168" s="190"/>
      <c r="F168" s="191"/>
      <c r="G168" s="190"/>
      <c r="H168" s="191"/>
      <c r="I168" s="190"/>
      <c r="J168" s="191"/>
      <c r="K168" s="190"/>
      <c r="L168" s="191"/>
      <c r="M168" s="190"/>
      <c r="N168" s="191"/>
      <c r="O168" s="190"/>
      <c r="P168" s="191"/>
      <c r="Q168" s="190"/>
      <c r="R168" s="191"/>
      <c r="S168" s="190"/>
      <c r="T168" s="191"/>
      <c r="U168" s="190"/>
      <c r="V168" s="191"/>
      <c r="W168" s="190"/>
      <c r="X168" s="191"/>
      <c r="Y168" s="190"/>
      <c r="Z168" s="191"/>
      <c r="AA168" s="190"/>
      <c r="AB168" s="191"/>
      <c r="AC168" s="190"/>
      <c r="AD168" s="191"/>
      <c r="AE168" s="190"/>
      <c r="AF168" s="191"/>
      <c r="AG168" s="190"/>
      <c r="AH168" s="191"/>
      <c r="AI168" s="190"/>
      <c r="AJ168" s="191"/>
      <c r="AK168" s="190"/>
      <c r="AL168" s="191"/>
      <c r="AM168" s="190"/>
      <c r="AN168" s="191"/>
      <c r="AO168" s="190"/>
      <c r="AP168" s="191"/>
      <c r="AQ168" s="190"/>
      <c r="AR168" s="191"/>
      <c r="AS168" s="190"/>
      <c r="AT168" s="191"/>
      <c r="AU168" s="190"/>
      <c r="AV168" s="191"/>
      <c r="AW168" s="190"/>
      <c r="AX168" s="191"/>
      <c r="AY168" s="190"/>
      <c r="AZ168" s="191"/>
      <c r="BA168" s="145" t="str">
        <f>IFERROR(INDEX($E$4:$AZ$4,SUMPRODUCT(MAX(COLUMN(Tbl_PDSAData[[#This Row],[D1]:[M24]])*(ListLookup!$G$3=Tbl_PDSAData[[#This Row],[D1]:[M24]]))-4)),"")</f>
        <v/>
      </c>
      <c r="BB168" s="145" t="str">
        <f>IFERROR(INDEX($E$4:$AZ$4,SUMPRODUCT(MAX(COLUMN(Tbl_PDSAData[[#This Row],[D1]:[M24]])*(ListLookup!$H$3=Tbl_PDSAData[[#This Row],[D1]:[M24]]))-4)),"")</f>
        <v/>
      </c>
    </row>
    <row r="169" spans="1:54" s="74" customFormat="1" x14ac:dyDescent="0.25">
      <c r="A169" s="189"/>
      <c r="B169" s="134" t="str">
        <f>IFERROR(INDEX(Tbl_ResidentData[Physician],MATCH(Tbl_PDSAData[[#This Row],[Resident Name (last, first)]],Tbl_ResidentData[Resident Name '[last, first']],0))&amp;"","")</f>
        <v/>
      </c>
      <c r="C169" s="135" t="str">
        <f>IFERROR(INDEX(Tbl_ResidentData[Diagnosis (RAI)],MATCH(Tbl_PDSAData[[#This Row],[Resident Name (last, first)]],Tbl_ResidentData[Resident Name '[last, first']],0))&amp;"","")</f>
        <v/>
      </c>
      <c r="D169" s="144" t="str">
        <f>IFERROR(INDEX(Tbl_ResidentData[Clinical Notes
'[free text']],MATCH(Tbl_PDSAData[[#This Row],[Resident Name (last, first)]],Tbl_ResidentData[Resident Name '[last, first']],0))&amp;"","")</f>
        <v/>
      </c>
      <c r="E169" s="190"/>
      <c r="F169" s="191"/>
      <c r="G169" s="190"/>
      <c r="H169" s="191"/>
      <c r="I169" s="190"/>
      <c r="J169" s="191"/>
      <c r="K169" s="190"/>
      <c r="L169" s="191"/>
      <c r="M169" s="190"/>
      <c r="N169" s="191"/>
      <c r="O169" s="190"/>
      <c r="P169" s="191"/>
      <c r="Q169" s="190"/>
      <c r="R169" s="191"/>
      <c r="S169" s="190"/>
      <c r="T169" s="191"/>
      <c r="U169" s="190"/>
      <c r="V169" s="191"/>
      <c r="W169" s="190"/>
      <c r="X169" s="191"/>
      <c r="Y169" s="190"/>
      <c r="Z169" s="191"/>
      <c r="AA169" s="190"/>
      <c r="AB169" s="191"/>
      <c r="AC169" s="190"/>
      <c r="AD169" s="191"/>
      <c r="AE169" s="190"/>
      <c r="AF169" s="191"/>
      <c r="AG169" s="190"/>
      <c r="AH169" s="191"/>
      <c r="AI169" s="190"/>
      <c r="AJ169" s="191"/>
      <c r="AK169" s="190"/>
      <c r="AL169" s="191"/>
      <c r="AM169" s="190"/>
      <c r="AN169" s="191"/>
      <c r="AO169" s="190"/>
      <c r="AP169" s="191"/>
      <c r="AQ169" s="190"/>
      <c r="AR169" s="191"/>
      <c r="AS169" s="190"/>
      <c r="AT169" s="191"/>
      <c r="AU169" s="190"/>
      <c r="AV169" s="191"/>
      <c r="AW169" s="190"/>
      <c r="AX169" s="191"/>
      <c r="AY169" s="190"/>
      <c r="AZ169" s="191"/>
      <c r="BA169" s="145" t="str">
        <f>IFERROR(INDEX($E$4:$AZ$4,SUMPRODUCT(MAX(COLUMN(Tbl_PDSAData[[#This Row],[D1]:[M24]])*(ListLookup!$G$3=Tbl_PDSAData[[#This Row],[D1]:[M24]]))-4)),"")</f>
        <v/>
      </c>
      <c r="BB169" s="145" t="str">
        <f>IFERROR(INDEX($E$4:$AZ$4,SUMPRODUCT(MAX(COLUMN(Tbl_PDSAData[[#This Row],[D1]:[M24]])*(ListLookup!$H$3=Tbl_PDSAData[[#This Row],[D1]:[M24]]))-4)),"")</f>
        <v/>
      </c>
    </row>
    <row r="170" spans="1:54" s="74" customFormat="1" x14ac:dyDescent="0.25">
      <c r="A170" s="189"/>
      <c r="B170" s="134" t="str">
        <f>IFERROR(INDEX(Tbl_ResidentData[Physician],MATCH(Tbl_PDSAData[[#This Row],[Resident Name (last, first)]],Tbl_ResidentData[Resident Name '[last, first']],0))&amp;"","")</f>
        <v/>
      </c>
      <c r="C170" s="135" t="str">
        <f>IFERROR(INDEX(Tbl_ResidentData[Diagnosis (RAI)],MATCH(Tbl_PDSAData[[#This Row],[Resident Name (last, first)]],Tbl_ResidentData[Resident Name '[last, first']],0))&amp;"","")</f>
        <v/>
      </c>
      <c r="D170" s="144" t="str">
        <f>IFERROR(INDEX(Tbl_ResidentData[Clinical Notes
'[free text']],MATCH(Tbl_PDSAData[[#This Row],[Resident Name (last, first)]],Tbl_ResidentData[Resident Name '[last, first']],0))&amp;"","")</f>
        <v/>
      </c>
      <c r="E170" s="190"/>
      <c r="F170" s="191"/>
      <c r="G170" s="190"/>
      <c r="H170" s="191"/>
      <c r="I170" s="190"/>
      <c r="J170" s="191"/>
      <c r="K170" s="190"/>
      <c r="L170" s="191"/>
      <c r="M170" s="190"/>
      <c r="N170" s="191"/>
      <c r="O170" s="190"/>
      <c r="P170" s="191"/>
      <c r="Q170" s="190"/>
      <c r="R170" s="191"/>
      <c r="S170" s="190"/>
      <c r="T170" s="191"/>
      <c r="U170" s="190"/>
      <c r="V170" s="191"/>
      <c r="W170" s="190"/>
      <c r="X170" s="191"/>
      <c r="Y170" s="190"/>
      <c r="Z170" s="191"/>
      <c r="AA170" s="190"/>
      <c r="AB170" s="191"/>
      <c r="AC170" s="190"/>
      <c r="AD170" s="191"/>
      <c r="AE170" s="190"/>
      <c r="AF170" s="191"/>
      <c r="AG170" s="190"/>
      <c r="AH170" s="191"/>
      <c r="AI170" s="190"/>
      <c r="AJ170" s="191"/>
      <c r="AK170" s="190"/>
      <c r="AL170" s="191"/>
      <c r="AM170" s="190"/>
      <c r="AN170" s="191"/>
      <c r="AO170" s="190"/>
      <c r="AP170" s="191"/>
      <c r="AQ170" s="190"/>
      <c r="AR170" s="191"/>
      <c r="AS170" s="190"/>
      <c r="AT170" s="191"/>
      <c r="AU170" s="190"/>
      <c r="AV170" s="191"/>
      <c r="AW170" s="190"/>
      <c r="AX170" s="191"/>
      <c r="AY170" s="190"/>
      <c r="AZ170" s="191"/>
      <c r="BA170" s="145" t="str">
        <f>IFERROR(INDEX($E$4:$AZ$4,SUMPRODUCT(MAX(COLUMN(Tbl_PDSAData[[#This Row],[D1]:[M24]])*(ListLookup!$G$3=Tbl_PDSAData[[#This Row],[D1]:[M24]]))-4)),"")</f>
        <v/>
      </c>
      <c r="BB170" s="145" t="str">
        <f>IFERROR(INDEX($E$4:$AZ$4,SUMPRODUCT(MAX(COLUMN(Tbl_PDSAData[[#This Row],[D1]:[M24]])*(ListLookup!$H$3=Tbl_PDSAData[[#This Row],[D1]:[M24]]))-4)),"")</f>
        <v/>
      </c>
    </row>
    <row r="171" spans="1:54" s="74" customFormat="1" x14ac:dyDescent="0.25">
      <c r="A171" s="189"/>
      <c r="B171" s="134" t="str">
        <f>IFERROR(INDEX(Tbl_ResidentData[Physician],MATCH(Tbl_PDSAData[[#This Row],[Resident Name (last, first)]],Tbl_ResidentData[Resident Name '[last, first']],0))&amp;"","")</f>
        <v/>
      </c>
      <c r="C171" s="135" t="str">
        <f>IFERROR(INDEX(Tbl_ResidentData[Diagnosis (RAI)],MATCH(Tbl_PDSAData[[#This Row],[Resident Name (last, first)]],Tbl_ResidentData[Resident Name '[last, first']],0))&amp;"","")</f>
        <v/>
      </c>
      <c r="D171" s="144" t="str">
        <f>IFERROR(INDEX(Tbl_ResidentData[Clinical Notes
'[free text']],MATCH(Tbl_PDSAData[[#This Row],[Resident Name (last, first)]],Tbl_ResidentData[Resident Name '[last, first']],0))&amp;"","")</f>
        <v/>
      </c>
      <c r="E171" s="190"/>
      <c r="F171" s="191"/>
      <c r="G171" s="190"/>
      <c r="H171" s="191"/>
      <c r="I171" s="190"/>
      <c r="J171" s="191"/>
      <c r="K171" s="190"/>
      <c r="L171" s="191"/>
      <c r="M171" s="190"/>
      <c r="N171" s="191"/>
      <c r="O171" s="190"/>
      <c r="P171" s="191"/>
      <c r="Q171" s="190"/>
      <c r="R171" s="191"/>
      <c r="S171" s="190"/>
      <c r="T171" s="191"/>
      <c r="U171" s="190"/>
      <c r="V171" s="191"/>
      <c r="W171" s="190"/>
      <c r="X171" s="191"/>
      <c r="Y171" s="190"/>
      <c r="Z171" s="191"/>
      <c r="AA171" s="190"/>
      <c r="AB171" s="191"/>
      <c r="AC171" s="190"/>
      <c r="AD171" s="191"/>
      <c r="AE171" s="190"/>
      <c r="AF171" s="191"/>
      <c r="AG171" s="190"/>
      <c r="AH171" s="191"/>
      <c r="AI171" s="190"/>
      <c r="AJ171" s="191"/>
      <c r="AK171" s="190"/>
      <c r="AL171" s="191"/>
      <c r="AM171" s="190"/>
      <c r="AN171" s="191"/>
      <c r="AO171" s="190"/>
      <c r="AP171" s="191"/>
      <c r="AQ171" s="190"/>
      <c r="AR171" s="191"/>
      <c r="AS171" s="190"/>
      <c r="AT171" s="191"/>
      <c r="AU171" s="190"/>
      <c r="AV171" s="191"/>
      <c r="AW171" s="190"/>
      <c r="AX171" s="191"/>
      <c r="AY171" s="190"/>
      <c r="AZ171" s="191"/>
      <c r="BA171" s="145" t="str">
        <f>IFERROR(INDEX($E$4:$AZ$4,SUMPRODUCT(MAX(COLUMN(Tbl_PDSAData[[#This Row],[D1]:[M24]])*(ListLookup!$G$3=Tbl_PDSAData[[#This Row],[D1]:[M24]]))-4)),"")</f>
        <v/>
      </c>
      <c r="BB171" s="145" t="str">
        <f>IFERROR(INDEX($E$4:$AZ$4,SUMPRODUCT(MAX(COLUMN(Tbl_PDSAData[[#This Row],[D1]:[M24]])*(ListLookup!$H$3=Tbl_PDSAData[[#This Row],[D1]:[M24]]))-4)),"")</f>
        <v/>
      </c>
    </row>
    <row r="172" spans="1:54" s="74" customFormat="1" x14ac:dyDescent="0.25">
      <c r="A172" s="189"/>
      <c r="B172" s="134" t="str">
        <f>IFERROR(INDEX(Tbl_ResidentData[Physician],MATCH(Tbl_PDSAData[[#This Row],[Resident Name (last, first)]],Tbl_ResidentData[Resident Name '[last, first']],0))&amp;"","")</f>
        <v/>
      </c>
      <c r="C172" s="135" t="str">
        <f>IFERROR(INDEX(Tbl_ResidentData[Diagnosis (RAI)],MATCH(Tbl_PDSAData[[#This Row],[Resident Name (last, first)]],Tbl_ResidentData[Resident Name '[last, first']],0))&amp;"","")</f>
        <v/>
      </c>
      <c r="D172" s="144" t="str">
        <f>IFERROR(INDEX(Tbl_ResidentData[Clinical Notes
'[free text']],MATCH(Tbl_PDSAData[[#This Row],[Resident Name (last, first)]],Tbl_ResidentData[Resident Name '[last, first']],0))&amp;"","")</f>
        <v/>
      </c>
      <c r="E172" s="190"/>
      <c r="F172" s="191"/>
      <c r="G172" s="190"/>
      <c r="H172" s="191"/>
      <c r="I172" s="190"/>
      <c r="J172" s="191"/>
      <c r="K172" s="190"/>
      <c r="L172" s="191"/>
      <c r="M172" s="190"/>
      <c r="N172" s="191"/>
      <c r="O172" s="190"/>
      <c r="P172" s="191"/>
      <c r="Q172" s="190"/>
      <c r="R172" s="191"/>
      <c r="S172" s="190"/>
      <c r="T172" s="191"/>
      <c r="U172" s="190"/>
      <c r="V172" s="191"/>
      <c r="W172" s="190"/>
      <c r="X172" s="191"/>
      <c r="Y172" s="190"/>
      <c r="Z172" s="191"/>
      <c r="AA172" s="190"/>
      <c r="AB172" s="191"/>
      <c r="AC172" s="190"/>
      <c r="AD172" s="191"/>
      <c r="AE172" s="190"/>
      <c r="AF172" s="191"/>
      <c r="AG172" s="190"/>
      <c r="AH172" s="191"/>
      <c r="AI172" s="190"/>
      <c r="AJ172" s="191"/>
      <c r="AK172" s="190"/>
      <c r="AL172" s="191"/>
      <c r="AM172" s="190"/>
      <c r="AN172" s="191"/>
      <c r="AO172" s="190"/>
      <c r="AP172" s="191"/>
      <c r="AQ172" s="190"/>
      <c r="AR172" s="191"/>
      <c r="AS172" s="190"/>
      <c r="AT172" s="191"/>
      <c r="AU172" s="190"/>
      <c r="AV172" s="191"/>
      <c r="AW172" s="190"/>
      <c r="AX172" s="191"/>
      <c r="AY172" s="190"/>
      <c r="AZ172" s="191"/>
      <c r="BA172" s="145" t="str">
        <f>IFERROR(INDEX($E$4:$AZ$4,SUMPRODUCT(MAX(COLUMN(Tbl_PDSAData[[#This Row],[D1]:[M24]])*(ListLookup!$G$3=Tbl_PDSAData[[#This Row],[D1]:[M24]]))-4)),"")</f>
        <v/>
      </c>
      <c r="BB172" s="145" t="str">
        <f>IFERROR(INDEX($E$4:$AZ$4,SUMPRODUCT(MAX(COLUMN(Tbl_PDSAData[[#This Row],[D1]:[M24]])*(ListLookup!$H$3=Tbl_PDSAData[[#This Row],[D1]:[M24]]))-4)),"")</f>
        <v/>
      </c>
    </row>
    <row r="173" spans="1:54" s="74" customFormat="1" x14ac:dyDescent="0.25">
      <c r="A173" s="189"/>
      <c r="B173" s="134" t="str">
        <f>IFERROR(INDEX(Tbl_ResidentData[Physician],MATCH(Tbl_PDSAData[[#This Row],[Resident Name (last, first)]],Tbl_ResidentData[Resident Name '[last, first']],0))&amp;"","")</f>
        <v/>
      </c>
      <c r="C173" s="135" t="str">
        <f>IFERROR(INDEX(Tbl_ResidentData[Diagnosis (RAI)],MATCH(Tbl_PDSAData[[#This Row],[Resident Name (last, first)]],Tbl_ResidentData[Resident Name '[last, first']],0))&amp;"","")</f>
        <v/>
      </c>
      <c r="D173" s="144" t="str">
        <f>IFERROR(INDEX(Tbl_ResidentData[Clinical Notes
'[free text']],MATCH(Tbl_PDSAData[[#This Row],[Resident Name (last, first)]],Tbl_ResidentData[Resident Name '[last, first']],0))&amp;"","")</f>
        <v/>
      </c>
      <c r="E173" s="190"/>
      <c r="F173" s="191"/>
      <c r="G173" s="190"/>
      <c r="H173" s="191"/>
      <c r="I173" s="190"/>
      <c r="J173" s="191"/>
      <c r="K173" s="190"/>
      <c r="L173" s="191"/>
      <c r="M173" s="190"/>
      <c r="N173" s="191"/>
      <c r="O173" s="190"/>
      <c r="P173" s="191"/>
      <c r="Q173" s="190"/>
      <c r="R173" s="191"/>
      <c r="S173" s="190"/>
      <c r="T173" s="191"/>
      <c r="U173" s="190"/>
      <c r="V173" s="191"/>
      <c r="W173" s="190"/>
      <c r="X173" s="191"/>
      <c r="Y173" s="190"/>
      <c r="Z173" s="191"/>
      <c r="AA173" s="190"/>
      <c r="AB173" s="191"/>
      <c r="AC173" s="190"/>
      <c r="AD173" s="191"/>
      <c r="AE173" s="190"/>
      <c r="AF173" s="191"/>
      <c r="AG173" s="190"/>
      <c r="AH173" s="191"/>
      <c r="AI173" s="190"/>
      <c r="AJ173" s="191"/>
      <c r="AK173" s="190"/>
      <c r="AL173" s="191"/>
      <c r="AM173" s="190"/>
      <c r="AN173" s="191"/>
      <c r="AO173" s="190"/>
      <c r="AP173" s="191"/>
      <c r="AQ173" s="190"/>
      <c r="AR173" s="191"/>
      <c r="AS173" s="190"/>
      <c r="AT173" s="191"/>
      <c r="AU173" s="190"/>
      <c r="AV173" s="191"/>
      <c r="AW173" s="190"/>
      <c r="AX173" s="191"/>
      <c r="AY173" s="190"/>
      <c r="AZ173" s="191"/>
      <c r="BA173" s="145" t="str">
        <f>IFERROR(INDEX($E$4:$AZ$4,SUMPRODUCT(MAX(COLUMN(Tbl_PDSAData[[#This Row],[D1]:[M24]])*(ListLookup!$G$3=Tbl_PDSAData[[#This Row],[D1]:[M24]]))-4)),"")</f>
        <v/>
      </c>
      <c r="BB173" s="145" t="str">
        <f>IFERROR(INDEX($E$4:$AZ$4,SUMPRODUCT(MAX(COLUMN(Tbl_PDSAData[[#This Row],[D1]:[M24]])*(ListLookup!$H$3=Tbl_PDSAData[[#This Row],[D1]:[M24]]))-4)),"")</f>
        <v/>
      </c>
    </row>
    <row r="174" spans="1:54" s="74" customFormat="1" x14ac:dyDescent="0.25">
      <c r="A174" s="189"/>
      <c r="B174" s="134" t="str">
        <f>IFERROR(INDEX(Tbl_ResidentData[Physician],MATCH(Tbl_PDSAData[[#This Row],[Resident Name (last, first)]],Tbl_ResidentData[Resident Name '[last, first']],0))&amp;"","")</f>
        <v/>
      </c>
      <c r="C174" s="135" t="str">
        <f>IFERROR(INDEX(Tbl_ResidentData[Diagnosis (RAI)],MATCH(Tbl_PDSAData[[#This Row],[Resident Name (last, first)]],Tbl_ResidentData[Resident Name '[last, first']],0))&amp;"","")</f>
        <v/>
      </c>
      <c r="D174" s="144" t="str">
        <f>IFERROR(INDEX(Tbl_ResidentData[Clinical Notes
'[free text']],MATCH(Tbl_PDSAData[[#This Row],[Resident Name (last, first)]],Tbl_ResidentData[Resident Name '[last, first']],0))&amp;"","")</f>
        <v/>
      </c>
      <c r="E174" s="190"/>
      <c r="F174" s="191"/>
      <c r="G174" s="190"/>
      <c r="H174" s="191"/>
      <c r="I174" s="190"/>
      <c r="J174" s="191"/>
      <c r="K174" s="190"/>
      <c r="L174" s="191"/>
      <c r="M174" s="190"/>
      <c r="N174" s="191"/>
      <c r="O174" s="190"/>
      <c r="P174" s="191"/>
      <c r="Q174" s="190"/>
      <c r="R174" s="191"/>
      <c r="S174" s="190"/>
      <c r="T174" s="191"/>
      <c r="U174" s="190"/>
      <c r="V174" s="191"/>
      <c r="W174" s="190"/>
      <c r="X174" s="191"/>
      <c r="Y174" s="190"/>
      <c r="Z174" s="191"/>
      <c r="AA174" s="190"/>
      <c r="AB174" s="191"/>
      <c r="AC174" s="190"/>
      <c r="AD174" s="191"/>
      <c r="AE174" s="190"/>
      <c r="AF174" s="191"/>
      <c r="AG174" s="190"/>
      <c r="AH174" s="191"/>
      <c r="AI174" s="190"/>
      <c r="AJ174" s="191"/>
      <c r="AK174" s="190"/>
      <c r="AL174" s="191"/>
      <c r="AM174" s="190"/>
      <c r="AN174" s="191"/>
      <c r="AO174" s="190"/>
      <c r="AP174" s="191"/>
      <c r="AQ174" s="190"/>
      <c r="AR174" s="191"/>
      <c r="AS174" s="190"/>
      <c r="AT174" s="191"/>
      <c r="AU174" s="190"/>
      <c r="AV174" s="191"/>
      <c r="AW174" s="190"/>
      <c r="AX174" s="191"/>
      <c r="AY174" s="190"/>
      <c r="AZ174" s="191"/>
      <c r="BA174" s="145" t="str">
        <f>IFERROR(INDEX($E$4:$AZ$4,SUMPRODUCT(MAX(COLUMN(Tbl_PDSAData[[#This Row],[D1]:[M24]])*(ListLookup!$G$3=Tbl_PDSAData[[#This Row],[D1]:[M24]]))-4)),"")</f>
        <v/>
      </c>
      <c r="BB174" s="145" t="str">
        <f>IFERROR(INDEX($E$4:$AZ$4,SUMPRODUCT(MAX(COLUMN(Tbl_PDSAData[[#This Row],[D1]:[M24]])*(ListLookup!$H$3=Tbl_PDSAData[[#This Row],[D1]:[M24]]))-4)),"")</f>
        <v/>
      </c>
    </row>
    <row r="175" spans="1:54" s="74" customFormat="1" x14ac:dyDescent="0.25">
      <c r="A175" s="189"/>
      <c r="B175" s="134" t="str">
        <f>IFERROR(INDEX(Tbl_ResidentData[Physician],MATCH(Tbl_PDSAData[[#This Row],[Resident Name (last, first)]],Tbl_ResidentData[Resident Name '[last, first']],0))&amp;"","")</f>
        <v/>
      </c>
      <c r="C175" s="135" t="str">
        <f>IFERROR(INDEX(Tbl_ResidentData[Diagnosis (RAI)],MATCH(Tbl_PDSAData[[#This Row],[Resident Name (last, first)]],Tbl_ResidentData[Resident Name '[last, first']],0))&amp;"","")</f>
        <v/>
      </c>
      <c r="D175" s="144" t="str">
        <f>IFERROR(INDEX(Tbl_ResidentData[Clinical Notes
'[free text']],MATCH(Tbl_PDSAData[[#This Row],[Resident Name (last, first)]],Tbl_ResidentData[Resident Name '[last, first']],0))&amp;"","")</f>
        <v/>
      </c>
      <c r="E175" s="190"/>
      <c r="F175" s="191"/>
      <c r="G175" s="190"/>
      <c r="H175" s="191"/>
      <c r="I175" s="190"/>
      <c r="J175" s="191"/>
      <c r="K175" s="190"/>
      <c r="L175" s="191"/>
      <c r="M175" s="190"/>
      <c r="N175" s="191"/>
      <c r="O175" s="190"/>
      <c r="P175" s="191"/>
      <c r="Q175" s="190"/>
      <c r="R175" s="191"/>
      <c r="S175" s="190"/>
      <c r="T175" s="191"/>
      <c r="U175" s="190"/>
      <c r="V175" s="191"/>
      <c r="W175" s="190"/>
      <c r="X175" s="191"/>
      <c r="Y175" s="190"/>
      <c r="Z175" s="191"/>
      <c r="AA175" s="190"/>
      <c r="AB175" s="191"/>
      <c r="AC175" s="190"/>
      <c r="AD175" s="191"/>
      <c r="AE175" s="190"/>
      <c r="AF175" s="191"/>
      <c r="AG175" s="190"/>
      <c r="AH175" s="191"/>
      <c r="AI175" s="190"/>
      <c r="AJ175" s="191"/>
      <c r="AK175" s="190"/>
      <c r="AL175" s="191"/>
      <c r="AM175" s="190"/>
      <c r="AN175" s="191"/>
      <c r="AO175" s="190"/>
      <c r="AP175" s="191"/>
      <c r="AQ175" s="190"/>
      <c r="AR175" s="191"/>
      <c r="AS175" s="190"/>
      <c r="AT175" s="191"/>
      <c r="AU175" s="190"/>
      <c r="AV175" s="191"/>
      <c r="AW175" s="190"/>
      <c r="AX175" s="191"/>
      <c r="AY175" s="190"/>
      <c r="AZ175" s="191"/>
      <c r="BA175" s="145" t="str">
        <f>IFERROR(INDEX($E$4:$AZ$4,SUMPRODUCT(MAX(COLUMN(Tbl_PDSAData[[#This Row],[D1]:[M24]])*(ListLookup!$G$3=Tbl_PDSAData[[#This Row],[D1]:[M24]]))-4)),"")</f>
        <v/>
      </c>
      <c r="BB175" s="145" t="str">
        <f>IFERROR(INDEX($E$4:$AZ$4,SUMPRODUCT(MAX(COLUMN(Tbl_PDSAData[[#This Row],[D1]:[M24]])*(ListLookup!$H$3=Tbl_PDSAData[[#This Row],[D1]:[M24]]))-4)),"")</f>
        <v/>
      </c>
    </row>
    <row r="176" spans="1:54" s="74" customFormat="1" x14ac:dyDescent="0.25">
      <c r="A176" s="189"/>
      <c r="B176" s="134" t="str">
        <f>IFERROR(INDEX(Tbl_ResidentData[Physician],MATCH(Tbl_PDSAData[[#This Row],[Resident Name (last, first)]],Tbl_ResidentData[Resident Name '[last, first']],0))&amp;"","")</f>
        <v/>
      </c>
      <c r="C176" s="135" t="str">
        <f>IFERROR(INDEX(Tbl_ResidentData[Diagnosis (RAI)],MATCH(Tbl_PDSAData[[#This Row],[Resident Name (last, first)]],Tbl_ResidentData[Resident Name '[last, first']],0))&amp;"","")</f>
        <v/>
      </c>
      <c r="D176" s="144" t="str">
        <f>IFERROR(INDEX(Tbl_ResidentData[Clinical Notes
'[free text']],MATCH(Tbl_PDSAData[[#This Row],[Resident Name (last, first)]],Tbl_ResidentData[Resident Name '[last, first']],0))&amp;"","")</f>
        <v/>
      </c>
      <c r="E176" s="190"/>
      <c r="F176" s="191"/>
      <c r="G176" s="190"/>
      <c r="H176" s="191"/>
      <c r="I176" s="190"/>
      <c r="J176" s="191"/>
      <c r="K176" s="190"/>
      <c r="L176" s="191"/>
      <c r="M176" s="190"/>
      <c r="N176" s="191"/>
      <c r="O176" s="190"/>
      <c r="P176" s="191"/>
      <c r="Q176" s="190"/>
      <c r="R176" s="191"/>
      <c r="S176" s="190"/>
      <c r="T176" s="191"/>
      <c r="U176" s="190"/>
      <c r="V176" s="191"/>
      <c r="W176" s="190"/>
      <c r="X176" s="191"/>
      <c r="Y176" s="190"/>
      <c r="Z176" s="191"/>
      <c r="AA176" s="190"/>
      <c r="AB176" s="191"/>
      <c r="AC176" s="190"/>
      <c r="AD176" s="191"/>
      <c r="AE176" s="190"/>
      <c r="AF176" s="191"/>
      <c r="AG176" s="190"/>
      <c r="AH176" s="191"/>
      <c r="AI176" s="190"/>
      <c r="AJ176" s="191"/>
      <c r="AK176" s="190"/>
      <c r="AL176" s="191"/>
      <c r="AM176" s="190"/>
      <c r="AN176" s="191"/>
      <c r="AO176" s="190"/>
      <c r="AP176" s="191"/>
      <c r="AQ176" s="190"/>
      <c r="AR176" s="191"/>
      <c r="AS176" s="190"/>
      <c r="AT176" s="191"/>
      <c r="AU176" s="190"/>
      <c r="AV176" s="191"/>
      <c r="AW176" s="190"/>
      <c r="AX176" s="191"/>
      <c r="AY176" s="190"/>
      <c r="AZ176" s="191"/>
      <c r="BA176" s="145" t="str">
        <f>IFERROR(INDEX($E$4:$AZ$4,SUMPRODUCT(MAX(COLUMN(Tbl_PDSAData[[#This Row],[D1]:[M24]])*(ListLookup!$G$3=Tbl_PDSAData[[#This Row],[D1]:[M24]]))-4)),"")</f>
        <v/>
      </c>
      <c r="BB176" s="145" t="str">
        <f>IFERROR(INDEX($E$4:$AZ$4,SUMPRODUCT(MAX(COLUMN(Tbl_PDSAData[[#This Row],[D1]:[M24]])*(ListLookup!$H$3=Tbl_PDSAData[[#This Row],[D1]:[M24]]))-4)),"")</f>
        <v/>
      </c>
    </row>
    <row r="177" spans="1:54" s="74" customFormat="1" x14ac:dyDescent="0.25">
      <c r="A177" s="189"/>
      <c r="B177" s="134" t="str">
        <f>IFERROR(INDEX(Tbl_ResidentData[Physician],MATCH(Tbl_PDSAData[[#This Row],[Resident Name (last, first)]],Tbl_ResidentData[Resident Name '[last, first']],0))&amp;"","")</f>
        <v/>
      </c>
      <c r="C177" s="135" t="str">
        <f>IFERROR(INDEX(Tbl_ResidentData[Diagnosis (RAI)],MATCH(Tbl_PDSAData[[#This Row],[Resident Name (last, first)]],Tbl_ResidentData[Resident Name '[last, first']],0))&amp;"","")</f>
        <v/>
      </c>
      <c r="D177" s="144" t="str">
        <f>IFERROR(INDEX(Tbl_ResidentData[Clinical Notes
'[free text']],MATCH(Tbl_PDSAData[[#This Row],[Resident Name (last, first)]],Tbl_ResidentData[Resident Name '[last, first']],0))&amp;"","")</f>
        <v/>
      </c>
      <c r="E177" s="190"/>
      <c r="F177" s="191"/>
      <c r="G177" s="190"/>
      <c r="H177" s="191"/>
      <c r="I177" s="190"/>
      <c r="J177" s="191"/>
      <c r="K177" s="190"/>
      <c r="L177" s="191"/>
      <c r="M177" s="190"/>
      <c r="N177" s="191"/>
      <c r="O177" s="190"/>
      <c r="P177" s="191"/>
      <c r="Q177" s="190"/>
      <c r="R177" s="191"/>
      <c r="S177" s="190"/>
      <c r="T177" s="191"/>
      <c r="U177" s="190"/>
      <c r="V177" s="191"/>
      <c r="W177" s="190"/>
      <c r="X177" s="191"/>
      <c r="Y177" s="190"/>
      <c r="Z177" s="191"/>
      <c r="AA177" s="190"/>
      <c r="AB177" s="191"/>
      <c r="AC177" s="190"/>
      <c r="AD177" s="191"/>
      <c r="AE177" s="190"/>
      <c r="AF177" s="191"/>
      <c r="AG177" s="190"/>
      <c r="AH177" s="191"/>
      <c r="AI177" s="190"/>
      <c r="AJ177" s="191"/>
      <c r="AK177" s="190"/>
      <c r="AL177" s="191"/>
      <c r="AM177" s="190"/>
      <c r="AN177" s="191"/>
      <c r="AO177" s="190"/>
      <c r="AP177" s="191"/>
      <c r="AQ177" s="190"/>
      <c r="AR177" s="191"/>
      <c r="AS177" s="190"/>
      <c r="AT177" s="191"/>
      <c r="AU177" s="190"/>
      <c r="AV177" s="191"/>
      <c r="AW177" s="190"/>
      <c r="AX177" s="191"/>
      <c r="AY177" s="190"/>
      <c r="AZ177" s="191"/>
      <c r="BA177" s="145" t="str">
        <f>IFERROR(INDEX($E$4:$AZ$4,SUMPRODUCT(MAX(COLUMN(Tbl_PDSAData[[#This Row],[D1]:[M24]])*(ListLookup!$G$3=Tbl_PDSAData[[#This Row],[D1]:[M24]]))-4)),"")</f>
        <v/>
      </c>
      <c r="BB177" s="145" t="str">
        <f>IFERROR(INDEX($E$4:$AZ$4,SUMPRODUCT(MAX(COLUMN(Tbl_PDSAData[[#This Row],[D1]:[M24]])*(ListLookup!$H$3=Tbl_PDSAData[[#This Row],[D1]:[M24]]))-4)),"")</f>
        <v/>
      </c>
    </row>
    <row r="178" spans="1:54" s="74" customFormat="1" x14ac:dyDescent="0.25">
      <c r="A178" s="189"/>
      <c r="B178" s="134" t="str">
        <f>IFERROR(INDEX(Tbl_ResidentData[Physician],MATCH(Tbl_PDSAData[[#This Row],[Resident Name (last, first)]],Tbl_ResidentData[Resident Name '[last, first']],0))&amp;"","")</f>
        <v/>
      </c>
      <c r="C178" s="135" t="str">
        <f>IFERROR(INDEX(Tbl_ResidentData[Diagnosis (RAI)],MATCH(Tbl_PDSAData[[#This Row],[Resident Name (last, first)]],Tbl_ResidentData[Resident Name '[last, first']],0))&amp;"","")</f>
        <v/>
      </c>
      <c r="D178" s="144" t="str">
        <f>IFERROR(INDEX(Tbl_ResidentData[Clinical Notes
'[free text']],MATCH(Tbl_PDSAData[[#This Row],[Resident Name (last, first)]],Tbl_ResidentData[Resident Name '[last, first']],0))&amp;"","")</f>
        <v/>
      </c>
      <c r="E178" s="190"/>
      <c r="F178" s="191"/>
      <c r="G178" s="190"/>
      <c r="H178" s="191"/>
      <c r="I178" s="190"/>
      <c r="J178" s="191"/>
      <c r="K178" s="190"/>
      <c r="L178" s="191"/>
      <c r="M178" s="190"/>
      <c r="N178" s="191"/>
      <c r="O178" s="190"/>
      <c r="P178" s="191"/>
      <c r="Q178" s="190"/>
      <c r="R178" s="191"/>
      <c r="S178" s="190"/>
      <c r="T178" s="191"/>
      <c r="U178" s="190"/>
      <c r="V178" s="191"/>
      <c r="W178" s="190"/>
      <c r="X178" s="191"/>
      <c r="Y178" s="190"/>
      <c r="Z178" s="191"/>
      <c r="AA178" s="190"/>
      <c r="AB178" s="191"/>
      <c r="AC178" s="190"/>
      <c r="AD178" s="191"/>
      <c r="AE178" s="190"/>
      <c r="AF178" s="191"/>
      <c r="AG178" s="190"/>
      <c r="AH178" s="191"/>
      <c r="AI178" s="190"/>
      <c r="AJ178" s="191"/>
      <c r="AK178" s="190"/>
      <c r="AL178" s="191"/>
      <c r="AM178" s="190"/>
      <c r="AN178" s="191"/>
      <c r="AO178" s="190"/>
      <c r="AP178" s="191"/>
      <c r="AQ178" s="190"/>
      <c r="AR178" s="191"/>
      <c r="AS178" s="190"/>
      <c r="AT178" s="191"/>
      <c r="AU178" s="190"/>
      <c r="AV178" s="191"/>
      <c r="AW178" s="190"/>
      <c r="AX178" s="191"/>
      <c r="AY178" s="190"/>
      <c r="AZ178" s="191"/>
      <c r="BA178" s="145" t="str">
        <f>IFERROR(INDEX($E$4:$AZ$4,SUMPRODUCT(MAX(COLUMN(Tbl_PDSAData[[#This Row],[D1]:[M24]])*(ListLookup!$G$3=Tbl_PDSAData[[#This Row],[D1]:[M24]]))-4)),"")</f>
        <v/>
      </c>
      <c r="BB178" s="145" t="str">
        <f>IFERROR(INDEX($E$4:$AZ$4,SUMPRODUCT(MAX(COLUMN(Tbl_PDSAData[[#This Row],[D1]:[M24]])*(ListLookup!$H$3=Tbl_PDSAData[[#This Row],[D1]:[M24]]))-4)),"")</f>
        <v/>
      </c>
    </row>
    <row r="179" spans="1:54" s="74" customFormat="1" x14ac:dyDescent="0.25">
      <c r="A179" s="189"/>
      <c r="B179" s="134" t="str">
        <f>IFERROR(INDEX(Tbl_ResidentData[Physician],MATCH(Tbl_PDSAData[[#This Row],[Resident Name (last, first)]],Tbl_ResidentData[Resident Name '[last, first']],0))&amp;"","")</f>
        <v/>
      </c>
      <c r="C179" s="135" t="str">
        <f>IFERROR(INDEX(Tbl_ResidentData[Diagnosis (RAI)],MATCH(Tbl_PDSAData[[#This Row],[Resident Name (last, first)]],Tbl_ResidentData[Resident Name '[last, first']],0))&amp;"","")</f>
        <v/>
      </c>
      <c r="D179" s="144" t="str">
        <f>IFERROR(INDEX(Tbl_ResidentData[Clinical Notes
'[free text']],MATCH(Tbl_PDSAData[[#This Row],[Resident Name (last, first)]],Tbl_ResidentData[Resident Name '[last, first']],0))&amp;"","")</f>
        <v/>
      </c>
      <c r="E179" s="190"/>
      <c r="F179" s="191"/>
      <c r="G179" s="190"/>
      <c r="H179" s="191"/>
      <c r="I179" s="190"/>
      <c r="J179" s="191"/>
      <c r="K179" s="190"/>
      <c r="L179" s="191"/>
      <c r="M179" s="190"/>
      <c r="N179" s="191"/>
      <c r="O179" s="190"/>
      <c r="P179" s="191"/>
      <c r="Q179" s="190"/>
      <c r="R179" s="191"/>
      <c r="S179" s="190"/>
      <c r="T179" s="191"/>
      <c r="U179" s="190"/>
      <c r="V179" s="191"/>
      <c r="W179" s="190"/>
      <c r="X179" s="191"/>
      <c r="Y179" s="190"/>
      <c r="Z179" s="191"/>
      <c r="AA179" s="190"/>
      <c r="AB179" s="191"/>
      <c r="AC179" s="190"/>
      <c r="AD179" s="191"/>
      <c r="AE179" s="190"/>
      <c r="AF179" s="191"/>
      <c r="AG179" s="190"/>
      <c r="AH179" s="191"/>
      <c r="AI179" s="190"/>
      <c r="AJ179" s="191"/>
      <c r="AK179" s="190"/>
      <c r="AL179" s="191"/>
      <c r="AM179" s="190"/>
      <c r="AN179" s="191"/>
      <c r="AO179" s="190"/>
      <c r="AP179" s="191"/>
      <c r="AQ179" s="190"/>
      <c r="AR179" s="191"/>
      <c r="AS179" s="190"/>
      <c r="AT179" s="191"/>
      <c r="AU179" s="190"/>
      <c r="AV179" s="191"/>
      <c r="AW179" s="190"/>
      <c r="AX179" s="191"/>
      <c r="AY179" s="190"/>
      <c r="AZ179" s="191"/>
      <c r="BA179" s="145" t="str">
        <f>IFERROR(INDEX($E$4:$AZ$4,SUMPRODUCT(MAX(COLUMN(Tbl_PDSAData[[#This Row],[D1]:[M24]])*(ListLookup!$G$3=Tbl_PDSAData[[#This Row],[D1]:[M24]]))-4)),"")</f>
        <v/>
      </c>
      <c r="BB179" s="145" t="str">
        <f>IFERROR(INDEX($E$4:$AZ$4,SUMPRODUCT(MAX(COLUMN(Tbl_PDSAData[[#This Row],[D1]:[M24]])*(ListLookup!$H$3=Tbl_PDSAData[[#This Row],[D1]:[M24]]))-4)),"")</f>
        <v/>
      </c>
    </row>
    <row r="180" spans="1:54" s="74" customFormat="1" x14ac:dyDescent="0.25">
      <c r="A180" s="189"/>
      <c r="B180" s="134" t="str">
        <f>IFERROR(INDEX(Tbl_ResidentData[Physician],MATCH(Tbl_PDSAData[[#This Row],[Resident Name (last, first)]],Tbl_ResidentData[Resident Name '[last, first']],0))&amp;"","")</f>
        <v/>
      </c>
      <c r="C180" s="135" t="str">
        <f>IFERROR(INDEX(Tbl_ResidentData[Diagnosis (RAI)],MATCH(Tbl_PDSAData[[#This Row],[Resident Name (last, first)]],Tbl_ResidentData[Resident Name '[last, first']],0))&amp;"","")</f>
        <v/>
      </c>
      <c r="D180" s="144" t="str">
        <f>IFERROR(INDEX(Tbl_ResidentData[Clinical Notes
'[free text']],MATCH(Tbl_PDSAData[[#This Row],[Resident Name (last, first)]],Tbl_ResidentData[Resident Name '[last, first']],0))&amp;"","")</f>
        <v/>
      </c>
      <c r="E180" s="190"/>
      <c r="F180" s="191"/>
      <c r="G180" s="190"/>
      <c r="H180" s="191"/>
      <c r="I180" s="190"/>
      <c r="J180" s="191"/>
      <c r="K180" s="190"/>
      <c r="L180" s="191"/>
      <c r="M180" s="190"/>
      <c r="N180" s="191"/>
      <c r="O180" s="190"/>
      <c r="P180" s="191"/>
      <c r="Q180" s="190"/>
      <c r="R180" s="191"/>
      <c r="S180" s="190"/>
      <c r="T180" s="191"/>
      <c r="U180" s="190"/>
      <c r="V180" s="191"/>
      <c r="W180" s="190"/>
      <c r="X180" s="191"/>
      <c r="Y180" s="190"/>
      <c r="Z180" s="191"/>
      <c r="AA180" s="190"/>
      <c r="AB180" s="191"/>
      <c r="AC180" s="190"/>
      <c r="AD180" s="191"/>
      <c r="AE180" s="190"/>
      <c r="AF180" s="191"/>
      <c r="AG180" s="190"/>
      <c r="AH180" s="191"/>
      <c r="AI180" s="190"/>
      <c r="AJ180" s="191"/>
      <c r="AK180" s="190"/>
      <c r="AL180" s="191"/>
      <c r="AM180" s="190"/>
      <c r="AN180" s="191"/>
      <c r="AO180" s="190"/>
      <c r="AP180" s="191"/>
      <c r="AQ180" s="190"/>
      <c r="AR180" s="191"/>
      <c r="AS180" s="190"/>
      <c r="AT180" s="191"/>
      <c r="AU180" s="190"/>
      <c r="AV180" s="191"/>
      <c r="AW180" s="190"/>
      <c r="AX180" s="191"/>
      <c r="AY180" s="190"/>
      <c r="AZ180" s="191"/>
      <c r="BA180" s="145" t="str">
        <f>IFERROR(INDEX($E$4:$AZ$4,SUMPRODUCT(MAX(COLUMN(Tbl_PDSAData[[#This Row],[D1]:[M24]])*(ListLookup!$G$3=Tbl_PDSAData[[#This Row],[D1]:[M24]]))-4)),"")</f>
        <v/>
      </c>
      <c r="BB180" s="145" t="str">
        <f>IFERROR(INDEX($E$4:$AZ$4,SUMPRODUCT(MAX(COLUMN(Tbl_PDSAData[[#This Row],[D1]:[M24]])*(ListLookup!$H$3=Tbl_PDSAData[[#This Row],[D1]:[M24]]))-4)),"")</f>
        <v/>
      </c>
    </row>
    <row r="181" spans="1:54" s="74" customFormat="1" x14ac:dyDescent="0.25">
      <c r="A181" s="189"/>
      <c r="B181" s="134" t="str">
        <f>IFERROR(INDEX(Tbl_ResidentData[Physician],MATCH(Tbl_PDSAData[[#This Row],[Resident Name (last, first)]],Tbl_ResidentData[Resident Name '[last, first']],0))&amp;"","")</f>
        <v/>
      </c>
      <c r="C181" s="135" t="str">
        <f>IFERROR(INDEX(Tbl_ResidentData[Diagnosis (RAI)],MATCH(Tbl_PDSAData[[#This Row],[Resident Name (last, first)]],Tbl_ResidentData[Resident Name '[last, first']],0))&amp;"","")</f>
        <v/>
      </c>
      <c r="D181" s="144" t="str">
        <f>IFERROR(INDEX(Tbl_ResidentData[Clinical Notes
'[free text']],MATCH(Tbl_PDSAData[[#This Row],[Resident Name (last, first)]],Tbl_ResidentData[Resident Name '[last, first']],0))&amp;"","")</f>
        <v/>
      </c>
      <c r="E181" s="190"/>
      <c r="F181" s="191"/>
      <c r="G181" s="190"/>
      <c r="H181" s="191"/>
      <c r="I181" s="190"/>
      <c r="J181" s="191"/>
      <c r="K181" s="190"/>
      <c r="L181" s="191"/>
      <c r="M181" s="190"/>
      <c r="N181" s="191"/>
      <c r="O181" s="190"/>
      <c r="P181" s="191"/>
      <c r="Q181" s="190"/>
      <c r="R181" s="191"/>
      <c r="S181" s="190"/>
      <c r="T181" s="191"/>
      <c r="U181" s="190"/>
      <c r="V181" s="191"/>
      <c r="W181" s="190"/>
      <c r="X181" s="191"/>
      <c r="Y181" s="190"/>
      <c r="Z181" s="191"/>
      <c r="AA181" s="190"/>
      <c r="AB181" s="191"/>
      <c r="AC181" s="190"/>
      <c r="AD181" s="191"/>
      <c r="AE181" s="190"/>
      <c r="AF181" s="191"/>
      <c r="AG181" s="190"/>
      <c r="AH181" s="191"/>
      <c r="AI181" s="190"/>
      <c r="AJ181" s="191"/>
      <c r="AK181" s="190"/>
      <c r="AL181" s="191"/>
      <c r="AM181" s="190"/>
      <c r="AN181" s="191"/>
      <c r="AO181" s="190"/>
      <c r="AP181" s="191"/>
      <c r="AQ181" s="190"/>
      <c r="AR181" s="191"/>
      <c r="AS181" s="190"/>
      <c r="AT181" s="191"/>
      <c r="AU181" s="190"/>
      <c r="AV181" s="191"/>
      <c r="AW181" s="190"/>
      <c r="AX181" s="191"/>
      <c r="AY181" s="190"/>
      <c r="AZ181" s="191"/>
      <c r="BA181" s="145" t="str">
        <f>IFERROR(INDEX($E$4:$AZ$4,SUMPRODUCT(MAX(COLUMN(Tbl_PDSAData[[#This Row],[D1]:[M24]])*(ListLookup!$G$3=Tbl_PDSAData[[#This Row],[D1]:[M24]]))-4)),"")</f>
        <v/>
      </c>
      <c r="BB181" s="145" t="str">
        <f>IFERROR(INDEX($E$4:$AZ$4,SUMPRODUCT(MAX(COLUMN(Tbl_PDSAData[[#This Row],[D1]:[M24]])*(ListLookup!$H$3=Tbl_PDSAData[[#This Row],[D1]:[M24]]))-4)),"")</f>
        <v/>
      </c>
    </row>
    <row r="182" spans="1:54" s="74" customFormat="1" x14ac:dyDescent="0.25">
      <c r="A182" s="189"/>
      <c r="B182" s="134" t="str">
        <f>IFERROR(INDEX(Tbl_ResidentData[Physician],MATCH(Tbl_PDSAData[[#This Row],[Resident Name (last, first)]],Tbl_ResidentData[Resident Name '[last, first']],0))&amp;"","")</f>
        <v/>
      </c>
      <c r="C182" s="135" t="str">
        <f>IFERROR(INDEX(Tbl_ResidentData[Diagnosis (RAI)],MATCH(Tbl_PDSAData[[#This Row],[Resident Name (last, first)]],Tbl_ResidentData[Resident Name '[last, first']],0))&amp;"","")</f>
        <v/>
      </c>
      <c r="D182" s="144" t="str">
        <f>IFERROR(INDEX(Tbl_ResidentData[Clinical Notes
'[free text']],MATCH(Tbl_PDSAData[[#This Row],[Resident Name (last, first)]],Tbl_ResidentData[Resident Name '[last, first']],0))&amp;"","")</f>
        <v/>
      </c>
      <c r="E182" s="190"/>
      <c r="F182" s="191"/>
      <c r="G182" s="190"/>
      <c r="H182" s="191"/>
      <c r="I182" s="190"/>
      <c r="J182" s="191"/>
      <c r="K182" s="190"/>
      <c r="L182" s="191"/>
      <c r="M182" s="190"/>
      <c r="N182" s="191"/>
      <c r="O182" s="190"/>
      <c r="P182" s="191"/>
      <c r="Q182" s="190"/>
      <c r="R182" s="191"/>
      <c r="S182" s="190"/>
      <c r="T182" s="191"/>
      <c r="U182" s="190"/>
      <c r="V182" s="191"/>
      <c r="W182" s="190"/>
      <c r="X182" s="191"/>
      <c r="Y182" s="190"/>
      <c r="Z182" s="191"/>
      <c r="AA182" s="190"/>
      <c r="AB182" s="191"/>
      <c r="AC182" s="190"/>
      <c r="AD182" s="191"/>
      <c r="AE182" s="190"/>
      <c r="AF182" s="191"/>
      <c r="AG182" s="190"/>
      <c r="AH182" s="191"/>
      <c r="AI182" s="190"/>
      <c r="AJ182" s="191"/>
      <c r="AK182" s="190"/>
      <c r="AL182" s="191"/>
      <c r="AM182" s="190"/>
      <c r="AN182" s="191"/>
      <c r="AO182" s="190"/>
      <c r="AP182" s="191"/>
      <c r="AQ182" s="190"/>
      <c r="AR182" s="191"/>
      <c r="AS182" s="190"/>
      <c r="AT182" s="191"/>
      <c r="AU182" s="190"/>
      <c r="AV182" s="191"/>
      <c r="AW182" s="190"/>
      <c r="AX182" s="191"/>
      <c r="AY182" s="190"/>
      <c r="AZ182" s="191"/>
      <c r="BA182" s="145" t="str">
        <f>IFERROR(INDEX($E$4:$AZ$4,SUMPRODUCT(MAX(COLUMN(Tbl_PDSAData[[#This Row],[D1]:[M24]])*(ListLookup!$G$3=Tbl_PDSAData[[#This Row],[D1]:[M24]]))-4)),"")</f>
        <v/>
      </c>
      <c r="BB182" s="145" t="str">
        <f>IFERROR(INDEX($E$4:$AZ$4,SUMPRODUCT(MAX(COLUMN(Tbl_PDSAData[[#This Row],[D1]:[M24]])*(ListLookup!$H$3=Tbl_PDSAData[[#This Row],[D1]:[M24]]))-4)),"")</f>
        <v/>
      </c>
    </row>
    <row r="183" spans="1:54" s="74" customFormat="1" x14ac:dyDescent="0.25">
      <c r="A183" s="189"/>
      <c r="B183" s="134" t="str">
        <f>IFERROR(INDEX(Tbl_ResidentData[Physician],MATCH(Tbl_PDSAData[[#This Row],[Resident Name (last, first)]],Tbl_ResidentData[Resident Name '[last, first']],0))&amp;"","")</f>
        <v/>
      </c>
      <c r="C183" s="135" t="str">
        <f>IFERROR(INDEX(Tbl_ResidentData[Diagnosis (RAI)],MATCH(Tbl_PDSAData[[#This Row],[Resident Name (last, first)]],Tbl_ResidentData[Resident Name '[last, first']],0))&amp;"","")</f>
        <v/>
      </c>
      <c r="D183" s="144" t="str">
        <f>IFERROR(INDEX(Tbl_ResidentData[Clinical Notes
'[free text']],MATCH(Tbl_PDSAData[[#This Row],[Resident Name (last, first)]],Tbl_ResidentData[Resident Name '[last, first']],0))&amp;"","")</f>
        <v/>
      </c>
      <c r="E183" s="190"/>
      <c r="F183" s="191"/>
      <c r="G183" s="190"/>
      <c r="H183" s="191"/>
      <c r="I183" s="190"/>
      <c r="J183" s="191"/>
      <c r="K183" s="190"/>
      <c r="L183" s="191"/>
      <c r="M183" s="190"/>
      <c r="N183" s="191"/>
      <c r="O183" s="190"/>
      <c r="P183" s="191"/>
      <c r="Q183" s="190"/>
      <c r="R183" s="191"/>
      <c r="S183" s="190"/>
      <c r="T183" s="191"/>
      <c r="U183" s="190"/>
      <c r="V183" s="191"/>
      <c r="W183" s="190"/>
      <c r="X183" s="191"/>
      <c r="Y183" s="190"/>
      <c r="Z183" s="191"/>
      <c r="AA183" s="190"/>
      <c r="AB183" s="191"/>
      <c r="AC183" s="190"/>
      <c r="AD183" s="191"/>
      <c r="AE183" s="190"/>
      <c r="AF183" s="191"/>
      <c r="AG183" s="190"/>
      <c r="AH183" s="191"/>
      <c r="AI183" s="190"/>
      <c r="AJ183" s="191"/>
      <c r="AK183" s="190"/>
      <c r="AL183" s="191"/>
      <c r="AM183" s="190"/>
      <c r="AN183" s="191"/>
      <c r="AO183" s="190"/>
      <c r="AP183" s="191"/>
      <c r="AQ183" s="190"/>
      <c r="AR183" s="191"/>
      <c r="AS183" s="190"/>
      <c r="AT183" s="191"/>
      <c r="AU183" s="190"/>
      <c r="AV183" s="191"/>
      <c r="AW183" s="190"/>
      <c r="AX183" s="191"/>
      <c r="AY183" s="190"/>
      <c r="AZ183" s="191"/>
      <c r="BA183" s="145" t="str">
        <f>IFERROR(INDEX($E$4:$AZ$4,SUMPRODUCT(MAX(COLUMN(Tbl_PDSAData[[#This Row],[D1]:[M24]])*(ListLookup!$G$3=Tbl_PDSAData[[#This Row],[D1]:[M24]]))-4)),"")</f>
        <v/>
      </c>
      <c r="BB183" s="145" t="str">
        <f>IFERROR(INDEX($E$4:$AZ$4,SUMPRODUCT(MAX(COLUMN(Tbl_PDSAData[[#This Row],[D1]:[M24]])*(ListLookup!$H$3=Tbl_PDSAData[[#This Row],[D1]:[M24]]))-4)),"")</f>
        <v/>
      </c>
    </row>
    <row r="184" spans="1:54" s="74" customFormat="1" x14ac:dyDescent="0.25">
      <c r="A184" s="189"/>
      <c r="B184" s="134" t="str">
        <f>IFERROR(INDEX(Tbl_ResidentData[Physician],MATCH(Tbl_PDSAData[[#This Row],[Resident Name (last, first)]],Tbl_ResidentData[Resident Name '[last, first']],0))&amp;"","")</f>
        <v/>
      </c>
      <c r="C184" s="135" t="str">
        <f>IFERROR(INDEX(Tbl_ResidentData[Diagnosis (RAI)],MATCH(Tbl_PDSAData[[#This Row],[Resident Name (last, first)]],Tbl_ResidentData[Resident Name '[last, first']],0))&amp;"","")</f>
        <v/>
      </c>
      <c r="D184" s="144" t="str">
        <f>IFERROR(INDEX(Tbl_ResidentData[Clinical Notes
'[free text']],MATCH(Tbl_PDSAData[[#This Row],[Resident Name (last, first)]],Tbl_ResidentData[Resident Name '[last, first']],0))&amp;"","")</f>
        <v/>
      </c>
      <c r="E184" s="190"/>
      <c r="F184" s="191"/>
      <c r="G184" s="190"/>
      <c r="H184" s="191"/>
      <c r="I184" s="190"/>
      <c r="J184" s="191"/>
      <c r="K184" s="190"/>
      <c r="L184" s="191"/>
      <c r="M184" s="190"/>
      <c r="N184" s="191"/>
      <c r="O184" s="190"/>
      <c r="P184" s="191"/>
      <c r="Q184" s="190"/>
      <c r="R184" s="191"/>
      <c r="S184" s="190"/>
      <c r="T184" s="191"/>
      <c r="U184" s="190"/>
      <c r="V184" s="191"/>
      <c r="W184" s="190"/>
      <c r="X184" s="191"/>
      <c r="Y184" s="190"/>
      <c r="Z184" s="191"/>
      <c r="AA184" s="190"/>
      <c r="AB184" s="191"/>
      <c r="AC184" s="190"/>
      <c r="AD184" s="191"/>
      <c r="AE184" s="190"/>
      <c r="AF184" s="191"/>
      <c r="AG184" s="190"/>
      <c r="AH184" s="191"/>
      <c r="AI184" s="190"/>
      <c r="AJ184" s="191"/>
      <c r="AK184" s="190"/>
      <c r="AL184" s="191"/>
      <c r="AM184" s="190"/>
      <c r="AN184" s="191"/>
      <c r="AO184" s="190"/>
      <c r="AP184" s="191"/>
      <c r="AQ184" s="190"/>
      <c r="AR184" s="191"/>
      <c r="AS184" s="190"/>
      <c r="AT184" s="191"/>
      <c r="AU184" s="190"/>
      <c r="AV184" s="191"/>
      <c r="AW184" s="190"/>
      <c r="AX184" s="191"/>
      <c r="AY184" s="190"/>
      <c r="AZ184" s="191"/>
      <c r="BA184" s="145" t="str">
        <f>IFERROR(INDEX($E$4:$AZ$4,SUMPRODUCT(MAX(COLUMN(Tbl_PDSAData[[#This Row],[D1]:[M24]])*(ListLookup!$G$3=Tbl_PDSAData[[#This Row],[D1]:[M24]]))-4)),"")</f>
        <v/>
      </c>
      <c r="BB184" s="145" t="str">
        <f>IFERROR(INDEX($E$4:$AZ$4,SUMPRODUCT(MAX(COLUMN(Tbl_PDSAData[[#This Row],[D1]:[M24]])*(ListLookup!$H$3=Tbl_PDSAData[[#This Row],[D1]:[M24]]))-4)),"")</f>
        <v/>
      </c>
    </row>
    <row r="185" spans="1:54" s="74" customFormat="1" x14ac:dyDescent="0.25">
      <c r="A185" s="189"/>
      <c r="B185" s="134" t="str">
        <f>IFERROR(INDEX(Tbl_ResidentData[Physician],MATCH(Tbl_PDSAData[[#This Row],[Resident Name (last, first)]],Tbl_ResidentData[Resident Name '[last, first']],0))&amp;"","")</f>
        <v/>
      </c>
      <c r="C185" s="135" t="str">
        <f>IFERROR(INDEX(Tbl_ResidentData[Diagnosis (RAI)],MATCH(Tbl_PDSAData[[#This Row],[Resident Name (last, first)]],Tbl_ResidentData[Resident Name '[last, first']],0))&amp;"","")</f>
        <v/>
      </c>
      <c r="D185" s="144" t="str">
        <f>IFERROR(INDEX(Tbl_ResidentData[Clinical Notes
'[free text']],MATCH(Tbl_PDSAData[[#This Row],[Resident Name (last, first)]],Tbl_ResidentData[Resident Name '[last, first']],0))&amp;"","")</f>
        <v/>
      </c>
      <c r="E185" s="190"/>
      <c r="F185" s="191"/>
      <c r="G185" s="190"/>
      <c r="H185" s="191"/>
      <c r="I185" s="190"/>
      <c r="J185" s="191"/>
      <c r="K185" s="190"/>
      <c r="L185" s="191"/>
      <c r="M185" s="190"/>
      <c r="N185" s="191"/>
      <c r="O185" s="190"/>
      <c r="P185" s="191"/>
      <c r="Q185" s="190"/>
      <c r="R185" s="191"/>
      <c r="S185" s="190"/>
      <c r="T185" s="191"/>
      <c r="U185" s="190"/>
      <c r="V185" s="191"/>
      <c r="W185" s="190"/>
      <c r="X185" s="191"/>
      <c r="Y185" s="190"/>
      <c r="Z185" s="191"/>
      <c r="AA185" s="190"/>
      <c r="AB185" s="191"/>
      <c r="AC185" s="190"/>
      <c r="AD185" s="191"/>
      <c r="AE185" s="190"/>
      <c r="AF185" s="191"/>
      <c r="AG185" s="190"/>
      <c r="AH185" s="191"/>
      <c r="AI185" s="190"/>
      <c r="AJ185" s="191"/>
      <c r="AK185" s="190"/>
      <c r="AL185" s="191"/>
      <c r="AM185" s="190"/>
      <c r="AN185" s="191"/>
      <c r="AO185" s="190"/>
      <c r="AP185" s="191"/>
      <c r="AQ185" s="190"/>
      <c r="AR185" s="191"/>
      <c r="AS185" s="190"/>
      <c r="AT185" s="191"/>
      <c r="AU185" s="190"/>
      <c r="AV185" s="191"/>
      <c r="AW185" s="190"/>
      <c r="AX185" s="191"/>
      <c r="AY185" s="190"/>
      <c r="AZ185" s="191"/>
      <c r="BA185" s="145" t="str">
        <f>IFERROR(INDEX($E$4:$AZ$4,SUMPRODUCT(MAX(COLUMN(Tbl_PDSAData[[#This Row],[D1]:[M24]])*(ListLookup!$G$3=Tbl_PDSAData[[#This Row],[D1]:[M24]]))-4)),"")</f>
        <v/>
      </c>
      <c r="BB185" s="145" t="str">
        <f>IFERROR(INDEX($E$4:$AZ$4,SUMPRODUCT(MAX(COLUMN(Tbl_PDSAData[[#This Row],[D1]:[M24]])*(ListLookup!$H$3=Tbl_PDSAData[[#This Row],[D1]:[M24]]))-4)),"")</f>
        <v/>
      </c>
    </row>
    <row r="186" spans="1:54" s="74" customFormat="1" x14ac:dyDescent="0.25">
      <c r="A186" s="189"/>
      <c r="B186" s="134" t="str">
        <f>IFERROR(INDEX(Tbl_ResidentData[Physician],MATCH(Tbl_PDSAData[[#This Row],[Resident Name (last, first)]],Tbl_ResidentData[Resident Name '[last, first']],0))&amp;"","")</f>
        <v/>
      </c>
      <c r="C186" s="135" t="str">
        <f>IFERROR(INDEX(Tbl_ResidentData[Diagnosis (RAI)],MATCH(Tbl_PDSAData[[#This Row],[Resident Name (last, first)]],Tbl_ResidentData[Resident Name '[last, first']],0))&amp;"","")</f>
        <v/>
      </c>
      <c r="D186" s="144" t="str">
        <f>IFERROR(INDEX(Tbl_ResidentData[Clinical Notes
'[free text']],MATCH(Tbl_PDSAData[[#This Row],[Resident Name (last, first)]],Tbl_ResidentData[Resident Name '[last, first']],0))&amp;"","")</f>
        <v/>
      </c>
      <c r="E186" s="190"/>
      <c r="F186" s="191"/>
      <c r="G186" s="190"/>
      <c r="H186" s="191"/>
      <c r="I186" s="190"/>
      <c r="J186" s="191"/>
      <c r="K186" s="190"/>
      <c r="L186" s="191"/>
      <c r="M186" s="190"/>
      <c r="N186" s="191"/>
      <c r="O186" s="190"/>
      <c r="P186" s="191"/>
      <c r="Q186" s="190"/>
      <c r="R186" s="191"/>
      <c r="S186" s="190"/>
      <c r="T186" s="191"/>
      <c r="U186" s="190"/>
      <c r="V186" s="191"/>
      <c r="W186" s="190"/>
      <c r="X186" s="191"/>
      <c r="Y186" s="190"/>
      <c r="Z186" s="191"/>
      <c r="AA186" s="190"/>
      <c r="AB186" s="191"/>
      <c r="AC186" s="190"/>
      <c r="AD186" s="191"/>
      <c r="AE186" s="190"/>
      <c r="AF186" s="191"/>
      <c r="AG186" s="190"/>
      <c r="AH186" s="191"/>
      <c r="AI186" s="190"/>
      <c r="AJ186" s="191"/>
      <c r="AK186" s="190"/>
      <c r="AL186" s="191"/>
      <c r="AM186" s="190"/>
      <c r="AN186" s="191"/>
      <c r="AO186" s="190"/>
      <c r="AP186" s="191"/>
      <c r="AQ186" s="190"/>
      <c r="AR186" s="191"/>
      <c r="AS186" s="190"/>
      <c r="AT186" s="191"/>
      <c r="AU186" s="190"/>
      <c r="AV186" s="191"/>
      <c r="AW186" s="190"/>
      <c r="AX186" s="191"/>
      <c r="AY186" s="190"/>
      <c r="AZ186" s="191"/>
      <c r="BA186" s="145" t="str">
        <f>IFERROR(INDEX($E$4:$AZ$4,SUMPRODUCT(MAX(COLUMN(Tbl_PDSAData[[#This Row],[D1]:[M24]])*(ListLookup!$G$3=Tbl_PDSAData[[#This Row],[D1]:[M24]]))-4)),"")</f>
        <v/>
      </c>
      <c r="BB186" s="145" t="str">
        <f>IFERROR(INDEX($E$4:$AZ$4,SUMPRODUCT(MAX(COLUMN(Tbl_PDSAData[[#This Row],[D1]:[M24]])*(ListLookup!$H$3=Tbl_PDSAData[[#This Row],[D1]:[M24]]))-4)),"")</f>
        <v/>
      </c>
    </row>
    <row r="187" spans="1:54" s="74" customFormat="1" x14ac:dyDescent="0.25">
      <c r="A187" s="189"/>
      <c r="B187" s="134" t="str">
        <f>IFERROR(INDEX(Tbl_ResidentData[Physician],MATCH(Tbl_PDSAData[[#This Row],[Resident Name (last, first)]],Tbl_ResidentData[Resident Name '[last, first']],0))&amp;"","")</f>
        <v/>
      </c>
      <c r="C187" s="135" t="str">
        <f>IFERROR(INDEX(Tbl_ResidentData[Diagnosis (RAI)],MATCH(Tbl_PDSAData[[#This Row],[Resident Name (last, first)]],Tbl_ResidentData[Resident Name '[last, first']],0))&amp;"","")</f>
        <v/>
      </c>
      <c r="D187" s="144" t="str">
        <f>IFERROR(INDEX(Tbl_ResidentData[Clinical Notes
'[free text']],MATCH(Tbl_PDSAData[[#This Row],[Resident Name (last, first)]],Tbl_ResidentData[Resident Name '[last, first']],0))&amp;"","")</f>
        <v/>
      </c>
      <c r="E187" s="190"/>
      <c r="F187" s="191"/>
      <c r="G187" s="190"/>
      <c r="H187" s="191"/>
      <c r="I187" s="190"/>
      <c r="J187" s="191"/>
      <c r="K187" s="190"/>
      <c r="L187" s="191"/>
      <c r="M187" s="190"/>
      <c r="N187" s="191"/>
      <c r="O187" s="190"/>
      <c r="P187" s="191"/>
      <c r="Q187" s="190"/>
      <c r="R187" s="191"/>
      <c r="S187" s="190"/>
      <c r="T187" s="191"/>
      <c r="U187" s="190"/>
      <c r="V187" s="191"/>
      <c r="W187" s="190"/>
      <c r="X187" s="191"/>
      <c r="Y187" s="190"/>
      <c r="Z187" s="191"/>
      <c r="AA187" s="190"/>
      <c r="AB187" s="191"/>
      <c r="AC187" s="190"/>
      <c r="AD187" s="191"/>
      <c r="AE187" s="190"/>
      <c r="AF187" s="191"/>
      <c r="AG187" s="190"/>
      <c r="AH187" s="191"/>
      <c r="AI187" s="190"/>
      <c r="AJ187" s="191"/>
      <c r="AK187" s="190"/>
      <c r="AL187" s="191"/>
      <c r="AM187" s="190"/>
      <c r="AN187" s="191"/>
      <c r="AO187" s="190"/>
      <c r="AP187" s="191"/>
      <c r="AQ187" s="190"/>
      <c r="AR187" s="191"/>
      <c r="AS187" s="190"/>
      <c r="AT187" s="191"/>
      <c r="AU187" s="190"/>
      <c r="AV187" s="191"/>
      <c r="AW187" s="190"/>
      <c r="AX187" s="191"/>
      <c r="AY187" s="190"/>
      <c r="AZ187" s="191"/>
      <c r="BA187" s="145" t="str">
        <f>IFERROR(INDEX($E$4:$AZ$4,SUMPRODUCT(MAX(COLUMN(Tbl_PDSAData[[#This Row],[D1]:[M24]])*(ListLookup!$G$3=Tbl_PDSAData[[#This Row],[D1]:[M24]]))-4)),"")</f>
        <v/>
      </c>
      <c r="BB187" s="145" t="str">
        <f>IFERROR(INDEX($E$4:$AZ$4,SUMPRODUCT(MAX(COLUMN(Tbl_PDSAData[[#This Row],[D1]:[M24]])*(ListLookup!$H$3=Tbl_PDSAData[[#This Row],[D1]:[M24]]))-4)),"")</f>
        <v/>
      </c>
    </row>
    <row r="188" spans="1:54" s="74" customFormat="1" x14ac:dyDescent="0.25">
      <c r="A188" s="189"/>
      <c r="B188" s="134" t="str">
        <f>IFERROR(INDEX(Tbl_ResidentData[Physician],MATCH(Tbl_PDSAData[[#This Row],[Resident Name (last, first)]],Tbl_ResidentData[Resident Name '[last, first']],0))&amp;"","")</f>
        <v/>
      </c>
      <c r="C188" s="135" t="str">
        <f>IFERROR(INDEX(Tbl_ResidentData[Diagnosis (RAI)],MATCH(Tbl_PDSAData[[#This Row],[Resident Name (last, first)]],Tbl_ResidentData[Resident Name '[last, first']],0))&amp;"","")</f>
        <v/>
      </c>
      <c r="D188" s="144" t="str">
        <f>IFERROR(INDEX(Tbl_ResidentData[Clinical Notes
'[free text']],MATCH(Tbl_PDSAData[[#This Row],[Resident Name (last, first)]],Tbl_ResidentData[Resident Name '[last, first']],0))&amp;"","")</f>
        <v/>
      </c>
      <c r="E188" s="190"/>
      <c r="F188" s="191"/>
      <c r="G188" s="190"/>
      <c r="H188" s="191"/>
      <c r="I188" s="190"/>
      <c r="J188" s="191"/>
      <c r="K188" s="190"/>
      <c r="L188" s="191"/>
      <c r="M188" s="190"/>
      <c r="N188" s="191"/>
      <c r="O188" s="190"/>
      <c r="P188" s="191"/>
      <c r="Q188" s="190"/>
      <c r="R188" s="191"/>
      <c r="S188" s="190"/>
      <c r="T188" s="191"/>
      <c r="U188" s="190"/>
      <c r="V188" s="191"/>
      <c r="W188" s="190"/>
      <c r="X188" s="191"/>
      <c r="Y188" s="190"/>
      <c r="Z188" s="191"/>
      <c r="AA188" s="190"/>
      <c r="AB188" s="191"/>
      <c r="AC188" s="190"/>
      <c r="AD188" s="191"/>
      <c r="AE188" s="190"/>
      <c r="AF188" s="191"/>
      <c r="AG188" s="190"/>
      <c r="AH188" s="191"/>
      <c r="AI188" s="190"/>
      <c r="AJ188" s="191"/>
      <c r="AK188" s="190"/>
      <c r="AL188" s="191"/>
      <c r="AM188" s="190"/>
      <c r="AN188" s="191"/>
      <c r="AO188" s="190"/>
      <c r="AP188" s="191"/>
      <c r="AQ188" s="190"/>
      <c r="AR188" s="191"/>
      <c r="AS188" s="190"/>
      <c r="AT188" s="191"/>
      <c r="AU188" s="190"/>
      <c r="AV188" s="191"/>
      <c r="AW188" s="190"/>
      <c r="AX188" s="191"/>
      <c r="AY188" s="190"/>
      <c r="AZ188" s="191"/>
      <c r="BA188" s="145" t="str">
        <f>IFERROR(INDEX($E$4:$AZ$4,SUMPRODUCT(MAX(COLUMN(Tbl_PDSAData[[#This Row],[D1]:[M24]])*(ListLookup!$G$3=Tbl_PDSAData[[#This Row],[D1]:[M24]]))-4)),"")</f>
        <v/>
      </c>
      <c r="BB188" s="145" t="str">
        <f>IFERROR(INDEX($E$4:$AZ$4,SUMPRODUCT(MAX(COLUMN(Tbl_PDSAData[[#This Row],[D1]:[M24]])*(ListLookup!$H$3=Tbl_PDSAData[[#This Row],[D1]:[M24]]))-4)),"")</f>
        <v/>
      </c>
    </row>
    <row r="189" spans="1:54" s="74" customFormat="1" x14ac:dyDescent="0.25">
      <c r="A189" s="189"/>
      <c r="B189" s="134" t="str">
        <f>IFERROR(INDEX(Tbl_ResidentData[Physician],MATCH(Tbl_PDSAData[[#This Row],[Resident Name (last, first)]],Tbl_ResidentData[Resident Name '[last, first']],0))&amp;"","")</f>
        <v/>
      </c>
      <c r="C189" s="135" t="str">
        <f>IFERROR(INDEX(Tbl_ResidentData[Diagnosis (RAI)],MATCH(Tbl_PDSAData[[#This Row],[Resident Name (last, first)]],Tbl_ResidentData[Resident Name '[last, first']],0))&amp;"","")</f>
        <v/>
      </c>
      <c r="D189" s="144" t="str">
        <f>IFERROR(INDEX(Tbl_ResidentData[Clinical Notes
'[free text']],MATCH(Tbl_PDSAData[[#This Row],[Resident Name (last, first)]],Tbl_ResidentData[Resident Name '[last, first']],0))&amp;"","")</f>
        <v/>
      </c>
      <c r="E189" s="190"/>
      <c r="F189" s="191"/>
      <c r="G189" s="190"/>
      <c r="H189" s="191"/>
      <c r="I189" s="190"/>
      <c r="J189" s="191"/>
      <c r="K189" s="190"/>
      <c r="L189" s="191"/>
      <c r="M189" s="190"/>
      <c r="N189" s="191"/>
      <c r="O189" s="190"/>
      <c r="P189" s="191"/>
      <c r="Q189" s="190"/>
      <c r="R189" s="191"/>
      <c r="S189" s="190"/>
      <c r="T189" s="191"/>
      <c r="U189" s="190"/>
      <c r="V189" s="191"/>
      <c r="W189" s="190"/>
      <c r="X189" s="191"/>
      <c r="Y189" s="190"/>
      <c r="Z189" s="191"/>
      <c r="AA189" s="190"/>
      <c r="AB189" s="191"/>
      <c r="AC189" s="190"/>
      <c r="AD189" s="191"/>
      <c r="AE189" s="190"/>
      <c r="AF189" s="191"/>
      <c r="AG189" s="190"/>
      <c r="AH189" s="191"/>
      <c r="AI189" s="190"/>
      <c r="AJ189" s="191"/>
      <c r="AK189" s="190"/>
      <c r="AL189" s="191"/>
      <c r="AM189" s="190"/>
      <c r="AN189" s="191"/>
      <c r="AO189" s="190"/>
      <c r="AP189" s="191"/>
      <c r="AQ189" s="190"/>
      <c r="AR189" s="191"/>
      <c r="AS189" s="190"/>
      <c r="AT189" s="191"/>
      <c r="AU189" s="190"/>
      <c r="AV189" s="191"/>
      <c r="AW189" s="190"/>
      <c r="AX189" s="191"/>
      <c r="AY189" s="190"/>
      <c r="AZ189" s="191"/>
      <c r="BA189" s="145" t="str">
        <f>IFERROR(INDEX($E$4:$AZ$4,SUMPRODUCT(MAX(COLUMN(Tbl_PDSAData[[#This Row],[D1]:[M24]])*(ListLookup!$G$3=Tbl_PDSAData[[#This Row],[D1]:[M24]]))-4)),"")</f>
        <v/>
      </c>
      <c r="BB189" s="145" t="str">
        <f>IFERROR(INDEX($E$4:$AZ$4,SUMPRODUCT(MAX(COLUMN(Tbl_PDSAData[[#This Row],[D1]:[M24]])*(ListLookup!$H$3=Tbl_PDSAData[[#This Row],[D1]:[M24]]))-4)),"")</f>
        <v/>
      </c>
    </row>
    <row r="190" spans="1:54" s="74" customFormat="1" x14ac:dyDescent="0.25">
      <c r="A190" s="189"/>
      <c r="B190" s="134" t="str">
        <f>IFERROR(INDEX(Tbl_ResidentData[Physician],MATCH(Tbl_PDSAData[[#This Row],[Resident Name (last, first)]],Tbl_ResidentData[Resident Name '[last, first']],0))&amp;"","")</f>
        <v/>
      </c>
      <c r="C190" s="135" t="str">
        <f>IFERROR(INDEX(Tbl_ResidentData[Diagnosis (RAI)],MATCH(Tbl_PDSAData[[#This Row],[Resident Name (last, first)]],Tbl_ResidentData[Resident Name '[last, first']],0))&amp;"","")</f>
        <v/>
      </c>
      <c r="D190" s="144" t="str">
        <f>IFERROR(INDEX(Tbl_ResidentData[Clinical Notes
'[free text']],MATCH(Tbl_PDSAData[[#This Row],[Resident Name (last, first)]],Tbl_ResidentData[Resident Name '[last, first']],0))&amp;"","")</f>
        <v/>
      </c>
      <c r="E190" s="190"/>
      <c r="F190" s="191"/>
      <c r="G190" s="190"/>
      <c r="H190" s="191"/>
      <c r="I190" s="190"/>
      <c r="J190" s="191"/>
      <c r="K190" s="190"/>
      <c r="L190" s="191"/>
      <c r="M190" s="190"/>
      <c r="N190" s="191"/>
      <c r="O190" s="190"/>
      <c r="P190" s="191"/>
      <c r="Q190" s="190"/>
      <c r="R190" s="191"/>
      <c r="S190" s="190"/>
      <c r="T190" s="191"/>
      <c r="U190" s="190"/>
      <c r="V190" s="191"/>
      <c r="W190" s="190"/>
      <c r="X190" s="191"/>
      <c r="Y190" s="190"/>
      <c r="Z190" s="191"/>
      <c r="AA190" s="190"/>
      <c r="AB190" s="191"/>
      <c r="AC190" s="190"/>
      <c r="AD190" s="191"/>
      <c r="AE190" s="190"/>
      <c r="AF190" s="191"/>
      <c r="AG190" s="190"/>
      <c r="AH190" s="191"/>
      <c r="AI190" s="190"/>
      <c r="AJ190" s="191"/>
      <c r="AK190" s="190"/>
      <c r="AL190" s="191"/>
      <c r="AM190" s="190"/>
      <c r="AN190" s="191"/>
      <c r="AO190" s="190"/>
      <c r="AP190" s="191"/>
      <c r="AQ190" s="190"/>
      <c r="AR190" s="191"/>
      <c r="AS190" s="190"/>
      <c r="AT190" s="191"/>
      <c r="AU190" s="190"/>
      <c r="AV190" s="191"/>
      <c r="AW190" s="190"/>
      <c r="AX190" s="191"/>
      <c r="AY190" s="190"/>
      <c r="AZ190" s="191"/>
      <c r="BA190" s="145" t="str">
        <f>IFERROR(INDEX($E$4:$AZ$4,SUMPRODUCT(MAX(COLUMN(Tbl_PDSAData[[#This Row],[D1]:[M24]])*(ListLookup!$G$3=Tbl_PDSAData[[#This Row],[D1]:[M24]]))-4)),"")</f>
        <v/>
      </c>
      <c r="BB190" s="145" t="str">
        <f>IFERROR(INDEX($E$4:$AZ$4,SUMPRODUCT(MAX(COLUMN(Tbl_PDSAData[[#This Row],[D1]:[M24]])*(ListLookup!$H$3=Tbl_PDSAData[[#This Row],[D1]:[M24]]))-4)),"")</f>
        <v/>
      </c>
    </row>
    <row r="191" spans="1:54" s="74" customFormat="1" x14ac:dyDescent="0.25">
      <c r="A191" s="189"/>
      <c r="B191" s="134" t="str">
        <f>IFERROR(INDEX(Tbl_ResidentData[Physician],MATCH(Tbl_PDSAData[[#This Row],[Resident Name (last, first)]],Tbl_ResidentData[Resident Name '[last, first']],0))&amp;"","")</f>
        <v/>
      </c>
      <c r="C191" s="135" t="str">
        <f>IFERROR(INDEX(Tbl_ResidentData[Diagnosis (RAI)],MATCH(Tbl_PDSAData[[#This Row],[Resident Name (last, first)]],Tbl_ResidentData[Resident Name '[last, first']],0))&amp;"","")</f>
        <v/>
      </c>
      <c r="D191" s="144" t="str">
        <f>IFERROR(INDEX(Tbl_ResidentData[Clinical Notes
'[free text']],MATCH(Tbl_PDSAData[[#This Row],[Resident Name (last, first)]],Tbl_ResidentData[Resident Name '[last, first']],0))&amp;"","")</f>
        <v/>
      </c>
      <c r="E191" s="190"/>
      <c r="F191" s="191"/>
      <c r="G191" s="190"/>
      <c r="H191" s="191"/>
      <c r="I191" s="190"/>
      <c r="J191" s="191"/>
      <c r="K191" s="190"/>
      <c r="L191" s="191"/>
      <c r="M191" s="190"/>
      <c r="N191" s="191"/>
      <c r="O191" s="190"/>
      <c r="P191" s="191"/>
      <c r="Q191" s="190"/>
      <c r="R191" s="191"/>
      <c r="S191" s="190"/>
      <c r="T191" s="191"/>
      <c r="U191" s="190"/>
      <c r="V191" s="191"/>
      <c r="W191" s="190"/>
      <c r="X191" s="191"/>
      <c r="Y191" s="190"/>
      <c r="Z191" s="191"/>
      <c r="AA191" s="190"/>
      <c r="AB191" s="191"/>
      <c r="AC191" s="190"/>
      <c r="AD191" s="191"/>
      <c r="AE191" s="190"/>
      <c r="AF191" s="191"/>
      <c r="AG191" s="190"/>
      <c r="AH191" s="191"/>
      <c r="AI191" s="190"/>
      <c r="AJ191" s="191"/>
      <c r="AK191" s="190"/>
      <c r="AL191" s="191"/>
      <c r="AM191" s="190"/>
      <c r="AN191" s="191"/>
      <c r="AO191" s="190"/>
      <c r="AP191" s="191"/>
      <c r="AQ191" s="190"/>
      <c r="AR191" s="191"/>
      <c r="AS191" s="190"/>
      <c r="AT191" s="191"/>
      <c r="AU191" s="190"/>
      <c r="AV191" s="191"/>
      <c r="AW191" s="190"/>
      <c r="AX191" s="191"/>
      <c r="AY191" s="190"/>
      <c r="AZ191" s="191"/>
      <c r="BA191" s="145" t="str">
        <f>IFERROR(INDEX($E$4:$AZ$4,SUMPRODUCT(MAX(COLUMN(Tbl_PDSAData[[#This Row],[D1]:[M24]])*(ListLookup!$G$3=Tbl_PDSAData[[#This Row],[D1]:[M24]]))-4)),"")</f>
        <v/>
      </c>
      <c r="BB191" s="145" t="str">
        <f>IFERROR(INDEX($E$4:$AZ$4,SUMPRODUCT(MAX(COLUMN(Tbl_PDSAData[[#This Row],[D1]:[M24]])*(ListLookup!$H$3=Tbl_PDSAData[[#This Row],[D1]:[M24]]))-4)),"")</f>
        <v/>
      </c>
    </row>
    <row r="192" spans="1:54" s="74" customFormat="1" x14ac:dyDescent="0.25">
      <c r="A192" s="189"/>
      <c r="B192" s="134" t="str">
        <f>IFERROR(INDEX(Tbl_ResidentData[Physician],MATCH(Tbl_PDSAData[[#This Row],[Resident Name (last, first)]],Tbl_ResidentData[Resident Name '[last, first']],0))&amp;"","")</f>
        <v/>
      </c>
      <c r="C192" s="135" t="str">
        <f>IFERROR(INDEX(Tbl_ResidentData[Diagnosis (RAI)],MATCH(Tbl_PDSAData[[#This Row],[Resident Name (last, first)]],Tbl_ResidentData[Resident Name '[last, first']],0))&amp;"","")</f>
        <v/>
      </c>
      <c r="D192" s="144" t="str">
        <f>IFERROR(INDEX(Tbl_ResidentData[Clinical Notes
'[free text']],MATCH(Tbl_PDSAData[[#This Row],[Resident Name (last, first)]],Tbl_ResidentData[Resident Name '[last, first']],0))&amp;"","")</f>
        <v/>
      </c>
      <c r="E192" s="190"/>
      <c r="F192" s="191"/>
      <c r="G192" s="190"/>
      <c r="H192" s="191"/>
      <c r="I192" s="190"/>
      <c r="J192" s="191"/>
      <c r="K192" s="190"/>
      <c r="L192" s="191"/>
      <c r="M192" s="190"/>
      <c r="N192" s="191"/>
      <c r="O192" s="190"/>
      <c r="P192" s="191"/>
      <c r="Q192" s="190"/>
      <c r="R192" s="191"/>
      <c r="S192" s="190"/>
      <c r="T192" s="191"/>
      <c r="U192" s="190"/>
      <c r="V192" s="191"/>
      <c r="W192" s="190"/>
      <c r="X192" s="191"/>
      <c r="Y192" s="190"/>
      <c r="Z192" s="191"/>
      <c r="AA192" s="190"/>
      <c r="AB192" s="191"/>
      <c r="AC192" s="190"/>
      <c r="AD192" s="191"/>
      <c r="AE192" s="190"/>
      <c r="AF192" s="191"/>
      <c r="AG192" s="190"/>
      <c r="AH192" s="191"/>
      <c r="AI192" s="190"/>
      <c r="AJ192" s="191"/>
      <c r="AK192" s="190"/>
      <c r="AL192" s="191"/>
      <c r="AM192" s="190"/>
      <c r="AN192" s="191"/>
      <c r="AO192" s="190"/>
      <c r="AP192" s="191"/>
      <c r="AQ192" s="190"/>
      <c r="AR192" s="191"/>
      <c r="AS192" s="190"/>
      <c r="AT192" s="191"/>
      <c r="AU192" s="190"/>
      <c r="AV192" s="191"/>
      <c r="AW192" s="190"/>
      <c r="AX192" s="191"/>
      <c r="AY192" s="190"/>
      <c r="AZ192" s="191"/>
      <c r="BA192" s="145" t="str">
        <f>IFERROR(INDEX($E$4:$AZ$4,SUMPRODUCT(MAX(COLUMN(Tbl_PDSAData[[#This Row],[D1]:[M24]])*(ListLookup!$G$3=Tbl_PDSAData[[#This Row],[D1]:[M24]]))-4)),"")</f>
        <v/>
      </c>
      <c r="BB192" s="145" t="str">
        <f>IFERROR(INDEX($E$4:$AZ$4,SUMPRODUCT(MAX(COLUMN(Tbl_PDSAData[[#This Row],[D1]:[M24]])*(ListLookup!$H$3=Tbl_PDSAData[[#This Row],[D1]:[M24]]))-4)),"")</f>
        <v/>
      </c>
    </row>
    <row r="193" spans="1:54" s="74" customFormat="1" x14ac:dyDescent="0.25">
      <c r="A193" s="189"/>
      <c r="B193" s="134" t="str">
        <f>IFERROR(INDEX(Tbl_ResidentData[Physician],MATCH(Tbl_PDSAData[[#This Row],[Resident Name (last, first)]],Tbl_ResidentData[Resident Name '[last, first']],0))&amp;"","")</f>
        <v/>
      </c>
      <c r="C193" s="135" t="str">
        <f>IFERROR(INDEX(Tbl_ResidentData[Diagnosis (RAI)],MATCH(Tbl_PDSAData[[#This Row],[Resident Name (last, first)]],Tbl_ResidentData[Resident Name '[last, first']],0))&amp;"","")</f>
        <v/>
      </c>
      <c r="D193" s="144" t="str">
        <f>IFERROR(INDEX(Tbl_ResidentData[Clinical Notes
'[free text']],MATCH(Tbl_PDSAData[[#This Row],[Resident Name (last, first)]],Tbl_ResidentData[Resident Name '[last, first']],0))&amp;"","")</f>
        <v/>
      </c>
      <c r="E193" s="190"/>
      <c r="F193" s="191"/>
      <c r="G193" s="190"/>
      <c r="H193" s="191"/>
      <c r="I193" s="190"/>
      <c r="J193" s="191"/>
      <c r="K193" s="190"/>
      <c r="L193" s="191"/>
      <c r="M193" s="190"/>
      <c r="N193" s="191"/>
      <c r="O193" s="190"/>
      <c r="P193" s="191"/>
      <c r="Q193" s="190"/>
      <c r="R193" s="191"/>
      <c r="S193" s="190"/>
      <c r="T193" s="191"/>
      <c r="U193" s="190"/>
      <c r="V193" s="191"/>
      <c r="W193" s="190"/>
      <c r="X193" s="191"/>
      <c r="Y193" s="190"/>
      <c r="Z193" s="191"/>
      <c r="AA193" s="190"/>
      <c r="AB193" s="191"/>
      <c r="AC193" s="190"/>
      <c r="AD193" s="191"/>
      <c r="AE193" s="190"/>
      <c r="AF193" s="191"/>
      <c r="AG193" s="190"/>
      <c r="AH193" s="191"/>
      <c r="AI193" s="190"/>
      <c r="AJ193" s="191"/>
      <c r="AK193" s="190"/>
      <c r="AL193" s="191"/>
      <c r="AM193" s="190"/>
      <c r="AN193" s="191"/>
      <c r="AO193" s="190"/>
      <c r="AP193" s="191"/>
      <c r="AQ193" s="190"/>
      <c r="AR193" s="191"/>
      <c r="AS193" s="190"/>
      <c r="AT193" s="191"/>
      <c r="AU193" s="190"/>
      <c r="AV193" s="191"/>
      <c r="AW193" s="190"/>
      <c r="AX193" s="191"/>
      <c r="AY193" s="190"/>
      <c r="AZ193" s="191"/>
      <c r="BA193" s="145" t="str">
        <f>IFERROR(INDEX($E$4:$AZ$4,SUMPRODUCT(MAX(COLUMN(Tbl_PDSAData[[#This Row],[D1]:[M24]])*(ListLookup!$G$3=Tbl_PDSAData[[#This Row],[D1]:[M24]]))-4)),"")</f>
        <v/>
      </c>
      <c r="BB193" s="145" t="str">
        <f>IFERROR(INDEX($E$4:$AZ$4,SUMPRODUCT(MAX(COLUMN(Tbl_PDSAData[[#This Row],[D1]:[M24]])*(ListLookup!$H$3=Tbl_PDSAData[[#This Row],[D1]:[M24]]))-4)),"")</f>
        <v/>
      </c>
    </row>
    <row r="194" spans="1:54" s="74" customFormat="1" x14ac:dyDescent="0.25">
      <c r="A194" s="189"/>
      <c r="B194" s="134" t="str">
        <f>IFERROR(INDEX(Tbl_ResidentData[Physician],MATCH(Tbl_PDSAData[[#This Row],[Resident Name (last, first)]],Tbl_ResidentData[Resident Name '[last, first']],0))&amp;"","")</f>
        <v/>
      </c>
      <c r="C194" s="135" t="str">
        <f>IFERROR(INDEX(Tbl_ResidentData[Diagnosis (RAI)],MATCH(Tbl_PDSAData[[#This Row],[Resident Name (last, first)]],Tbl_ResidentData[Resident Name '[last, first']],0))&amp;"","")</f>
        <v/>
      </c>
      <c r="D194" s="144" t="str">
        <f>IFERROR(INDEX(Tbl_ResidentData[Clinical Notes
'[free text']],MATCH(Tbl_PDSAData[[#This Row],[Resident Name (last, first)]],Tbl_ResidentData[Resident Name '[last, first']],0))&amp;"","")</f>
        <v/>
      </c>
      <c r="E194" s="190"/>
      <c r="F194" s="191"/>
      <c r="G194" s="190"/>
      <c r="H194" s="191"/>
      <c r="I194" s="190"/>
      <c r="J194" s="191"/>
      <c r="K194" s="190"/>
      <c r="L194" s="191"/>
      <c r="M194" s="190"/>
      <c r="N194" s="191"/>
      <c r="O194" s="190"/>
      <c r="P194" s="191"/>
      <c r="Q194" s="190"/>
      <c r="R194" s="191"/>
      <c r="S194" s="190"/>
      <c r="T194" s="191"/>
      <c r="U194" s="190"/>
      <c r="V194" s="191"/>
      <c r="W194" s="190"/>
      <c r="X194" s="191"/>
      <c r="Y194" s="190"/>
      <c r="Z194" s="191"/>
      <c r="AA194" s="190"/>
      <c r="AB194" s="191"/>
      <c r="AC194" s="190"/>
      <c r="AD194" s="191"/>
      <c r="AE194" s="190"/>
      <c r="AF194" s="191"/>
      <c r="AG194" s="190"/>
      <c r="AH194" s="191"/>
      <c r="AI194" s="190"/>
      <c r="AJ194" s="191"/>
      <c r="AK194" s="190"/>
      <c r="AL194" s="191"/>
      <c r="AM194" s="190"/>
      <c r="AN194" s="191"/>
      <c r="AO194" s="190"/>
      <c r="AP194" s="191"/>
      <c r="AQ194" s="190"/>
      <c r="AR194" s="191"/>
      <c r="AS194" s="190"/>
      <c r="AT194" s="191"/>
      <c r="AU194" s="190"/>
      <c r="AV194" s="191"/>
      <c r="AW194" s="190"/>
      <c r="AX194" s="191"/>
      <c r="AY194" s="190"/>
      <c r="AZ194" s="191"/>
      <c r="BA194" s="145" t="str">
        <f>IFERROR(INDEX($E$4:$AZ$4,SUMPRODUCT(MAX(COLUMN(Tbl_PDSAData[[#This Row],[D1]:[M24]])*(ListLookup!$G$3=Tbl_PDSAData[[#This Row],[D1]:[M24]]))-4)),"")</f>
        <v/>
      </c>
      <c r="BB194" s="145" t="str">
        <f>IFERROR(INDEX($E$4:$AZ$4,SUMPRODUCT(MAX(COLUMN(Tbl_PDSAData[[#This Row],[D1]:[M24]])*(ListLookup!$H$3=Tbl_PDSAData[[#This Row],[D1]:[M24]]))-4)),"")</f>
        <v/>
      </c>
    </row>
    <row r="195" spans="1:54" s="74" customFormat="1" x14ac:dyDescent="0.25">
      <c r="A195" s="189"/>
      <c r="B195" s="134" t="str">
        <f>IFERROR(INDEX(Tbl_ResidentData[Physician],MATCH(Tbl_PDSAData[[#This Row],[Resident Name (last, first)]],Tbl_ResidentData[Resident Name '[last, first']],0))&amp;"","")</f>
        <v/>
      </c>
      <c r="C195" s="135" t="str">
        <f>IFERROR(INDEX(Tbl_ResidentData[Diagnosis (RAI)],MATCH(Tbl_PDSAData[[#This Row],[Resident Name (last, first)]],Tbl_ResidentData[Resident Name '[last, first']],0))&amp;"","")</f>
        <v/>
      </c>
      <c r="D195" s="144" t="str">
        <f>IFERROR(INDEX(Tbl_ResidentData[Clinical Notes
'[free text']],MATCH(Tbl_PDSAData[[#This Row],[Resident Name (last, first)]],Tbl_ResidentData[Resident Name '[last, first']],0))&amp;"","")</f>
        <v/>
      </c>
      <c r="E195" s="190"/>
      <c r="F195" s="191"/>
      <c r="G195" s="190"/>
      <c r="H195" s="191"/>
      <c r="I195" s="190"/>
      <c r="J195" s="191"/>
      <c r="K195" s="190"/>
      <c r="L195" s="191"/>
      <c r="M195" s="190"/>
      <c r="N195" s="191"/>
      <c r="O195" s="190"/>
      <c r="P195" s="191"/>
      <c r="Q195" s="190"/>
      <c r="R195" s="191"/>
      <c r="S195" s="190"/>
      <c r="T195" s="191"/>
      <c r="U195" s="190"/>
      <c r="V195" s="191"/>
      <c r="W195" s="190"/>
      <c r="X195" s="191"/>
      <c r="Y195" s="190"/>
      <c r="Z195" s="191"/>
      <c r="AA195" s="190"/>
      <c r="AB195" s="191"/>
      <c r="AC195" s="190"/>
      <c r="AD195" s="191"/>
      <c r="AE195" s="190"/>
      <c r="AF195" s="191"/>
      <c r="AG195" s="190"/>
      <c r="AH195" s="191"/>
      <c r="AI195" s="190"/>
      <c r="AJ195" s="191"/>
      <c r="AK195" s="190"/>
      <c r="AL195" s="191"/>
      <c r="AM195" s="190"/>
      <c r="AN195" s="191"/>
      <c r="AO195" s="190"/>
      <c r="AP195" s="191"/>
      <c r="AQ195" s="190"/>
      <c r="AR195" s="191"/>
      <c r="AS195" s="190"/>
      <c r="AT195" s="191"/>
      <c r="AU195" s="190"/>
      <c r="AV195" s="191"/>
      <c r="AW195" s="190"/>
      <c r="AX195" s="191"/>
      <c r="AY195" s="190"/>
      <c r="AZ195" s="191"/>
      <c r="BA195" s="145" t="str">
        <f>IFERROR(INDEX($E$4:$AZ$4,SUMPRODUCT(MAX(COLUMN(Tbl_PDSAData[[#This Row],[D1]:[M24]])*(ListLookup!$G$3=Tbl_PDSAData[[#This Row],[D1]:[M24]]))-4)),"")</f>
        <v/>
      </c>
      <c r="BB195" s="145" t="str">
        <f>IFERROR(INDEX($E$4:$AZ$4,SUMPRODUCT(MAX(COLUMN(Tbl_PDSAData[[#This Row],[D1]:[M24]])*(ListLookup!$H$3=Tbl_PDSAData[[#This Row],[D1]:[M24]]))-4)),"")</f>
        <v/>
      </c>
    </row>
    <row r="196" spans="1:54" s="74" customFormat="1" x14ac:dyDescent="0.25">
      <c r="A196" s="189"/>
      <c r="B196" s="134" t="str">
        <f>IFERROR(INDEX(Tbl_ResidentData[Physician],MATCH(Tbl_PDSAData[[#This Row],[Resident Name (last, first)]],Tbl_ResidentData[Resident Name '[last, first']],0))&amp;"","")</f>
        <v/>
      </c>
      <c r="C196" s="135" t="str">
        <f>IFERROR(INDEX(Tbl_ResidentData[Diagnosis (RAI)],MATCH(Tbl_PDSAData[[#This Row],[Resident Name (last, first)]],Tbl_ResidentData[Resident Name '[last, first']],0))&amp;"","")</f>
        <v/>
      </c>
      <c r="D196" s="144" t="str">
        <f>IFERROR(INDEX(Tbl_ResidentData[Clinical Notes
'[free text']],MATCH(Tbl_PDSAData[[#This Row],[Resident Name (last, first)]],Tbl_ResidentData[Resident Name '[last, first']],0))&amp;"","")</f>
        <v/>
      </c>
      <c r="E196" s="190"/>
      <c r="F196" s="191"/>
      <c r="G196" s="190"/>
      <c r="H196" s="191"/>
      <c r="I196" s="190"/>
      <c r="J196" s="191"/>
      <c r="K196" s="190"/>
      <c r="L196" s="191"/>
      <c r="M196" s="190"/>
      <c r="N196" s="191"/>
      <c r="O196" s="190"/>
      <c r="P196" s="191"/>
      <c r="Q196" s="190"/>
      <c r="R196" s="191"/>
      <c r="S196" s="190"/>
      <c r="T196" s="191"/>
      <c r="U196" s="190"/>
      <c r="V196" s="191"/>
      <c r="W196" s="190"/>
      <c r="X196" s="191"/>
      <c r="Y196" s="190"/>
      <c r="Z196" s="191"/>
      <c r="AA196" s="190"/>
      <c r="AB196" s="191"/>
      <c r="AC196" s="190"/>
      <c r="AD196" s="191"/>
      <c r="AE196" s="190"/>
      <c r="AF196" s="191"/>
      <c r="AG196" s="190"/>
      <c r="AH196" s="191"/>
      <c r="AI196" s="190"/>
      <c r="AJ196" s="191"/>
      <c r="AK196" s="190"/>
      <c r="AL196" s="191"/>
      <c r="AM196" s="190"/>
      <c r="AN196" s="191"/>
      <c r="AO196" s="190"/>
      <c r="AP196" s="191"/>
      <c r="AQ196" s="190"/>
      <c r="AR196" s="191"/>
      <c r="AS196" s="190"/>
      <c r="AT196" s="191"/>
      <c r="AU196" s="190"/>
      <c r="AV196" s="191"/>
      <c r="AW196" s="190"/>
      <c r="AX196" s="191"/>
      <c r="AY196" s="190"/>
      <c r="AZ196" s="191"/>
      <c r="BA196" s="145" t="str">
        <f>IFERROR(INDEX($E$4:$AZ$4,SUMPRODUCT(MAX(COLUMN(Tbl_PDSAData[[#This Row],[D1]:[M24]])*(ListLookup!$G$3=Tbl_PDSAData[[#This Row],[D1]:[M24]]))-4)),"")</f>
        <v/>
      </c>
      <c r="BB196" s="145" t="str">
        <f>IFERROR(INDEX($E$4:$AZ$4,SUMPRODUCT(MAX(COLUMN(Tbl_PDSAData[[#This Row],[D1]:[M24]])*(ListLookup!$H$3=Tbl_PDSAData[[#This Row],[D1]:[M24]]))-4)),"")</f>
        <v/>
      </c>
    </row>
    <row r="197" spans="1:54" s="74" customFormat="1" x14ac:dyDescent="0.25">
      <c r="A197" s="189"/>
      <c r="B197" s="134" t="str">
        <f>IFERROR(INDEX(Tbl_ResidentData[Physician],MATCH(Tbl_PDSAData[[#This Row],[Resident Name (last, first)]],Tbl_ResidentData[Resident Name '[last, first']],0))&amp;"","")</f>
        <v/>
      </c>
      <c r="C197" s="135" t="str">
        <f>IFERROR(INDEX(Tbl_ResidentData[Diagnosis (RAI)],MATCH(Tbl_PDSAData[[#This Row],[Resident Name (last, first)]],Tbl_ResidentData[Resident Name '[last, first']],0))&amp;"","")</f>
        <v/>
      </c>
      <c r="D197" s="144" t="str">
        <f>IFERROR(INDEX(Tbl_ResidentData[Clinical Notes
'[free text']],MATCH(Tbl_PDSAData[[#This Row],[Resident Name (last, first)]],Tbl_ResidentData[Resident Name '[last, first']],0))&amp;"","")</f>
        <v/>
      </c>
      <c r="E197" s="190"/>
      <c r="F197" s="191"/>
      <c r="G197" s="190"/>
      <c r="H197" s="191"/>
      <c r="I197" s="190"/>
      <c r="J197" s="191"/>
      <c r="K197" s="190"/>
      <c r="L197" s="191"/>
      <c r="M197" s="190"/>
      <c r="N197" s="191"/>
      <c r="O197" s="190"/>
      <c r="P197" s="191"/>
      <c r="Q197" s="190"/>
      <c r="R197" s="191"/>
      <c r="S197" s="190"/>
      <c r="T197" s="191"/>
      <c r="U197" s="190"/>
      <c r="V197" s="191"/>
      <c r="W197" s="190"/>
      <c r="X197" s="191"/>
      <c r="Y197" s="190"/>
      <c r="Z197" s="191"/>
      <c r="AA197" s="190"/>
      <c r="AB197" s="191"/>
      <c r="AC197" s="190"/>
      <c r="AD197" s="191"/>
      <c r="AE197" s="190"/>
      <c r="AF197" s="191"/>
      <c r="AG197" s="190"/>
      <c r="AH197" s="191"/>
      <c r="AI197" s="190"/>
      <c r="AJ197" s="191"/>
      <c r="AK197" s="190"/>
      <c r="AL197" s="191"/>
      <c r="AM197" s="190"/>
      <c r="AN197" s="191"/>
      <c r="AO197" s="190"/>
      <c r="AP197" s="191"/>
      <c r="AQ197" s="190"/>
      <c r="AR197" s="191"/>
      <c r="AS197" s="190"/>
      <c r="AT197" s="191"/>
      <c r="AU197" s="190"/>
      <c r="AV197" s="191"/>
      <c r="AW197" s="190"/>
      <c r="AX197" s="191"/>
      <c r="AY197" s="190"/>
      <c r="AZ197" s="191"/>
      <c r="BA197" s="145" t="str">
        <f>IFERROR(INDEX($E$4:$AZ$4,SUMPRODUCT(MAX(COLUMN(Tbl_PDSAData[[#This Row],[D1]:[M24]])*(ListLookup!$G$3=Tbl_PDSAData[[#This Row],[D1]:[M24]]))-4)),"")</f>
        <v/>
      </c>
      <c r="BB197" s="145" t="str">
        <f>IFERROR(INDEX($E$4:$AZ$4,SUMPRODUCT(MAX(COLUMN(Tbl_PDSAData[[#This Row],[D1]:[M24]])*(ListLookup!$H$3=Tbl_PDSAData[[#This Row],[D1]:[M24]]))-4)),"")</f>
        <v/>
      </c>
    </row>
    <row r="198" spans="1:54" s="74" customFormat="1" x14ac:dyDescent="0.25">
      <c r="A198" s="189"/>
      <c r="B198" s="134" t="str">
        <f>IFERROR(INDEX(Tbl_ResidentData[Physician],MATCH(Tbl_PDSAData[[#This Row],[Resident Name (last, first)]],Tbl_ResidentData[Resident Name '[last, first']],0))&amp;"","")</f>
        <v/>
      </c>
      <c r="C198" s="135" t="str">
        <f>IFERROR(INDEX(Tbl_ResidentData[Diagnosis (RAI)],MATCH(Tbl_PDSAData[[#This Row],[Resident Name (last, first)]],Tbl_ResidentData[Resident Name '[last, first']],0))&amp;"","")</f>
        <v/>
      </c>
      <c r="D198" s="144" t="str">
        <f>IFERROR(INDEX(Tbl_ResidentData[Clinical Notes
'[free text']],MATCH(Tbl_PDSAData[[#This Row],[Resident Name (last, first)]],Tbl_ResidentData[Resident Name '[last, first']],0))&amp;"","")</f>
        <v/>
      </c>
      <c r="E198" s="190"/>
      <c r="F198" s="191"/>
      <c r="G198" s="190"/>
      <c r="H198" s="191"/>
      <c r="I198" s="190"/>
      <c r="J198" s="191"/>
      <c r="K198" s="190"/>
      <c r="L198" s="191"/>
      <c r="M198" s="190"/>
      <c r="N198" s="191"/>
      <c r="O198" s="190"/>
      <c r="P198" s="191"/>
      <c r="Q198" s="190"/>
      <c r="R198" s="191"/>
      <c r="S198" s="190"/>
      <c r="T198" s="191"/>
      <c r="U198" s="190"/>
      <c r="V198" s="191"/>
      <c r="W198" s="190"/>
      <c r="X198" s="191"/>
      <c r="Y198" s="190"/>
      <c r="Z198" s="191"/>
      <c r="AA198" s="190"/>
      <c r="AB198" s="191"/>
      <c r="AC198" s="190"/>
      <c r="AD198" s="191"/>
      <c r="AE198" s="190"/>
      <c r="AF198" s="191"/>
      <c r="AG198" s="190"/>
      <c r="AH198" s="191"/>
      <c r="AI198" s="190"/>
      <c r="AJ198" s="191"/>
      <c r="AK198" s="190"/>
      <c r="AL198" s="191"/>
      <c r="AM198" s="190"/>
      <c r="AN198" s="191"/>
      <c r="AO198" s="190"/>
      <c r="AP198" s="191"/>
      <c r="AQ198" s="190"/>
      <c r="AR198" s="191"/>
      <c r="AS198" s="190"/>
      <c r="AT198" s="191"/>
      <c r="AU198" s="190"/>
      <c r="AV198" s="191"/>
      <c r="AW198" s="190"/>
      <c r="AX198" s="191"/>
      <c r="AY198" s="190"/>
      <c r="AZ198" s="191"/>
      <c r="BA198" s="145" t="str">
        <f>IFERROR(INDEX($E$4:$AZ$4,SUMPRODUCT(MAX(COLUMN(Tbl_PDSAData[[#This Row],[D1]:[M24]])*(ListLookup!$G$3=Tbl_PDSAData[[#This Row],[D1]:[M24]]))-4)),"")</f>
        <v/>
      </c>
      <c r="BB198" s="145" t="str">
        <f>IFERROR(INDEX($E$4:$AZ$4,SUMPRODUCT(MAX(COLUMN(Tbl_PDSAData[[#This Row],[D1]:[M24]])*(ListLookup!$H$3=Tbl_PDSAData[[#This Row],[D1]:[M24]]))-4)),"")</f>
        <v/>
      </c>
    </row>
    <row r="199" spans="1:54" s="74" customFormat="1" x14ac:dyDescent="0.25">
      <c r="A199" s="189"/>
      <c r="B199" s="134" t="str">
        <f>IFERROR(INDEX(Tbl_ResidentData[Physician],MATCH(Tbl_PDSAData[[#This Row],[Resident Name (last, first)]],Tbl_ResidentData[Resident Name '[last, first']],0))&amp;"","")</f>
        <v/>
      </c>
      <c r="C199" s="135" t="str">
        <f>IFERROR(INDEX(Tbl_ResidentData[Diagnosis (RAI)],MATCH(Tbl_PDSAData[[#This Row],[Resident Name (last, first)]],Tbl_ResidentData[Resident Name '[last, first']],0))&amp;"","")</f>
        <v/>
      </c>
      <c r="D199" s="144" t="str">
        <f>IFERROR(INDEX(Tbl_ResidentData[Clinical Notes
'[free text']],MATCH(Tbl_PDSAData[[#This Row],[Resident Name (last, first)]],Tbl_ResidentData[Resident Name '[last, first']],0))&amp;"","")</f>
        <v/>
      </c>
      <c r="E199" s="190"/>
      <c r="F199" s="191"/>
      <c r="G199" s="190"/>
      <c r="H199" s="191"/>
      <c r="I199" s="190"/>
      <c r="J199" s="191"/>
      <c r="K199" s="190"/>
      <c r="L199" s="191"/>
      <c r="M199" s="190"/>
      <c r="N199" s="191"/>
      <c r="O199" s="190"/>
      <c r="P199" s="191"/>
      <c r="Q199" s="190"/>
      <c r="R199" s="191"/>
      <c r="S199" s="190"/>
      <c r="T199" s="191"/>
      <c r="U199" s="190"/>
      <c r="V199" s="191"/>
      <c r="W199" s="190"/>
      <c r="X199" s="191"/>
      <c r="Y199" s="190"/>
      <c r="Z199" s="191"/>
      <c r="AA199" s="190"/>
      <c r="AB199" s="191"/>
      <c r="AC199" s="190"/>
      <c r="AD199" s="191"/>
      <c r="AE199" s="190"/>
      <c r="AF199" s="191"/>
      <c r="AG199" s="190"/>
      <c r="AH199" s="191"/>
      <c r="AI199" s="190"/>
      <c r="AJ199" s="191"/>
      <c r="AK199" s="190"/>
      <c r="AL199" s="191"/>
      <c r="AM199" s="190"/>
      <c r="AN199" s="191"/>
      <c r="AO199" s="190"/>
      <c r="AP199" s="191"/>
      <c r="AQ199" s="190"/>
      <c r="AR199" s="191"/>
      <c r="AS199" s="190"/>
      <c r="AT199" s="191"/>
      <c r="AU199" s="190"/>
      <c r="AV199" s="191"/>
      <c r="AW199" s="190"/>
      <c r="AX199" s="191"/>
      <c r="AY199" s="190"/>
      <c r="AZ199" s="191"/>
      <c r="BA199" s="145" t="str">
        <f>IFERROR(INDEX($E$4:$AZ$4,SUMPRODUCT(MAX(COLUMN(Tbl_PDSAData[[#This Row],[D1]:[M24]])*(ListLookup!$G$3=Tbl_PDSAData[[#This Row],[D1]:[M24]]))-4)),"")</f>
        <v/>
      </c>
      <c r="BB199" s="145" t="str">
        <f>IFERROR(INDEX($E$4:$AZ$4,SUMPRODUCT(MAX(COLUMN(Tbl_PDSAData[[#This Row],[D1]:[M24]])*(ListLookup!$H$3=Tbl_PDSAData[[#This Row],[D1]:[M24]]))-4)),"")</f>
        <v/>
      </c>
    </row>
    <row r="200" spans="1:54" s="74" customFormat="1" x14ac:dyDescent="0.25">
      <c r="A200" s="189"/>
      <c r="B200" s="134" t="str">
        <f>IFERROR(INDEX(Tbl_ResidentData[Physician],MATCH(Tbl_PDSAData[[#This Row],[Resident Name (last, first)]],Tbl_ResidentData[Resident Name '[last, first']],0))&amp;"","")</f>
        <v/>
      </c>
      <c r="C200" s="135" t="str">
        <f>IFERROR(INDEX(Tbl_ResidentData[Diagnosis (RAI)],MATCH(Tbl_PDSAData[[#This Row],[Resident Name (last, first)]],Tbl_ResidentData[Resident Name '[last, first']],0))&amp;"","")</f>
        <v/>
      </c>
      <c r="D200" s="144" t="str">
        <f>IFERROR(INDEX(Tbl_ResidentData[Clinical Notes
'[free text']],MATCH(Tbl_PDSAData[[#This Row],[Resident Name (last, first)]],Tbl_ResidentData[Resident Name '[last, first']],0))&amp;"","")</f>
        <v/>
      </c>
      <c r="E200" s="190"/>
      <c r="F200" s="191"/>
      <c r="G200" s="190"/>
      <c r="H200" s="191"/>
      <c r="I200" s="190"/>
      <c r="J200" s="191"/>
      <c r="K200" s="190"/>
      <c r="L200" s="191"/>
      <c r="M200" s="190"/>
      <c r="N200" s="191"/>
      <c r="O200" s="190"/>
      <c r="P200" s="191"/>
      <c r="Q200" s="190"/>
      <c r="R200" s="191"/>
      <c r="S200" s="190"/>
      <c r="T200" s="191"/>
      <c r="U200" s="190"/>
      <c r="V200" s="191"/>
      <c r="W200" s="190"/>
      <c r="X200" s="191"/>
      <c r="Y200" s="190"/>
      <c r="Z200" s="191"/>
      <c r="AA200" s="190"/>
      <c r="AB200" s="191"/>
      <c r="AC200" s="190"/>
      <c r="AD200" s="191"/>
      <c r="AE200" s="190"/>
      <c r="AF200" s="191"/>
      <c r="AG200" s="190"/>
      <c r="AH200" s="191"/>
      <c r="AI200" s="190"/>
      <c r="AJ200" s="191"/>
      <c r="AK200" s="190"/>
      <c r="AL200" s="191"/>
      <c r="AM200" s="190"/>
      <c r="AN200" s="191"/>
      <c r="AO200" s="190"/>
      <c r="AP200" s="191"/>
      <c r="AQ200" s="190"/>
      <c r="AR200" s="191"/>
      <c r="AS200" s="190"/>
      <c r="AT200" s="191"/>
      <c r="AU200" s="190"/>
      <c r="AV200" s="191"/>
      <c r="AW200" s="190"/>
      <c r="AX200" s="191"/>
      <c r="AY200" s="190"/>
      <c r="AZ200" s="191"/>
      <c r="BA200" s="145" t="str">
        <f>IFERROR(INDEX($E$4:$AZ$4,SUMPRODUCT(MAX(COLUMN(Tbl_PDSAData[[#This Row],[D1]:[M24]])*(ListLookup!$G$3=Tbl_PDSAData[[#This Row],[D1]:[M24]]))-4)),"")</f>
        <v/>
      </c>
      <c r="BB200" s="145" t="str">
        <f>IFERROR(INDEX($E$4:$AZ$4,SUMPRODUCT(MAX(COLUMN(Tbl_PDSAData[[#This Row],[D1]:[M24]])*(ListLookup!$H$3=Tbl_PDSAData[[#This Row],[D1]:[M24]]))-4)),"")</f>
        <v/>
      </c>
    </row>
    <row r="201" spans="1:54" s="74" customFormat="1" x14ac:dyDescent="0.25">
      <c r="A201" s="189"/>
      <c r="B201" s="134" t="str">
        <f>IFERROR(INDEX(Tbl_ResidentData[Physician],MATCH(Tbl_PDSAData[[#This Row],[Resident Name (last, first)]],Tbl_ResidentData[Resident Name '[last, first']],0))&amp;"","")</f>
        <v/>
      </c>
      <c r="C201" s="135" t="str">
        <f>IFERROR(INDEX(Tbl_ResidentData[Diagnosis (RAI)],MATCH(Tbl_PDSAData[[#This Row],[Resident Name (last, first)]],Tbl_ResidentData[Resident Name '[last, first']],0))&amp;"","")</f>
        <v/>
      </c>
      <c r="D201" s="144" t="str">
        <f>IFERROR(INDEX(Tbl_ResidentData[Clinical Notes
'[free text']],MATCH(Tbl_PDSAData[[#This Row],[Resident Name (last, first)]],Tbl_ResidentData[Resident Name '[last, first']],0))&amp;"","")</f>
        <v/>
      </c>
      <c r="E201" s="190"/>
      <c r="F201" s="191"/>
      <c r="G201" s="190"/>
      <c r="H201" s="191"/>
      <c r="I201" s="190"/>
      <c r="J201" s="191"/>
      <c r="K201" s="190"/>
      <c r="L201" s="191"/>
      <c r="M201" s="190"/>
      <c r="N201" s="191"/>
      <c r="O201" s="190"/>
      <c r="P201" s="191"/>
      <c r="Q201" s="190"/>
      <c r="R201" s="191"/>
      <c r="S201" s="190"/>
      <c r="T201" s="191"/>
      <c r="U201" s="190"/>
      <c r="V201" s="191"/>
      <c r="W201" s="190"/>
      <c r="X201" s="191"/>
      <c r="Y201" s="190"/>
      <c r="Z201" s="191"/>
      <c r="AA201" s="190"/>
      <c r="AB201" s="191"/>
      <c r="AC201" s="190"/>
      <c r="AD201" s="191"/>
      <c r="AE201" s="190"/>
      <c r="AF201" s="191"/>
      <c r="AG201" s="190"/>
      <c r="AH201" s="191"/>
      <c r="AI201" s="190"/>
      <c r="AJ201" s="191"/>
      <c r="AK201" s="190"/>
      <c r="AL201" s="191"/>
      <c r="AM201" s="190"/>
      <c r="AN201" s="191"/>
      <c r="AO201" s="190"/>
      <c r="AP201" s="191"/>
      <c r="AQ201" s="190"/>
      <c r="AR201" s="191"/>
      <c r="AS201" s="190"/>
      <c r="AT201" s="191"/>
      <c r="AU201" s="190"/>
      <c r="AV201" s="191"/>
      <c r="AW201" s="190"/>
      <c r="AX201" s="191"/>
      <c r="AY201" s="190"/>
      <c r="AZ201" s="191"/>
      <c r="BA201" s="145" t="str">
        <f>IFERROR(INDEX($E$4:$AZ$4,SUMPRODUCT(MAX(COLUMN(Tbl_PDSAData[[#This Row],[D1]:[M24]])*(ListLookup!$G$3=Tbl_PDSAData[[#This Row],[D1]:[M24]]))-4)),"")</f>
        <v/>
      </c>
      <c r="BB201" s="145" t="str">
        <f>IFERROR(INDEX($E$4:$AZ$4,SUMPRODUCT(MAX(COLUMN(Tbl_PDSAData[[#This Row],[D1]:[M24]])*(ListLookup!$H$3=Tbl_PDSAData[[#This Row],[D1]:[M24]]))-4)),"")</f>
        <v/>
      </c>
    </row>
    <row r="202" spans="1:54" s="74" customFormat="1" x14ac:dyDescent="0.25">
      <c r="A202" s="189"/>
      <c r="B202" s="134" t="str">
        <f>IFERROR(INDEX(Tbl_ResidentData[Physician],MATCH(Tbl_PDSAData[[#This Row],[Resident Name (last, first)]],Tbl_ResidentData[Resident Name '[last, first']],0))&amp;"","")</f>
        <v/>
      </c>
      <c r="C202" s="135" t="str">
        <f>IFERROR(INDEX(Tbl_ResidentData[Diagnosis (RAI)],MATCH(Tbl_PDSAData[[#This Row],[Resident Name (last, first)]],Tbl_ResidentData[Resident Name '[last, first']],0))&amp;"","")</f>
        <v/>
      </c>
      <c r="D202" s="144" t="str">
        <f>IFERROR(INDEX(Tbl_ResidentData[Clinical Notes
'[free text']],MATCH(Tbl_PDSAData[[#This Row],[Resident Name (last, first)]],Tbl_ResidentData[Resident Name '[last, first']],0))&amp;"","")</f>
        <v/>
      </c>
      <c r="E202" s="190"/>
      <c r="F202" s="191"/>
      <c r="G202" s="190"/>
      <c r="H202" s="191"/>
      <c r="I202" s="190"/>
      <c r="J202" s="191"/>
      <c r="K202" s="190"/>
      <c r="L202" s="191"/>
      <c r="M202" s="190"/>
      <c r="N202" s="191"/>
      <c r="O202" s="190"/>
      <c r="P202" s="191"/>
      <c r="Q202" s="190"/>
      <c r="R202" s="191"/>
      <c r="S202" s="190"/>
      <c r="T202" s="191"/>
      <c r="U202" s="190"/>
      <c r="V202" s="191"/>
      <c r="W202" s="190"/>
      <c r="X202" s="191"/>
      <c r="Y202" s="190"/>
      <c r="Z202" s="191"/>
      <c r="AA202" s="190"/>
      <c r="AB202" s="191"/>
      <c r="AC202" s="190"/>
      <c r="AD202" s="191"/>
      <c r="AE202" s="190"/>
      <c r="AF202" s="191"/>
      <c r="AG202" s="190"/>
      <c r="AH202" s="191"/>
      <c r="AI202" s="190"/>
      <c r="AJ202" s="191"/>
      <c r="AK202" s="190"/>
      <c r="AL202" s="191"/>
      <c r="AM202" s="190"/>
      <c r="AN202" s="191"/>
      <c r="AO202" s="190"/>
      <c r="AP202" s="191"/>
      <c r="AQ202" s="190"/>
      <c r="AR202" s="191"/>
      <c r="AS202" s="190"/>
      <c r="AT202" s="191"/>
      <c r="AU202" s="190"/>
      <c r="AV202" s="191"/>
      <c r="AW202" s="190"/>
      <c r="AX202" s="191"/>
      <c r="AY202" s="190"/>
      <c r="AZ202" s="191"/>
      <c r="BA202" s="145" t="str">
        <f>IFERROR(INDEX($E$4:$AZ$4,SUMPRODUCT(MAX(COLUMN(Tbl_PDSAData[[#This Row],[D1]:[M24]])*(ListLookup!$G$3=Tbl_PDSAData[[#This Row],[D1]:[M24]]))-4)),"")</f>
        <v/>
      </c>
      <c r="BB202" s="145" t="str">
        <f>IFERROR(INDEX($E$4:$AZ$4,SUMPRODUCT(MAX(COLUMN(Tbl_PDSAData[[#This Row],[D1]:[M24]])*(ListLookup!$H$3=Tbl_PDSAData[[#This Row],[D1]:[M24]]))-4)),"")</f>
        <v/>
      </c>
    </row>
    <row r="203" spans="1:54" s="74" customFormat="1" x14ac:dyDescent="0.25">
      <c r="A203" s="189"/>
      <c r="B203" s="134" t="str">
        <f>IFERROR(INDEX(Tbl_ResidentData[Physician],MATCH(Tbl_PDSAData[[#This Row],[Resident Name (last, first)]],Tbl_ResidentData[Resident Name '[last, first']],0))&amp;"","")</f>
        <v/>
      </c>
      <c r="C203" s="135" t="str">
        <f>IFERROR(INDEX(Tbl_ResidentData[Diagnosis (RAI)],MATCH(Tbl_PDSAData[[#This Row],[Resident Name (last, first)]],Tbl_ResidentData[Resident Name '[last, first']],0))&amp;"","")</f>
        <v/>
      </c>
      <c r="D203" s="144" t="str">
        <f>IFERROR(INDEX(Tbl_ResidentData[Clinical Notes
'[free text']],MATCH(Tbl_PDSAData[[#This Row],[Resident Name (last, first)]],Tbl_ResidentData[Resident Name '[last, first']],0))&amp;"","")</f>
        <v/>
      </c>
      <c r="E203" s="190"/>
      <c r="F203" s="191"/>
      <c r="G203" s="190"/>
      <c r="H203" s="191"/>
      <c r="I203" s="190"/>
      <c r="J203" s="191"/>
      <c r="K203" s="190"/>
      <c r="L203" s="191"/>
      <c r="M203" s="190"/>
      <c r="N203" s="191"/>
      <c r="O203" s="190"/>
      <c r="P203" s="191"/>
      <c r="Q203" s="190"/>
      <c r="R203" s="191"/>
      <c r="S203" s="190"/>
      <c r="T203" s="191"/>
      <c r="U203" s="190"/>
      <c r="V203" s="191"/>
      <c r="W203" s="190"/>
      <c r="X203" s="191"/>
      <c r="Y203" s="190"/>
      <c r="Z203" s="191"/>
      <c r="AA203" s="190"/>
      <c r="AB203" s="191"/>
      <c r="AC203" s="190"/>
      <c r="AD203" s="191"/>
      <c r="AE203" s="190"/>
      <c r="AF203" s="191"/>
      <c r="AG203" s="190"/>
      <c r="AH203" s="191"/>
      <c r="AI203" s="190"/>
      <c r="AJ203" s="191"/>
      <c r="AK203" s="190"/>
      <c r="AL203" s="191"/>
      <c r="AM203" s="190"/>
      <c r="AN203" s="191"/>
      <c r="AO203" s="190"/>
      <c r="AP203" s="191"/>
      <c r="AQ203" s="190"/>
      <c r="AR203" s="191"/>
      <c r="AS203" s="190"/>
      <c r="AT203" s="191"/>
      <c r="AU203" s="190"/>
      <c r="AV203" s="191"/>
      <c r="AW203" s="190"/>
      <c r="AX203" s="191"/>
      <c r="AY203" s="190"/>
      <c r="AZ203" s="191"/>
      <c r="BA203" s="145" t="str">
        <f>IFERROR(INDEX($E$4:$AZ$4,SUMPRODUCT(MAX(COLUMN(Tbl_PDSAData[[#This Row],[D1]:[M24]])*(ListLookup!$G$3=Tbl_PDSAData[[#This Row],[D1]:[M24]]))-4)),"")</f>
        <v/>
      </c>
      <c r="BB203" s="145" t="str">
        <f>IFERROR(INDEX($E$4:$AZ$4,SUMPRODUCT(MAX(COLUMN(Tbl_PDSAData[[#This Row],[D1]:[M24]])*(ListLookup!$H$3=Tbl_PDSAData[[#This Row],[D1]:[M24]]))-4)),"")</f>
        <v/>
      </c>
    </row>
    <row r="204" spans="1:54" s="74" customFormat="1" x14ac:dyDescent="0.25">
      <c r="A204" s="189"/>
      <c r="B204" s="134" t="str">
        <f>IFERROR(INDEX(Tbl_ResidentData[Physician],MATCH(Tbl_PDSAData[[#This Row],[Resident Name (last, first)]],Tbl_ResidentData[Resident Name '[last, first']],0))&amp;"","")</f>
        <v/>
      </c>
      <c r="C204" s="135" t="str">
        <f>IFERROR(INDEX(Tbl_ResidentData[Diagnosis (RAI)],MATCH(Tbl_PDSAData[[#This Row],[Resident Name (last, first)]],Tbl_ResidentData[Resident Name '[last, first']],0))&amp;"","")</f>
        <v/>
      </c>
      <c r="D204" s="144" t="str">
        <f>IFERROR(INDEX(Tbl_ResidentData[Clinical Notes
'[free text']],MATCH(Tbl_PDSAData[[#This Row],[Resident Name (last, first)]],Tbl_ResidentData[Resident Name '[last, first']],0))&amp;"","")</f>
        <v/>
      </c>
      <c r="E204" s="190"/>
      <c r="F204" s="191"/>
      <c r="G204" s="190"/>
      <c r="H204" s="191"/>
      <c r="I204" s="190"/>
      <c r="J204" s="191"/>
      <c r="K204" s="190"/>
      <c r="L204" s="191"/>
      <c r="M204" s="190"/>
      <c r="N204" s="191"/>
      <c r="O204" s="190"/>
      <c r="P204" s="191"/>
      <c r="Q204" s="190"/>
      <c r="R204" s="191"/>
      <c r="S204" s="190"/>
      <c r="T204" s="191"/>
      <c r="U204" s="190"/>
      <c r="V204" s="191"/>
      <c r="W204" s="190"/>
      <c r="X204" s="191"/>
      <c r="Y204" s="190"/>
      <c r="Z204" s="191"/>
      <c r="AA204" s="190"/>
      <c r="AB204" s="191"/>
      <c r="AC204" s="190"/>
      <c r="AD204" s="191"/>
      <c r="AE204" s="190"/>
      <c r="AF204" s="191"/>
      <c r="AG204" s="190"/>
      <c r="AH204" s="191"/>
      <c r="AI204" s="190"/>
      <c r="AJ204" s="191"/>
      <c r="AK204" s="190"/>
      <c r="AL204" s="191"/>
      <c r="AM204" s="190"/>
      <c r="AN204" s="191"/>
      <c r="AO204" s="190"/>
      <c r="AP204" s="191"/>
      <c r="AQ204" s="190"/>
      <c r="AR204" s="191"/>
      <c r="AS204" s="190"/>
      <c r="AT204" s="191"/>
      <c r="AU204" s="190"/>
      <c r="AV204" s="191"/>
      <c r="AW204" s="190"/>
      <c r="AX204" s="191"/>
      <c r="AY204" s="190"/>
      <c r="AZ204" s="191"/>
      <c r="BA204" s="145" t="str">
        <f>IFERROR(INDEX($E$4:$AZ$4,SUMPRODUCT(MAX(COLUMN(Tbl_PDSAData[[#This Row],[D1]:[M24]])*(ListLookup!$G$3=Tbl_PDSAData[[#This Row],[D1]:[M24]]))-4)),"")</f>
        <v/>
      </c>
      <c r="BB204" s="145" t="str">
        <f>IFERROR(INDEX($E$4:$AZ$4,SUMPRODUCT(MAX(COLUMN(Tbl_PDSAData[[#This Row],[D1]:[M24]])*(ListLookup!$H$3=Tbl_PDSAData[[#This Row],[D1]:[M24]]))-4)),"")</f>
        <v/>
      </c>
    </row>
    <row r="205" spans="1:54" s="74" customFormat="1" x14ac:dyDescent="0.25">
      <c r="A205" s="189"/>
      <c r="B205" s="134" t="str">
        <f>IFERROR(INDEX(Tbl_ResidentData[Physician],MATCH(Tbl_PDSAData[[#This Row],[Resident Name (last, first)]],Tbl_ResidentData[Resident Name '[last, first']],0))&amp;"","")</f>
        <v/>
      </c>
      <c r="C205" s="135" t="str">
        <f>IFERROR(INDEX(Tbl_ResidentData[Diagnosis (RAI)],MATCH(Tbl_PDSAData[[#This Row],[Resident Name (last, first)]],Tbl_ResidentData[Resident Name '[last, first']],0))&amp;"","")</f>
        <v/>
      </c>
      <c r="D205" s="144" t="str">
        <f>IFERROR(INDEX(Tbl_ResidentData[Clinical Notes
'[free text']],MATCH(Tbl_PDSAData[[#This Row],[Resident Name (last, first)]],Tbl_ResidentData[Resident Name '[last, first']],0))&amp;"","")</f>
        <v/>
      </c>
      <c r="E205" s="190"/>
      <c r="F205" s="191"/>
      <c r="G205" s="190"/>
      <c r="H205" s="191"/>
      <c r="I205" s="190"/>
      <c r="J205" s="191"/>
      <c r="K205" s="190"/>
      <c r="L205" s="191"/>
      <c r="M205" s="190"/>
      <c r="N205" s="191"/>
      <c r="O205" s="190"/>
      <c r="P205" s="191"/>
      <c r="Q205" s="190"/>
      <c r="R205" s="191"/>
      <c r="S205" s="190"/>
      <c r="T205" s="191"/>
      <c r="U205" s="190"/>
      <c r="V205" s="191"/>
      <c r="W205" s="190"/>
      <c r="X205" s="191"/>
      <c r="Y205" s="190"/>
      <c r="Z205" s="191"/>
      <c r="AA205" s="190"/>
      <c r="AB205" s="191"/>
      <c r="AC205" s="190"/>
      <c r="AD205" s="191"/>
      <c r="AE205" s="190"/>
      <c r="AF205" s="191"/>
      <c r="AG205" s="190"/>
      <c r="AH205" s="191"/>
      <c r="AI205" s="190"/>
      <c r="AJ205" s="191"/>
      <c r="AK205" s="190"/>
      <c r="AL205" s="191"/>
      <c r="AM205" s="190"/>
      <c r="AN205" s="191"/>
      <c r="AO205" s="190"/>
      <c r="AP205" s="191"/>
      <c r="AQ205" s="190"/>
      <c r="AR205" s="191"/>
      <c r="AS205" s="190"/>
      <c r="AT205" s="191"/>
      <c r="AU205" s="190"/>
      <c r="AV205" s="191"/>
      <c r="AW205" s="190"/>
      <c r="AX205" s="191"/>
      <c r="AY205" s="190"/>
      <c r="AZ205" s="191"/>
      <c r="BA205" s="145" t="str">
        <f>IFERROR(INDEX($E$4:$AZ$4,SUMPRODUCT(MAX(COLUMN(Tbl_PDSAData[[#This Row],[D1]:[M24]])*(ListLookup!$G$3=Tbl_PDSAData[[#This Row],[D1]:[M24]]))-4)),"")</f>
        <v/>
      </c>
      <c r="BB205" s="145" t="str">
        <f>IFERROR(INDEX($E$4:$AZ$4,SUMPRODUCT(MAX(COLUMN(Tbl_PDSAData[[#This Row],[D1]:[M24]])*(ListLookup!$H$3=Tbl_PDSAData[[#This Row],[D1]:[M24]]))-4)),"")</f>
        <v/>
      </c>
    </row>
    <row r="206" spans="1:54" s="74" customFormat="1" x14ac:dyDescent="0.25">
      <c r="A206" s="189"/>
      <c r="B206" s="134" t="str">
        <f>IFERROR(INDEX(Tbl_ResidentData[Physician],MATCH(Tbl_PDSAData[[#This Row],[Resident Name (last, first)]],Tbl_ResidentData[Resident Name '[last, first']],0))&amp;"","")</f>
        <v/>
      </c>
      <c r="C206" s="135" t="str">
        <f>IFERROR(INDEX(Tbl_ResidentData[Diagnosis (RAI)],MATCH(Tbl_PDSAData[[#This Row],[Resident Name (last, first)]],Tbl_ResidentData[Resident Name '[last, first']],0))&amp;"","")</f>
        <v/>
      </c>
      <c r="D206" s="144" t="str">
        <f>IFERROR(INDEX(Tbl_ResidentData[Clinical Notes
'[free text']],MATCH(Tbl_PDSAData[[#This Row],[Resident Name (last, first)]],Tbl_ResidentData[Resident Name '[last, first']],0))&amp;"","")</f>
        <v/>
      </c>
      <c r="E206" s="190"/>
      <c r="F206" s="191"/>
      <c r="G206" s="190"/>
      <c r="H206" s="191"/>
      <c r="I206" s="190"/>
      <c r="J206" s="191"/>
      <c r="K206" s="190"/>
      <c r="L206" s="191"/>
      <c r="M206" s="190"/>
      <c r="N206" s="191"/>
      <c r="O206" s="190"/>
      <c r="P206" s="191"/>
      <c r="Q206" s="190"/>
      <c r="R206" s="191"/>
      <c r="S206" s="190"/>
      <c r="T206" s="191"/>
      <c r="U206" s="190"/>
      <c r="V206" s="191"/>
      <c r="W206" s="190"/>
      <c r="X206" s="191"/>
      <c r="Y206" s="190"/>
      <c r="Z206" s="191"/>
      <c r="AA206" s="190"/>
      <c r="AB206" s="191"/>
      <c r="AC206" s="190"/>
      <c r="AD206" s="191"/>
      <c r="AE206" s="190"/>
      <c r="AF206" s="191"/>
      <c r="AG206" s="190"/>
      <c r="AH206" s="191"/>
      <c r="AI206" s="190"/>
      <c r="AJ206" s="191"/>
      <c r="AK206" s="190"/>
      <c r="AL206" s="191"/>
      <c r="AM206" s="190"/>
      <c r="AN206" s="191"/>
      <c r="AO206" s="190"/>
      <c r="AP206" s="191"/>
      <c r="AQ206" s="190"/>
      <c r="AR206" s="191"/>
      <c r="AS206" s="190"/>
      <c r="AT206" s="191"/>
      <c r="AU206" s="190"/>
      <c r="AV206" s="191"/>
      <c r="AW206" s="190"/>
      <c r="AX206" s="191"/>
      <c r="AY206" s="190"/>
      <c r="AZ206" s="191"/>
      <c r="BA206" s="145" t="str">
        <f>IFERROR(INDEX($E$4:$AZ$4,SUMPRODUCT(MAX(COLUMN(Tbl_PDSAData[[#This Row],[D1]:[M24]])*(ListLookup!$G$3=Tbl_PDSAData[[#This Row],[D1]:[M24]]))-4)),"")</f>
        <v/>
      </c>
      <c r="BB206" s="145" t="str">
        <f>IFERROR(INDEX($E$4:$AZ$4,SUMPRODUCT(MAX(COLUMN(Tbl_PDSAData[[#This Row],[D1]:[M24]])*(ListLookup!$H$3=Tbl_PDSAData[[#This Row],[D1]:[M24]]))-4)),"")</f>
        <v/>
      </c>
    </row>
    <row r="207" spans="1:54" s="74" customFormat="1" x14ac:dyDescent="0.25">
      <c r="A207" s="189"/>
      <c r="B207" s="134" t="str">
        <f>IFERROR(INDEX(Tbl_ResidentData[Physician],MATCH(Tbl_PDSAData[[#This Row],[Resident Name (last, first)]],Tbl_ResidentData[Resident Name '[last, first']],0))&amp;"","")</f>
        <v/>
      </c>
      <c r="C207" s="135" t="str">
        <f>IFERROR(INDEX(Tbl_ResidentData[Diagnosis (RAI)],MATCH(Tbl_PDSAData[[#This Row],[Resident Name (last, first)]],Tbl_ResidentData[Resident Name '[last, first']],0))&amp;"","")</f>
        <v/>
      </c>
      <c r="D207" s="144" t="str">
        <f>IFERROR(INDEX(Tbl_ResidentData[Clinical Notes
'[free text']],MATCH(Tbl_PDSAData[[#This Row],[Resident Name (last, first)]],Tbl_ResidentData[Resident Name '[last, first']],0))&amp;"","")</f>
        <v/>
      </c>
      <c r="E207" s="190"/>
      <c r="F207" s="191"/>
      <c r="G207" s="190"/>
      <c r="H207" s="191"/>
      <c r="I207" s="190"/>
      <c r="J207" s="191"/>
      <c r="K207" s="190"/>
      <c r="L207" s="191"/>
      <c r="M207" s="190"/>
      <c r="N207" s="191"/>
      <c r="O207" s="190"/>
      <c r="P207" s="191"/>
      <c r="Q207" s="190"/>
      <c r="R207" s="191"/>
      <c r="S207" s="190"/>
      <c r="T207" s="191"/>
      <c r="U207" s="190"/>
      <c r="V207" s="191"/>
      <c r="W207" s="190"/>
      <c r="X207" s="191"/>
      <c r="Y207" s="190"/>
      <c r="Z207" s="191"/>
      <c r="AA207" s="190"/>
      <c r="AB207" s="191"/>
      <c r="AC207" s="190"/>
      <c r="AD207" s="191"/>
      <c r="AE207" s="190"/>
      <c r="AF207" s="191"/>
      <c r="AG207" s="190"/>
      <c r="AH207" s="191"/>
      <c r="AI207" s="190"/>
      <c r="AJ207" s="191"/>
      <c r="AK207" s="190"/>
      <c r="AL207" s="191"/>
      <c r="AM207" s="190"/>
      <c r="AN207" s="191"/>
      <c r="AO207" s="190"/>
      <c r="AP207" s="191"/>
      <c r="AQ207" s="190"/>
      <c r="AR207" s="191"/>
      <c r="AS207" s="190"/>
      <c r="AT207" s="191"/>
      <c r="AU207" s="190"/>
      <c r="AV207" s="191"/>
      <c r="AW207" s="190"/>
      <c r="AX207" s="191"/>
      <c r="AY207" s="190"/>
      <c r="AZ207" s="191"/>
      <c r="BA207" s="145" t="str">
        <f>IFERROR(INDEX($E$4:$AZ$4,SUMPRODUCT(MAX(COLUMN(Tbl_PDSAData[[#This Row],[D1]:[M24]])*(ListLookup!$G$3=Tbl_PDSAData[[#This Row],[D1]:[M24]]))-4)),"")</f>
        <v/>
      </c>
      <c r="BB207" s="145" t="str">
        <f>IFERROR(INDEX($E$4:$AZ$4,SUMPRODUCT(MAX(COLUMN(Tbl_PDSAData[[#This Row],[D1]:[M24]])*(ListLookup!$H$3=Tbl_PDSAData[[#This Row],[D1]:[M24]]))-4)),"")</f>
        <v/>
      </c>
    </row>
    <row r="208" spans="1:54" s="74" customFormat="1" x14ac:dyDescent="0.25">
      <c r="A208" s="189"/>
      <c r="B208" s="134" t="str">
        <f>IFERROR(INDEX(Tbl_ResidentData[Physician],MATCH(Tbl_PDSAData[[#This Row],[Resident Name (last, first)]],Tbl_ResidentData[Resident Name '[last, first']],0))&amp;"","")</f>
        <v/>
      </c>
      <c r="C208" s="135" t="str">
        <f>IFERROR(INDEX(Tbl_ResidentData[Diagnosis (RAI)],MATCH(Tbl_PDSAData[[#This Row],[Resident Name (last, first)]],Tbl_ResidentData[Resident Name '[last, first']],0))&amp;"","")</f>
        <v/>
      </c>
      <c r="D208" s="144" t="str">
        <f>IFERROR(INDEX(Tbl_ResidentData[Clinical Notes
'[free text']],MATCH(Tbl_PDSAData[[#This Row],[Resident Name (last, first)]],Tbl_ResidentData[Resident Name '[last, first']],0))&amp;"","")</f>
        <v/>
      </c>
      <c r="E208" s="190"/>
      <c r="F208" s="191"/>
      <c r="G208" s="190"/>
      <c r="H208" s="191"/>
      <c r="I208" s="190"/>
      <c r="J208" s="191"/>
      <c r="K208" s="190"/>
      <c r="L208" s="191"/>
      <c r="M208" s="190"/>
      <c r="N208" s="191"/>
      <c r="O208" s="190"/>
      <c r="P208" s="191"/>
      <c r="Q208" s="190"/>
      <c r="R208" s="191"/>
      <c r="S208" s="190"/>
      <c r="T208" s="191"/>
      <c r="U208" s="190"/>
      <c r="V208" s="191"/>
      <c r="W208" s="190"/>
      <c r="X208" s="191"/>
      <c r="Y208" s="190"/>
      <c r="Z208" s="191"/>
      <c r="AA208" s="190"/>
      <c r="AB208" s="191"/>
      <c r="AC208" s="190"/>
      <c r="AD208" s="191"/>
      <c r="AE208" s="190"/>
      <c r="AF208" s="191"/>
      <c r="AG208" s="190"/>
      <c r="AH208" s="191"/>
      <c r="AI208" s="190"/>
      <c r="AJ208" s="191"/>
      <c r="AK208" s="190"/>
      <c r="AL208" s="191"/>
      <c r="AM208" s="190"/>
      <c r="AN208" s="191"/>
      <c r="AO208" s="190"/>
      <c r="AP208" s="191"/>
      <c r="AQ208" s="190"/>
      <c r="AR208" s="191"/>
      <c r="AS208" s="190"/>
      <c r="AT208" s="191"/>
      <c r="AU208" s="190"/>
      <c r="AV208" s="191"/>
      <c r="AW208" s="190"/>
      <c r="AX208" s="191"/>
      <c r="AY208" s="190"/>
      <c r="AZ208" s="191"/>
      <c r="BA208" s="145" t="str">
        <f>IFERROR(INDEX($E$4:$AZ$4,SUMPRODUCT(MAX(COLUMN(Tbl_PDSAData[[#This Row],[D1]:[M24]])*(ListLookup!$G$3=Tbl_PDSAData[[#This Row],[D1]:[M24]]))-4)),"")</f>
        <v/>
      </c>
      <c r="BB208" s="145" t="str">
        <f>IFERROR(INDEX($E$4:$AZ$4,SUMPRODUCT(MAX(COLUMN(Tbl_PDSAData[[#This Row],[D1]:[M24]])*(ListLookup!$H$3=Tbl_PDSAData[[#This Row],[D1]:[M24]]))-4)),"")</f>
        <v/>
      </c>
    </row>
    <row r="209" spans="1:54" s="74" customFormat="1" x14ac:dyDescent="0.25">
      <c r="A209" s="189"/>
      <c r="B209" s="134" t="str">
        <f>IFERROR(INDEX(Tbl_ResidentData[Physician],MATCH(Tbl_PDSAData[[#This Row],[Resident Name (last, first)]],Tbl_ResidentData[Resident Name '[last, first']],0))&amp;"","")</f>
        <v/>
      </c>
      <c r="C209" s="135" t="str">
        <f>IFERROR(INDEX(Tbl_ResidentData[Diagnosis (RAI)],MATCH(Tbl_PDSAData[[#This Row],[Resident Name (last, first)]],Tbl_ResidentData[Resident Name '[last, first']],0))&amp;"","")</f>
        <v/>
      </c>
      <c r="D209" s="144" t="str">
        <f>IFERROR(INDEX(Tbl_ResidentData[Clinical Notes
'[free text']],MATCH(Tbl_PDSAData[[#This Row],[Resident Name (last, first)]],Tbl_ResidentData[Resident Name '[last, first']],0))&amp;"","")</f>
        <v/>
      </c>
      <c r="E209" s="190"/>
      <c r="F209" s="191"/>
      <c r="G209" s="190"/>
      <c r="H209" s="191"/>
      <c r="I209" s="190"/>
      <c r="J209" s="191"/>
      <c r="K209" s="190"/>
      <c r="L209" s="191"/>
      <c r="M209" s="190"/>
      <c r="N209" s="191"/>
      <c r="O209" s="190"/>
      <c r="P209" s="191"/>
      <c r="Q209" s="190"/>
      <c r="R209" s="191"/>
      <c r="S209" s="190"/>
      <c r="T209" s="191"/>
      <c r="U209" s="190"/>
      <c r="V209" s="191"/>
      <c r="W209" s="190"/>
      <c r="X209" s="191"/>
      <c r="Y209" s="190"/>
      <c r="Z209" s="191"/>
      <c r="AA209" s="190"/>
      <c r="AB209" s="191"/>
      <c r="AC209" s="190"/>
      <c r="AD209" s="191"/>
      <c r="AE209" s="190"/>
      <c r="AF209" s="191"/>
      <c r="AG209" s="190"/>
      <c r="AH209" s="191"/>
      <c r="AI209" s="190"/>
      <c r="AJ209" s="191"/>
      <c r="AK209" s="190"/>
      <c r="AL209" s="191"/>
      <c r="AM209" s="190"/>
      <c r="AN209" s="191"/>
      <c r="AO209" s="190"/>
      <c r="AP209" s="191"/>
      <c r="AQ209" s="190"/>
      <c r="AR209" s="191"/>
      <c r="AS209" s="190"/>
      <c r="AT209" s="191"/>
      <c r="AU209" s="190"/>
      <c r="AV209" s="191"/>
      <c r="AW209" s="190"/>
      <c r="AX209" s="191"/>
      <c r="AY209" s="190"/>
      <c r="AZ209" s="191"/>
      <c r="BA209" s="145" t="str">
        <f>IFERROR(INDEX($E$4:$AZ$4,SUMPRODUCT(MAX(COLUMN(Tbl_PDSAData[[#This Row],[D1]:[M24]])*(ListLookup!$G$3=Tbl_PDSAData[[#This Row],[D1]:[M24]]))-4)),"")</f>
        <v/>
      </c>
      <c r="BB209" s="145" t="str">
        <f>IFERROR(INDEX($E$4:$AZ$4,SUMPRODUCT(MAX(COLUMN(Tbl_PDSAData[[#This Row],[D1]:[M24]])*(ListLookup!$H$3=Tbl_PDSAData[[#This Row],[D1]:[M24]]))-4)),"")</f>
        <v/>
      </c>
    </row>
    <row r="210" spans="1:54" s="74" customFormat="1" x14ac:dyDescent="0.25">
      <c r="A210" s="189"/>
      <c r="B210" s="134" t="str">
        <f>IFERROR(INDEX(Tbl_ResidentData[Physician],MATCH(Tbl_PDSAData[[#This Row],[Resident Name (last, first)]],Tbl_ResidentData[Resident Name '[last, first']],0))&amp;"","")</f>
        <v/>
      </c>
      <c r="C210" s="135" t="str">
        <f>IFERROR(INDEX(Tbl_ResidentData[Diagnosis (RAI)],MATCH(Tbl_PDSAData[[#This Row],[Resident Name (last, first)]],Tbl_ResidentData[Resident Name '[last, first']],0))&amp;"","")</f>
        <v/>
      </c>
      <c r="D210" s="144" t="str">
        <f>IFERROR(INDEX(Tbl_ResidentData[Clinical Notes
'[free text']],MATCH(Tbl_PDSAData[[#This Row],[Resident Name (last, first)]],Tbl_ResidentData[Resident Name '[last, first']],0))&amp;"","")</f>
        <v/>
      </c>
      <c r="E210" s="190"/>
      <c r="F210" s="191"/>
      <c r="G210" s="190"/>
      <c r="H210" s="191"/>
      <c r="I210" s="190"/>
      <c r="J210" s="191"/>
      <c r="K210" s="190"/>
      <c r="L210" s="191"/>
      <c r="M210" s="190"/>
      <c r="N210" s="191"/>
      <c r="O210" s="190"/>
      <c r="P210" s="191"/>
      <c r="Q210" s="190"/>
      <c r="R210" s="191"/>
      <c r="S210" s="190"/>
      <c r="T210" s="191"/>
      <c r="U210" s="190"/>
      <c r="V210" s="191"/>
      <c r="W210" s="190"/>
      <c r="X210" s="191"/>
      <c r="Y210" s="190"/>
      <c r="Z210" s="191"/>
      <c r="AA210" s="190"/>
      <c r="AB210" s="191"/>
      <c r="AC210" s="190"/>
      <c r="AD210" s="191"/>
      <c r="AE210" s="190"/>
      <c r="AF210" s="191"/>
      <c r="AG210" s="190"/>
      <c r="AH210" s="191"/>
      <c r="AI210" s="190"/>
      <c r="AJ210" s="191"/>
      <c r="AK210" s="190"/>
      <c r="AL210" s="191"/>
      <c r="AM210" s="190"/>
      <c r="AN210" s="191"/>
      <c r="AO210" s="190"/>
      <c r="AP210" s="191"/>
      <c r="AQ210" s="190"/>
      <c r="AR210" s="191"/>
      <c r="AS210" s="190"/>
      <c r="AT210" s="191"/>
      <c r="AU210" s="190"/>
      <c r="AV210" s="191"/>
      <c r="AW210" s="190"/>
      <c r="AX210" s="191"/>
      <c r="AY210" s="190"/>
      <c r="AZ210" s="191"/>
      <c r="BA210" s="145" t="str">
        <f>IFERROR(INDEX($E$4:$AZ$4,SUMPRODUCT(MAX(COLUMN(Tbl_PDSAData[[#This Row],[D1]:[M24]])*(ListLookup!$G$3=Tbl_PDSAData[[#This Row],[D1]:[M24]]))-4)),"")</f>
        <v/>
      </c>
      <c r="BB210" s="145" t="str">
        <f>IFERROR(INDEX($E$4:$AZ$4,SUMPRODUCT(MAX(COLUMN(Tbl_PDSAData[[#This Row],[D1]:[M24]])*(ListLookup!$H$3=Tbl_PDSAData[[#This Row],[D1]:[M24]]))-4)),"")</f>
        <v/>
      </c>
    </row>
    <row r="211" spans="1:54" s="74" customFormat="1" x14ac:dyDescent="0.25">
      <c r="A211" s="189"/>
      <c r="B211" s="134" t="str">
        <f>IFERROR(INDEX(Tbl_ResidentData[Physician],MATCH(Tbl_PDSAData[[#This Row],[Resident Name (last, first)]],Tbl_ResidentData[Resident Name '[last, first']],0))&amp;"","")</f>
        <v/>
      </c>
      <c r="C211" s="135" t="str">
        <f>IFERROR(INDEX(Tbl_ResidentData[Diagnosis (RAI)],MATCH(Tbl_PDSAData[[#This Row],[Resident Name (last, first)]],Tbl_ResidentData[Resident Name '[last, first']],0))&amp;"","")</f>
        <v/>
      </c>
      <c r="D211" s="144" t="str">
        <f>IFERROR(INDEX(Tbl_ResidentData[Clinical Notes
'[free text']],MATCH(Tbl_PDSAData[[#This Row],[Resident Name (last, first)]],Tbl_ResidentData[Resident Name '[last, first']],0))&amp;"","")</f>
        <v/>
      </c>
      <c r="E211" s="190"/>
      <c r="F211" s="191"/>
      <c r="G211" s="190"/>
      <c r="H211" s="191"/>
      <c r="I211" s="190"/>
      <c r="J211" s="191"/>
      <c r="K211" s="190"/>
      <c r="L211" s="191"/>
      <c r="M211" s="190"/>
      <c r="N211" s="191"/>
      <c r="O211" s="190"/>
      <c r="P211" s="191"/>
      <c r="Q211" s="190"/>
      <c r="R211" s="191"/>
      <c r="S211" s="190"/>
      <c r="T211" s="191"/>
      <c r="U211" s="190"/>
      <c r="V211" s="191"/>
      <c r="W211" s="190"/>
      <c r="X211" s="191"/>
      <c r="Y211" s="190"/>
      <c r="Z211" s="191"/>
      <c r="AA211" s="190"/>
      <c r="AB211" s="191"/>
      <c r="AC211" s="190"/>
      <c r="AD211" s="191"/>
      <c r="AE211" s="190"/>
      <c r="AF211" s="191"/>
      <c r="AG211" s="190"/>
      <c r="AH211" s="191"/>
      <c r="AI211" s="190"/>
      <c r="AJ211" s="191"/>
      <c r="AK211" s="190"/>
      <c r="AL211" s="191"/>
      <c r="AM211" s="190"/>
      <c r="AN211" s="191"/>
      <c r="AO211" s="190"/>
      <c r="AP211" s="191"/>
      <c r="AQ211" s="190"/>
      <c r="AR211" s="191"/>
      <c r="AS211" s="190"/>
      <c r="AT211" s="191"/>
      <c r="AU211" s="190"/>
      <c r="AV211" s="191"/>
      <c r="AW211" s="190"/>
      <c r="AX211" s="191"/>
      <c r="AY211" s="190"/>
      <c r="AZ211" s="191"/>
      <c r="BA211" s="145" t="str">
        <f>IFERROR(INDEX($E$4:$AZ$4,SUMPRODUCT(MAX(COLUMN(Tbl_PDSAData[[#This Row],[D1]:[M24]])*(ListLookup!$G$3=Tbl_PDSAData[[#This Row],[D1]:[M24]]))-4)),"")</f>
        <v/>
      </c>
      <c r="BB211" s="145" t="str">
        <f>IFERROR(INDEX($E$4:$AZ$4,SUMPRODUCT(MAX(COLUMN(Tbl_PDSAData[[#This Row],[D1]:[M24]])*(ListLookup!$H$3=Tbl_PDSAData[[#This Row],[D1]:[M24]]))-4)),"")</f>
        <v/>
      </c>
    </row>
    <row r="212" spans="1:54" s="74" customFormat="1" x14ac:dyDescent="0.25">
      <c r="A212" s="189"/>
      <c r="B212" s="134" t="str">
        <f>IFERROR(INDEX(Tbl_ResidentData[Physician],MATCH(Tbl_PDSAData[[#This Row],[Resident Name (last, first)]],Tbl_ResidentData[Resident Name '[last, first']],0))&amp;"","")</f>
        <v/>
      </c>
      <c r="C212" s="135" t="str">
        <f>IFERROR(INDEX(Tbl_ResidentData[Diagnosis (RAI)],MATCH(Tbl_PDSAData[[#This Row],[Resident Name (last, first)]],Tbl_ResidentData[Resident Name '[last, first']],0))&amp;"","")</f>
        <v/>
      </c>
      <c r="D212" s="144" t="str">
        <f>IFERROR(INDEX(Tbl_ResidentData[Clinical Notes
'[free text']],MATCH(Tbl_PDSAData[[#This Row],[Resident Name (last, first)]],Tbl_ResidentData[Resident Name '[last, first']],0))&amp;"","")</f>
        <v/>
      </c>
      <c r="E212" s="190"/>
      <c r="F212" s="191"/>
      <c r="G212" s="190"/>
      <c r="H212" s="191"/>
      <c r="I212" s="190"/>
      <c r="J212" s="191"/>
      <c r="K212" s="190"/>
      <c r="L212" s="191"/>
      <c r="M212" s="190"/>
      <c r="N212" s="191"/>
      <c r="O212" s="190"/>
      <c r="P212" s="191"/>
      <c r="Q212" s="190"/>
      <c r="R212" s="191"/>
      <c r="S212" s="190"/>
      <c r="T212" s="191"/>
      <c r="U212" s="190"/>
      <c r="V212" s="191"/>
      <c r="W212" s="190"/>
      <c r="X212" s="191"/>
      <c r="Y212" s="190"/>
      <c r="Z212" s="191"/>
      <c r="AA212" s="190"/>
      <c r="AB212" s="191"/>
      <c r="AC212" s="190"/>
      <c r="AD212" s="191"/>
      <c r="AE212" s="190"/>
      <c r="AF212" s="191"/>
      <c r="AG212" s="190"/>
      <c r="AH212" s="191"/>
      <c r="AI212" s="190"/>
      <c r="AJ212" s="191"/>
      <c r="AK212" s="190"/>
      <c r="AL212" s="191"/>
      <c r="AM212" s="190"/>
      <c r="AN212" s="191"/>
      <c r="AO212" s="190"/>
      <c r="AP212" s="191"/>
      <c r="AQ212" s="190"/>
      <c r="AR212" s="191"/>
      <c r="AS212" s="190"/>
      <c r="AT212" s="191"/>
      <c r="AU212" s="190"/>
      <c r="AV212" s="191"/>
      <c r="AW212" s="190"/>
      <c r="AX212" s="191"/>
      <c r="AY212" s="190"/>
      <c r="AZ212" s="191"/>
      <c r="BA212" s="145" t="str">
        <f>IFERROR(INDEX($E$4:$AZ$4,SUMPRODUCT(MAX(COLUMN(Tbl_PDSAData[[#This Row],[D1]:[M24]])*(ListLookup!$G$3=Tbl_PDSAData[[#This Row],[D1]:[M24]]))-4)),"")</f>
        <v/>
      </c>
      <c r="BB212" s="145" t="str">
        <f>IFERROR(INDEX($E$4:$AZ$4,SUMPRODUCT(MAX(COLUMN(Tbl_PDSAData[[#This Row],[D1]:[M24]])*(ListLookup!$H$3=Tbl_PDSAData[[#This Row],[D1]:[M24]]))-4)),"")</f>
        <v/>
      </c>
    </row>
    <row r="213" spans="1:54" s="74" customFormat="1" x14ac:dyDescent="0.25">
      <c r="A213" s="189"/>
      <c r="B213" s="134" t="str">
        <f>IFERROR(INDEX(Tbl_ResidentData[Physician],MATCH(Tbl_PDSAData[[#This Row],[Resident Name (last, first)]],Tbl_ResidentData[Resident Name '[last, first']],0))&amp;"","")</f>
        <v/>
      </c>
      <c r="C213" s="135" t="str">
        <f>IFERROR(INDEX(Tbl_ResidentData[Diagnosis (RAI)],MATCH(Tbl_PDSAData[[#This Row],[Resident Name (last, first)]],Tbl_ResidentData[Resident Name '[last, first']],0))&amp;"","")</f>
        <v/>
      </c>
      <c r="D213" s="144" t="str">
        <f>IFERROR(INDEX(Tbl_ResidentData[Clinical Notes
'[free text']],MATCH(Tbl_PDSAData[[#This Row],[Resident Name (last, first)]],Tbl_ResidentData[Resident Name '[last, first']],0))&amp;"","")</f>
        <v/>
      </c>
      <c r="E213" s="190"/>
      <c r="F213" s="191"/>
      <c r="G213" s="190"/>
      <c r="H213" s="191"/>
      <c r="I213" s="190"/>
      <c r="J213" s="191"/>
      <c r="K213" s="190"/>
      <c r="L213" s="191"/>
      <c r="M213" s="190"/>
      <c r="N213" s="191"/>
      <c r="O213" s="190"/>
      <c r="P213" s="191"/>
      <c r="Q213" s="190"/>
      <c r="R213" s="191"/>
      <c r="S213" s="190"/>
      <c r="T213" s="191"/>
      <c r="U213" s="190"/>
      <c r="V213" s="191"/>
      <c r="W213" s="190"/>
      <c r="X213" s="191"/>
      <c r="Y213" s="190"/>
      <c r="Z213" s="191"/>
      <c r="AA213" s="190"/>
      <c r="AB213" s="191"/>
      <c r="AC213" s="190"/>
      <c r="AD213" s="191"/>
      <c r="AE213" s="190"/>
      <c r="AF213" s="191"/>
      <c r="AG213" s="190"/>
      <c r="AH213" s="191"/>
      <c r="AI213" s="190"/>
      <c r="AJ213" s="191"/>
      <c r="AK213" s="190"/>
      <c r="AL213" s="191"/>
      <c r="AM213" s="190"/>
      <c r="AN213" s="191"/>
      <c r="AO213" s="190"/>
      <c r="AP213" s="191"/>
      <c r="AQ213" s="190"/>
      <c r="AR213" s="191"/>
      <c r="AS213" s="190"/>
      <c r="AT213" s="191"/>
      <c r="AU213" s="190"/>
      <c r="AV213" s="191"/>
      <c r="AW213" s="190"/>
      <c r="AX213" s="191"/>
      <c r="AY213" s="190"/>
      <c r="AZ213" s="191"/>
      <c r="BA213" s="145" t="str">
        <f>IFERROR(INDEX($E$4:$AZ$4,SUMPRODUCT(MAX(COLUMN(Tbl_PDSAData[[#This Row],[D1]:[M24]])*(ListLookup!$G$3=Tbl_PDSAData[[#This Row],[D1]:[M24]]))-4)),"")</f>
        <v/>
      </c>
      <c r="BB213" s="145" t="str">
        <f>IFERROR(INDEX($E$4:$AZ$4,SUMPRODUCT(MAX(COLUMN(Tbl_PDSAData[[#This Row],[D1]:[M24]])*(ListLookup!$H$3=Tbl_PDSAData[[#This Row],[D1]:[M24]]))-4)),"")</f>
        <v/>
      </c>
    </row>
    <row r="214" spans="1:54" s="74" customFormat="1" x14ac:dyDescent="0.25">
      <c r="A214" s="189"/>
      <c r="B214" s="134" t="str">
        <f>IFERROR(INDEX(Tbl_ResidentData[Physician],MATCH(Tbl_PDSAData[[#This Row],[Resident Name (last, first)]],Tbl_ResidentData[Resident Name '[last, first']],0))&amp;"","")</f>
        <v/>
      </c>
      <c r="C214" s="135" t="str">
        <f>IFERROR(INDEX(Tbl_ResidentData[Diagnosis (RAI)],MATCH(Tbl_PDSAData[[#This Row],[Resident Name (last, first)]],Tbl_ResidentData[Resident Name '[last, first']],0))&amp;"","")</f>
        <v/>
      </c>
      <c r="D214" s="144" t="str">
        <f>IFERROR(INDEX(Tbl_ResidentData[Clinical Notes
'[free text']],MATCH(Tbl_PDSAData[[#This Row],[Resident Name (last, first)]],Tbl_ResidentData[Resident Name '[last, first']],0))&amp;"","")</f>
        <v/>
      </c>
      <c r="E214" s="190"/>
      <c r="F214" s="191"/>
      <c r="G214" s="190"/>
      <c r="H214" s="191"/>
      <c r="I214" s="190"/>
      <c r="J214" s="191"/>
      <c r="K214" s="190"/>
      <c r="L214" s="191"/>
      <c r="M214" s="190"/>
      <c r="N214" s="191"/>
      <c r="O214" s="190"/>
      <c r="P214" s="191"/>
      <c r="Q214" s="190"/>
      <c r="R214" s="191"/>
      <c r="S214" s="190"/>
      <c r="T214" s="191"/>
      <c r="U214" s="190"/>
      <c r="V214" s="191"/>
      <c r="W214" s="190"/>
      <c r="X214" s="191"/>
      <c r="Y214" s="190"/>
      <c r="Z214" s="191"/>
      <c r="AA214" s="190"/>
      <c r="AB214" s="191"/>
      <c r="AC214" s="190"/>
      <c r="AD214" s="191"/>
      <c r="AE214" s="190"/>
      <c r="AF214" s="191"/>
      <c r="AG214" s="190"/>
      <c r="AH214" s="191"/>
      <c r="AI214" s="190"/>
      <c r="AJ214" s="191"/>
      <c r="AK214" s="190"/>
      <c r="AL214" s="191"/>
      <c r="AM214" s="190"/>
      <c r="AN214" s="191"/>
      <c r="AO214" s="190"/>
      <c r="AP214" s="191"/>
      <c r="AQ214" s="190"/>
      <c r="AR214" s="191"/>
      <c r="AS214" s="190"/>
      <c r="AT214" s="191"/>
      <c r="AU214" s="190"/>
      <c r="AV214" s="191"/>
      <c r="AW214" s="190"/>
      <c r="AX214" s="191"/>
      <c r="AY214" s="190"/>
      <c r="AZ214" s="191"/>
      <c r="BA214" s="145" t="str">
        <f>IFERROR(INDEX($E$4:$AZ$4,SUMPRODUCT(MAX(COLUMN(Tbl_PDSAData[[#This Row],[D1]:[M24]])*(ListLookup!$G$3=Tbl_PDSAData[[#This Row],[D1]:[M24]]))-4)),"")</f>
        <v/>
      </c>
      <c r="BB214" s="145" t="str">
        <f>IFERROR(INDEX($E$4:$AZ$4,SUMPRODUCT(MAX(COLUMN(Tbl_PDSAData[[#This Row],[D1]:[M24]])*(ListLookup!$H$3=Tbl_PDSAData[[#This Row],[D1]:[M24]]))-4)),"")</f>
        <v/>
      </c>
    </row>
    <row r="215" spans="1:54" s="74" customFormat="1" x14ac:dyDescent="0.25">
      <c r="A215" s="189"/>
      <c r="B215" s="134" t="str">
        <f>IFERROR(INDEX(Tbl_ResidentData[Physician],MATCH(Tbl_PDSAData[[#This Row],[Resident Name (last, first)]],Tbl_ResidentData[Resident Name '[last, first']],0))&amp;"","")</f>
        <v/>
      </c>
      <c r="C215" s="135" t="str">
        <f>IFERROR(INDEX(Tbl_ResidentData[Diagnosis (RAI)],MATCH(Tbl_PDSAData[[#This Row],[Resident Name (last, first)]],Tbl_ResidentData[Resident Name '[last, first']],0))&amp;"","")</f>
        <v/>
      </c>
      <c r="D215" s="144" t="str">
        <f>IFERROR(INDEX(Tbl_ResidentData[Clinical Notes
'[free text']],MATCH(Tbl_PDSAData[[#This Row],[Resident Name (last, first)]],Tbl_ResidentData[Resident Name '[last, first']],0))&amp;"","")</f>
        <v/>
      </c>
      <c r="E215" s="190"/>
      <c r="F215" s="191"/>
      <c r="G215" s="190"/>
      <c r="H215" s="191"/>
      <c r="I215" s="190"/>
      <c r="J215" s="191"/>
      <c r="K215" s="190"/>
      <c r="L215" s="191"/>
      <c r="M215" s="190"/>
      <c r="N215" s="191"/>
      <c r="O215" s="190"/>
      <c r="P215" s="191"/>
      <c r="Q215" s="190"/>
      <c r="R215" s="191"/>
      <c r="S215" s="190"/>
      <c r="T215" s="191"/>
      <c r="U215" s="190"/>
      <c r="V215" s="191"/>
      <c r="W215" s="190"/>
      <c r="X215" s="191"/>
      <c r="Y215" s="190"/>
      <c r="Z215" s="191"/>
      <c r="AA215" s="190"/>
      <c r="AB215" s="191"/>
      <c r="AC215" s="190"/>
      <c r="AD215" s="191"/>
      <c r="AE215" s="190"/>
      <c r="AF215" s="191"/>
      <c r="AG215" s="190"/>
      <c r="AH215" s="191"/>
      <c r="AI215" s="190"/>
      <c r="AJ215" s="191"/>
      <c r="AK215" s="190"/>
      <c r="AL215" s="191"/>
      <c r="AM215" s="190"/>
      <c r="AN215" s="191"/>
      <c r="AO215" s="190"/>
      <c r="AP215" s="191"/>
      <c r="AQ215" s="190"/>
      <c r="AR215" s="191"/>
      <c r="AS215" s="190"/>
      <c r="AT215" s="191"/>
      <c r="AU215" s="190"/>
      <c r="AV215" s="191"/>
      <c r="AW215" s="190"/>
      <c r="AX215" s="191"/>
      <c r="AY215" s="190"/>
      <c r="AZ215" s="191"/>
      <c r="BA215" s="145" t="str">
        <f>IFERROR(INDEX($E$4:$AZ$4,SUMPRODUCT(MAX(COLUMN(Tbl_PDSAData[[#This Row],[D1]:[M24]])*(ListLookup!$G$3=Tbl_PDSAData[[#This Row],[D1]:[M24]]))-4)),"")</f>
        <v/>
      </c>
      <c r="BB215" s="145" t="str">
        <f>IFERROR(INDEX($E$4:$AZ$4,SUMPRODUCT(MAX(COLUMN(Tbl_PDSAData[[#This Row],[D1]:[M24]])*(ListLookup!$H$3=Tbl_PDSAData[[#This Row],[D1]:[M24]]))-4)),"")</f>
        <v/>
      </c>
    </row>
    <row r="216" spans="1:54" s="74" customFormat="1" x14ac:dyDescent="0.25">
      <c r="A216" s="189"/>
      <c r="B216" s="134" t="str">
        <f>IFERROR(INDEX(Tbl_ResidentData[Physician],MATCH(Tbl_PDSAData[[#This Row],[Resident Name (last, first)]],Tbl_ResidentData[Resident Name '[last, first']],0))&amp;"","")</f>
        <v/>
      </c>
      <c r="C216" s="135" t="str">
        <f>IFERROR(INDEX(Tbl_ResidentData[Diagnosis (RAI)],MATCH(Tbl_PDSAData[[#This Row],[Resident Name (last, first)]],Tbl_ResidentData[Resident Name '[last, first']],0))&amp;"","")</f>
        <v/>
      </c>
      <c r="D216" s="144" t="str">
        <f>IFERROR(INDEX(Tbl_ResidentData[Clinical Notes
'[free text']],MATCH(Tbl_PDSAData[[#This Row],[Resident Name (last, first)]],Tbl_ResidentData[Resident Name '[last, first']],0))&amp;"","")</f>
        <v/>
      </c>
      <c r="E216" s="190"/>
      <c r="F216" s="191"/>
      <c r="G216" s="190"/>
      <c r="H216" s="191"/>
      <c r="I216" s="190"/>
      <c r="J216" s="191"/>
      <c r="K216" s="190"/>
      <c r="L216" s="191"/>
      <c r="M216" s="190"/>
      <c r="N216" s="191"/>
      <c r="O216" s="190"/>
      <c r="P216" s="191"/>
      <c r="Q216" s="190"/>
      <c r="R216" s="191"/>
      <c r="S216" s="190"/>
      <c r="T216" s="191"/>
      <c r="U216" s="190"/>
      <c r="V216" s="191"/>
      <c r="W216" s="190"/>
      <c r="X216" s="191"/>
      <c r="Y216" s="190"/>
      <c r="Z216" s="191"/>
      <c r="AA216" s="190"/>
      <c r="AB216" s="191"/>
      <c r="AC216" s="190"/>
      <c r="AD216" s="191"/>
      <c r="AE216" s="190"/>
      <c r="AF216" s="191"/>
      <c r="AG216" s="190"/>
      <c r="AH216" s="191"/>
      <c r="AI216" s="190"/>
      <c r="AJ216" s="191"/>
      <c r="AK216" s="190"/>
      <c r="AL216" s="191"/>
      <c r="AM216" s="190"/>
      <c r="AN216" s="191"/>
      <c r="AO216" s="190"/>
      <c r="AP216" s="191"/>
      <c r="AQ216" s="190"/>
      <c r="AR216" s="191"/>
      <c r="AS216" s="190"/>
      <c r="AT216" s="191"/>
      <c r="AU216" s="190"/>
      <c r="AV216" s="191"/>
      <c r="AW216" s="190"/>
      <c r="AX216" s="191"/>
      <c r="AY216" s="190"/>
      <c r="AZ216" s="191"/>
      <c r="BA216" s="145" t="str">
        <f>IFERROR(INDEX($E$4:$AZ$4,SUMPRODUCT(MAX(COLUMN(Tbl_PDSAData[[#This Row],[D1]:[M24]])*(ListLookup!$G$3=Tbl_PDSAData[[#This Row],[D1]:[M24]]))-4)),"")</f>
        <v/>
      </c>
      <c r="BB216" s="145" t="str">
        <f>IFERROR(INDEX($E$4:$AZ$4,SUMPRODUCT(MAX(COLUMN(Tbl_PDSAData[[#This Row],[D1]:[M24]])*(ListLookup!$H$3=Tbl_PDSAData[[#This Row],[D1]:[M24]]))-4)),"")</f>
        <v/>
      </c>
    </row>
    <row r="217" spans="1:54" s="74" customFormat="1" x14ac:dyDescent="0.25">
      <c r="A217" s="189"/>
      <c r="B217" s="134" t="str">
        <f>IFERROR(INDEX(Tbl_ResidentData[Physician],MATCH(Tbl_PDSAData[[#This Row],[Resident Name (last, first)]],Tbl_ResidentData[Resident Name '[last, first']],0))&amp;"","")</f>
        <v/>
      </c>
      <c r="C217" s="135" t="str">
        <f>IFERROR(INDEX(Tbl_ResidentData[Diagnosis (RAI)],MATCH(Tbl_PDSAData[[#This Row],[Resident Name (last, first)]],Tbl_ResidentData[Resident Name '[last, first']],0))&amp;"","")</f>
        <v/>
      </c>
      <c r="D217" s="144" t="str">
        <f>IFERROR(INDEX(Tbl_ResidentData[Clinical Notes
'[free text']],MATCH(Tbl_PDSAData[[#This Row],[Resident Name (last, first)]],Tbl_ResidentData[Resident Name '[last, first']],0))&amp;"","")</f>
        <v/>
      </c>
      <c r="E217" s="190"/>
      <c r="F217" s="191"/>
      <c r="G217" s="190"/>
      <c r="H217" s="191"/>
      <c r="I217" s="190"/>
      <c r="J217" s="191"/>
      <c r="K217" s="190"/>
      <c r="L217" s="191"/>
      <c r="M217" s="190"/>
      <c r="N217" s="191"/>
      <c r="O217" s="190"/>
      <c r="P217" s="191"/>
      <c r="Q217" s="190"/>
      <c r="R217" s="191"/>
      <c r="S217" s="190"/>
      <c r="T217" s="191"/>
      <c r="U217" s="190"/>
      <c r="V217" s="191"/>
      <c r="W217" s="190"/>
      <c r="X217" s="191"/>
      <c r="Y217" s="190"/>
      <c r="Z217" s="191"/>
      <c r="AA217" s="190"/>
      <c r="AB217" s="191"/>
      <c r="AC217" s="190"/>
      <c r="AD217" s="191"/>
      <c r="AE217" s="190"/>
      <c r="AF217" s="191"/>
      <c r="AG217" s="190"/>
      <c r="AH217" s="191"/>
      <c r="AI217" s="190"/>
      <c r="AJ217" s="191"/>
      <c r="AK217" s="190"/>
      <c r="AL217" s="191"/>
      <c r="AM217" s="190"/>
      <c r="AN217" s="191"/>
      <c r="AO217" s="190"/>
      <c r="AP217" s="191"/>
      <c r="AQ217" s="190"/>
      <c r="AR217" s="191"/>
      <c r="AS217" s="190"/>
      <c r="AT217" s="191"/>
      <c r="AU217" s="190"/>
      <c r="AV217" s="191"/>
      <c r="AW217" s="190"/>
      <c r="AX217" s="191"/>
      <c r="AY217" s="190"/>
      <c r="AZ217" s="191"/>
      <c r="BA217" s="145" t="str">
        <f>IFERROR(INDEX($E$4:$AZ$4,SUMPRODUCT(MAX(COLUMN(Tbl_PDSAData[[#This Row],[D1]:[M24]])*(ListLookup!$G$3=Tbl_PDSAData[[#This Row],[D1]:[M24]]))-4)),"")</f>
        <v/>
      </c>
      <c r="BB217" s="145" t="str">
        <f>IFERROR(INDEX($E$4:$AZ$4,SUMPRODUCT(MAX(COLUMN(Tbl_PDSAData[[#This Row],[D1]:[M24]])*(ListLookup!$H$3=Tbl_PDSAData[[#This Row],[D1]:[M24]]))-4)),"")</f>
        <v/>
      </c>
    </row>
    <row r="218" spans="1:54" s="74" customFormat="1" x14ac:dyDescent="0.25">
      <c r="A218" s="189"/>
      <c r="B218" s="134" t="str">
        <f>IFERROR(INDEX(Tbl_ResidentData[Physician],MATCH(Tbl_PDSAData[[#This Row],[Resident Name (last, first)]],Tbl_ResidentData[Resident Name '[last, first']],0))&amp;"","")</f>
        <v/>
      </c>
      <c r="C218" s="135" t="str">
        <f>IFERROR(INDEX(Tbl_ResidentData[Diagnosis (RAI)],MATCH(Tbl_PDSAData[[#This Row],[Resident Name (last, first)]],Tbl_ResidentData[Resident Name '[last, first']],0))&amp;"","")</f>
        <v/>
      </c>
      <c r="D218" s="144" t="str">
        <f>IFERROR(INDEX(Tbl_ResidentData[Clinical Notes
'[free text']],MATCH(Tbl_PDSAData[[#This Row],[Resident Name (last, first)]],Tbl_ResidentData[Resident Name '[last, first']],0))&amp;"","")</f>
        <v/>
      </c>
      <c r="E218" s="190"/>
      <c r="F218" s="191"/>
      <c r="G218" s="190"/>
      <c r="H218" s="191"/>
      <c r="I218" s="190"/>
      <c r="J218" s="191"/>
      <c r="K218" s="190"/>
      <c r="L218" s="191"/>
      <c r="M218" s="190"/>
      <c r="N218" s="191"/>
      <c r="O218" s="190"/>
      <c r="P218" s="191"/>
      <c r="Q218" s="190"/>
      <c r="R218" s="191"/>
      <c r="S218" s="190"/>
      <c r="T218" s="191"/>
      <c r="U218" s="190"/>
      <c r="V218" s="191"/>
      <c r="W218" s="190"/>
      <c r="X218" s="191"/>
      <c r="Y218" s="190"/>
      <c r="Z218" s="191"/>
      <c r="AA218" s="190"/>
      <c r="AB218" s="191"/>
      <c r="AC218" s="190"/>
      <c r="AD218" s="191"/>
      <c r="AE218" s="190"/>
      <c r="AF218" s="191"/>
      <c r="AG218" s="190"/>
      <c r="AH218" s="191"/>
      <c r="AI218" s="190"/>
      <c r="AJ218" s="191"/>
      <c r="AK218" s="190"/>
      <c r="AL218" s="191"/>
      <c r="AM218" s="190"/>
      <c r="AN218" s="191"/>
      <c r="AO218" s="190"/>
      <c r="AP218" s="191"/>
      <c r="AQ218" s="190"/>
      <c r="AR218" s="191"/>
      <c r="AS218" s="190"/>
      <c r="AT218" s="191"/>
      <c r="AU218" s="190"/>
      <c r="AV218" s="191"/>
      <c r="AW218" s="190"/>
      <c r="AX218" s="191"/>
      <c r="AY218" s="190"/>
      <c r="AZ218" s="191"/>
      <c r="BA218" s="145" t="str">
        <f>IFERROR(INDEX($E$4:$AZ$4,SUMPRODUCT(MAX(COLUMN(Tbl_PDSAData[[#This Row],[D1]:[M24]])*(ListLookup!$G$3=Tbl_PDSAData[[#This Row],[D1]:[M24]]))-4)),"")</f>
        <v/>
      </c>
      <c r="BB218" s="145" t="str">
        <f>IFERROR(INDEX($E$4:$AZ$4,SUMPRODUCT(MAX(COLUMN(Tbl_PDSAData[[#This Row],[D1]:[M24]])*(ListLookup!$H$3=Tbl_PDSAData[[#This Row],[D1]:[M24]]))-4)),"")</f>
        <v/>
      </c>
    </row>
    <row r="219" spans="1:54" s="74" customFormat="1" x14ac:dyDescent="0.25">
      <c r="A219" s="189"/>
      <c r="B219" s="134" t="str">
        <f>IFERROR(INDEX(Tbl_ResidentData[Physician],MATCH(Tbl_PDSAData[[#This Row],[Resident Name (last, first)]],Tbl_ResidentData[Resident Name '[last, first']],0))&amp;"","")</f>
        <v/>
      </c>
      <c r="C219" s="135" t="str">
        <f>IFERROR(INDEX(Tbl_ResidentData[Diagnosis (RAI)],MATCH(Tbl_PDSAData[[#This Row],[Resident Name (last, first)]],Tbl_ResidentData[Resident Name '[last, first']],0))&amp;"","")</f>
        <v/>
      </c>
      <c r="D219" s="144" t="str">
        <f>IFERROR(INDEX(Tbl_ResidentData[Clinical Notes
'[free text']],MATCH(Tbl_PDSAData[[#This Row],[Resident Name (last, first)]],Tbl_ResidentData[Resident Name '[last, first']],0))&amp;"","")</f>
        <v/>
      </c>
      <c r="E219" s="190"/>
      <c r="F219" s="191"/>
      <c r="G219" s="190"/>
      <c r="H219" s="191"/>
      <c r="I219" s="190"/>
      <c r="J219" s="191"/>
      <c r="K219" s="190"/>
      <c r="L219" s="191"/>
      <c r="M219" s="190"/>
      <c r="N219" s="191"/>
      <c r="O219" s="190"/>
      <c r="P219" s="191"/>
      <c r="Q219" s="190"/>
      <c r="R219" s="191"/>
      <c r="S219" s="190"/>
      <c r="T219" s="191"/>
      <c r="U219" s="190"/>
      <c r="V219" s="191"/>
      <c r="W219" s="190"/>
      <c r="X219" s="191"/>
      <c r="Y219" s="190"/>
      <c r="Z219" s="191"/>
      <c r="AA219" s="190"/>
      <c r="AB219" s="191"/>
      <c r="AC219" s="190"/>
      <c r="AD219" s="191"/>
      <c r="AE219" s="190"/>
      <c r="AF219" s="191"/>
      <c r="AG219" s="190"/>
      <c r="AH219" s="191"/>
      <c r="AI219" s="190"/>
      <c r="AJ219" s="191"/>
      <c r="AK219" s="190"/>
      <c r="AL219" s="191"/>
      <c r="AM219" s="190"/>
      <c r="AN219" s="191"/>
      <c r="AO219" s="190"/>
      <c r="AP219" s="191"/>
      <c r="AQ219" s="190"/>
      <c r="AR219" s="191"/>
      <c r="AS219" s="190"/>
      <c r="AT219" s="191"/>
      <c r="AU219" s="190"/>
      <c r="AV219" s="191"/>
      <c r="AW219" s="190"/>
      <c r="AX219" s="191"/>
      <c r="AY219" s="190"/>
      <c r="AZ219" s="191"/>
      <c r="BA219" s="145" t="str">
        <f>IFERROR(INDEX($E$4:$AZ$4,SUMPRODUCT(MAX(COLUMN(Tbl_PDSAData[[#This Row],[D1]:[M24]])*(ListLookup!$G$3=Tbl_PDSAData[[#This Row],[D1]:[M24]]))-4)),"")</f>
        <v/>
      </c>
      <c r="BB219" s="145" t="str">
        <f>IFERROR(INDEX($E$4:$AZ$4,SUMPRODUCT(MAX(COLUMN(Tbl_PDSAData[[#This Row],[D1]:[M24]])*(ListLookup!$H$3=Tbl_PDSAData[[#This Row],[D1]:[M24]]))-4)),"")</f>
        <v/>
      </c>
    </row>
    <row r="220" spans="1:54" s="74" customFormat="1" x14ac:dyDescent="0.25">
      <c r="A220" s="189"/>
      <c r="B220" s="134" t="str">
        <f>IFERROR(INDEX(Tbl_ResidentData[Physician],MATCH(Tbl_PDSAData[[#This Row],[Resident Name (last, first)]],Tbl_ResidentData[Resident Name '[last, first']],0))&amp;"","")</f>
        <v/>
      </c>
      <c r="C220" s="135" t="str">
        <f>IFERROR(INDEX(Tbl_ResidentData[Diagnosis (RAI)],MATCH(Tbl_PDSAData[[#This Row],[Resident Name (last, first)]],Tbl_ResidentData[Resident Name '[last, first']],0))&amp;"","")</f>
        <v/>
      </c>
      <c r="D220" s="144" t="str">
        <f>IFERROR(INDEX(Tbl_ResidentData[Clinical Notes
'[free text']],MATCH(Tbl_PDSAData[[#This Row],[Resident Name (last, first)]],Tbl_ResidentData[Resident Name '[last, first']],0))&amp;"","")</f>
        <v/>
      </c>
      <c r="E220" s="190"/>
      <c r="F220" s="191"/>
      <c r="G220" s="190"/>
      <c r="H220" s="191"/>
      <c r="I220" s="190"/>
      <c r="J220" s="191"/>
      <c r="K220" s="190"/>
      <c r="L220" s="191"/>
      <c r="M220" s="190"/>
      <c r="N220" s="191"/>
      <c r="O220" s="190"/>
      <c r="P220" s="191"/>
      <c r="Q220" s="190"/>
      <c r="R220" s="191"/>
      <c r="S220" s="190"/>
      <c r="T220" s="191"/>
      <c r="U220" s="190"/>
      <c r="V220" s="191"/>
      <c r="W220" s="190"/>
      <c r="X220" s="191"/>
      <c r="Y220" s="190"/>
      <c r="Z220" s="191"/>
      <c r="AA220" s="190"/>
      <c r="AB220" s="191"/>
      <c r="AC220" s="190"/>
      <c r="AD220" s="191"/>
      <c r="AE220" s="190"/>
      <c r="AF220" s="191"/>
      <c r="AG220" s="190"/>
      <c r="AH220" s="191"/>
      <c r="AI220" s="190"/>
      <c r="AJ220" s="191"/>
      <c r="AK220" s="190"/>
      <c r="AL220" s="191"/>
      <c r="AM220" s="190"/>
      <c r="AN220" s="191"/>
      <c r="AO220" s="190"/>
      <c r="AP220" s="191"/>
      <c r="AQ220" s="190"/>
      <c r="AR220" s="191"/>
      <c r="AS220" s="190"/>
      <c r="AT220" s="191"/>
      <c r="AU220" s="190"/>
      <c r="AV220" s="191"/>
      <c r="AW220" s="190"/>
      <c r="AX220" s="191"/>
      <c r="AY220" s="190"/>
      <c r="AZ220" s="191"/>
      <c r="BA220" s="145" t="str">
        <f>IFERROR(INDEX($E$4:$AZ$4,SUMPRODUCT(MAX(COLUMN(Tbl_PDSAData[[#This Row],[D1]:[M24]])*(ListLookup!$G$3=Tbl_PDSAData[[#This Row],[D1]:[M24]]))-4)),"")</f>
        <v/>
      </c>
      <c r="BB220" s="145" t="str">
        <f>IFERROR(INDEX($E$4:$AZ$4,SUMPRODUCT(MAX(COLUMN(Tbl_PDSAData[[#This Row],[D1]:[M24]])*(ListLookup!$H$3=Tbl_PDSAData[[#This Row],[D1]:[M24]]))-4)),"")</f>
        <v/>
      </c>
    </row>
    <row r="221" spans="1:54" s="74" customFormat="1" x14ac:dyDescent="0.25">
      <c r="A221" s="189"/>
      <c r="B221" s="134" t="str">
        <f>IFERROR(INDEX(Tbl_ResidentData[Physician],MATCH(Tbl_PDSAData[[#This Row],[Resident Name (last, first)]],Tbl_ResidentData[Resident Name '[last, first']],0))&amp;"","")</f>
        <v/>
      </c>
      <c r="C221" s="135" t="str">
        <f>IFERROR(INDEX(Tbl_ResidentData[Diagnosis (RAI)],MATCH(Tbl_PDSAData[[#This Row],[Resident Name (last, first)]],Tbl_ResidentData[Resident Name '[last, first']],0))&amp;"","")</f>
        <v/>
      </c>
      <c r="D221" s="144" t="str">
        <f>IFERROR(INDEX(Tbl_ResidentData[Clinical Notes
'[free text']],MATCH(Tbl_PDSAData[[#This Row],[Resident Name (last, first)]],Tbl_ResidentData[Resident Name '[last, first']],0))&amp;"","")</f>
        <v/>
      </c>
      <c r="E221" s="190"/>
      <c r="F221" s="191"/>
      <c r="G221" s="190"/>
      <c r="H221" s="191"/>
      <c r="I221" s="190"/>
      <c r="J221" s="191"/>
      <c r="K221" s="190"/>
      <c r="L221" s="191"/>
      <c r="M221" s="190"/>
      <c r="N221" s="191"/>
      <c r="O221" s="190"/>
      <c r="P221" s="191"/>
      <c r="Q221" s="190"/>
      <c r="R221" s="191"/>
      <c r="S221" s="190"/>
      <c r="T221" s="191"/>
      <c r="U221" s="190"/>
      <c r="V221" s="191"/>
      <c r="W221" s="190"/>
      <c r="X221" s="191"/>
      <c r="Y221" s="190"/>
      <c r="Z221" s="191"/>
      <c r="AA221" s="190"/>
      <c r="AB221" s="191"/>
      <c r="AC221" s="190"/>
      <c r="AD221" s="191"/>
      <c r="AE221" s="190"/>
      <c r="AF221" s="191"/>
      <c r="AG221" s="190"/>
      <c r="AH221" s="191"/>
      <c r="AI221" s="190"/>
      <c r="AJ221" s="191"/>
      <c r="AK221" s="190"/>
      <c r="AL221" s="191"/>
      <c r="AM221" s="190"/>
      <c r="AN221" s="191"/>
      <c r="AO221" s="190"/>
      <c r="AP221" s="191"/>
      <c r="AQ221" s="190"/>
      <c r="AR221" s="191"/>
      <c r="AS221" s="190"/>
      <c r="AT221" s="191"/>
      <c r="AU221" s="190"/>
      <c r="AV221" s="191"/>
      <c r="AW221" s="190"/>
      <c r="AX221" s="191"/>
      <c r="AY221" s="190"/>
      <c r="AZ221" s="191"/>
      <c r="BA221" s="145" t="str">
        <f>IFERROR(INDEX($E$4:$AZ$4,SUMPRODUCT(MAX(COLUMN(Tbl_PDSAData[[#This Row],[D1]:[M24]])*(ListLookup!$G$3=Tbl_PDSAData[[#This Row],[D1]:[M24]]))-4)),"")</f>
        <v/>
      </c>
      <c r="BB221" s="145" t="str">
        <f>IFERROR(INDEX($E$4:$AZ$4,SUMPRODUCT(MAX(COLUMN(Tbl_PDSAData[[#This Row],[D1]:[M24]])*(ListLookup!$H$3=Tbl_PDSAData[[#This Row],[D1]:[M24]]))-4)),"")</f>
        <v/>
      </c>
    </row>
    <row r="222" spans="1:54" s="74" customFormat="1" x14ac:dyDescent="0.25">
      <c r="A222" s="189"/>
      <c r="B222" s="134" t="str">
        <f>IFERROR(INDEX(Tbl_ResidentData[Physician],MATCH(Tbl_PDSAData[[#This Row],[Resident Name (last, first)]],Tbl_ResidentData[Resident Name '[last, first']],0))&amp;"","")</f>
        <v/>
      </c>
      <c r="C222" s="135" t="str">
        <f>IFERROR(INDEX(Tbl_ResidentData[Diagnosis (RAI)],MATCH(Tbl_PDSAData[[#This Row],[Resident Name (last, first)]],Tbl_ResidentData[Resident Name '[last, first']],0))&amp;"","")</f>
        <v/>
      </c>
      <c r="D222" s="144" t="str">
        <f>IFERROR(INDEX(Tbl_ResidentData[Clinical Notes
'[free text']],MATCH(Tbl_PDSAData[[#This Row],[Resident Name (last, first)]],Tbl_ResidentData[Resident Name '[last, first']],0))&amp;"","")</f>
        <v/>
      </c>
      <c r="E222" s="190"/>
      <c r="F222" s="191"/>
      <c r="G222" s="190"/>
      <c r="H222" s="191"/>
      <c r="I222" s="190"/>
      <c r="J222" s="191"/>
      <c r="K222" s="190"/>
      <c r="L222" s="191"/>
      <c r="M222" s="190"/>
      <c r="N222" s="191"/>
      <c r="O222" s="190"/>
      <c r="P222" s="191"/>
      <c r="Q222" s="190"/>
      <c r="R222" s="191"/>
      <c r="S222" s="190"/>
      <c r="T222" s="191"/>
      <c r="U222" s="190"/>
      <c r="V222" s="191"/>
      <c r="W222" s="190"/>
      <c r="X222" s="191"/>
      <c r="Y222" s="190"/>
      <c r="Z222" s="191"/>
      <c r="AA222" s="190"/>
      <c r="AB222" s="191"/>
      <c r="AC222" s="190"/>
      <c r="AD222" s="191"/>
      <c r="AE222" s="190"/>
      <c r="AF222" s="191"/>
      <c r="AG222" s="190"/>
      <c r="AH222" s="191"/>
      <c r="AI222" s="190"/>
      <c r="AJ222" s="191"/>
      <c r="AK222" s="190"/>
      <c r="AL222" s="191"/>
      <c r="AM222" s="190"/>
      <c r="AN222" s="191"/>
      <c r="AO222" s="190"/>
      <c r="AP222" s="191"/>
      <c r="AQ222" s="190"/>
      <c r="AR222" s="191"/>
      <c r="AS222" s="190"/>
      <c r="AT222" s="191"/>
      <c r="AU222" s="190"/>
      <c r="AV222" s="191"/>
      <c r="AW222" s="190"/>
      <c r="AX222" s="191"/>
      <c r="AY222" s="190"/>
      <c r="AZ222" s="191"/>
      <c r="BA222" s="145" t="str">
        <f>IFERROR(INDEX($E$4:$AZ$4,SUMPRODUCT(MAX(COLUMN(Tbl_PDSAData[[#This Row],[D1]:[M24]])*(ListLookup!$G$3=Tbl_PDSAData[[#This Row],[D1]:[M24]]))-4)),"")</f>
        <v/>
      </c>
      <c r="BB222" s="145" t="str">
        <f>IFERROR(INDEX($E$4:$AZ$4,SUMPRODUCT(MAX(COLUMN(Tbl_PDSAData[[#This Row],[D1]:[M24]])*(ListLookup!$H$3=Tbl_PDSAData[[#This Row],[D1]:[M24]]))-4)),"")</f>
        <v/>
      </c>
    </row>
    <row r="223" spans="1:54" s="74" customFormat="1" x14ac:dyDescent="0.25">
      <c r="A223" s="189"/>
      <c r="B223" s="134" t="str">
        <f>IFERROR(INDEX(Tbl_ResidentData[Physician],MATCH(Tbl_PDSAData[[#This Row],[Resident Name (last, first)]],Tbl_ResidentData[Resident Name '[last, first']],0))&amp;"","")</f>
        <v/>
      </c>
      <c r="C223" s="135" t="str">
        <f>IFERROR(INDEX(Tbl_ResidentData[Diagnosis (RAI)],MATCH(Tbl_PDSAData[[#This Row],[Resident Name (last, first)]],Tbl_ResidentData[Resident Name '[last, first']],0))&amp;"","")</f>
        <v/>
      </c>
      <c r="D223" s="144" t="str">
        <f>IFERROR(INDEX(Tbl_ResidentData[Clinical Notes
'[free text']],MATCH(Tbl_PDSAData[[#This Row],[Resident Name (last, first)]],Tbl_ResidentData[Resident Name '[last, first']],0))&amp;"","")</f>
        <v/>
      </c>
      <c r="E223" s="190"/>
      <c r="F223" s="191"/>
      <c r="G223" s="190"/>
      <c r="H223" s="191"/>
      <c r="I223" s="190"/>
      <c r="J223" s="191"/>
      <c r="K223" s="190"/>
      <c r="L223" s="191"/>
      <c r="M223" s="190"/>
      <c r="N223" s="191"/>
      <c r="O223" s="190"/>
      <c r="P223" s="191"/>
      <c r="Q223" s="190"/>
      <c r="R223" s="191"/>
      <c r="S223" s="190"/>
      <c r="T223" s="191"/>
      <c r="U223" s="190"/>
      <c r="V223" s="191"/>
      <c r="W223" s="190"/>
      <c r="X223" s="191"/>
      <c r="Y223" s="190"/>
      <c r="Z223" s="191"/>
      <c r="AA223" s="190"/>
      <c r="AB223" s="191"/>
      <c r="AC223" s="190"/>
      <c r="AD223" s="191"/>
      <c r="AE223" s="190"/>
      <c r="AF223" s="191"/>
      <c r="AG223" s="190"/>
      <c r="AH223" s="191"/>
      <c r="AI223" s="190"/>
      <c r="AJ223" s="191"/>
      <c r="AK223" s="190"/>
      <c r="AL223" s="191"/>
      <c r="AM223" s="190"/>
      <c r="AN223" s="191"/>
      <c r="AO223" s="190"/>
      <c r="AP223" s="191"/>
      <c r="AQ223" s="190"/>
      <c r="AR223" s="191"/>
      <c r="AS223" s="190"/>
      <c r="AT223" s="191"/>
      <c r="AU223" s="190"/>
      <c r="AV223" s="191"/>
      <c r="AW223" s="190"/>
      <c r="AX223" s="191"/>
      <c r="AY223" s="190"/>
      <c r="AZ223" s="191"/>
      <c r="BA223" s="145" t="str">
        <f>IFERROR(INDEX($E$4:$AZ$4,SUMPRODUCT(MAX(COLUMN(Tbl_PDSAData[[#This Row],[D1]:[M24]])*(ListLookup!$G$3=Tbl_PDSAData[[#This Row],[D1]:[M24]]))-4)),"")</f>
        <v/>
      </c>
      <c r="BB223" s="145" t="str">
        <f>IFERROR(INDEX($E$4:$AZ$4,SUMPRODUCT(MAX(COLUMN(Tbl_PDSAData[[#This Row],[D1]:[M24]])*(ListLookup!$H$3=Tbl_PDSAData[[#This Row],[D1]:[M24]]))-4)),"")</f>
        <v/>
      </c>
    </row>
    <row r="224" spans="1:54" s="74" customFormat="1" x14ac:dyDescent="0.25">
      <c r="A224" s="189"/>
      <c r="B224" s="134" t="str">
        <f>IFERROR(INDEX(Tbl_ResidentData[Physician],MATCH(Tbl_PDSAData[[#This Row],[Resident Name (last, first)]],Tbl_ResidentData[Resident Name '[last, first']],0))&amp;"","")</f>
        <v/>
      </c>
      <c r="C224" s="135" t="str">
        <f>IFERROR(INDEX(Tbl_ResidentData[Diagnosis (RAI)],MATCH(Tbl_PDSAData[[#This Row],[Resident Name (last, first)]],Tbl_ResidentData[Resident Name '[last, first']],0))&amp;"","")</f>
        <v/>
      </c>
      <c r="D224" s="144" t="str">
        <f>IFERROR(INDEX(Tbl_ResidentData[Clinical Notes
'[free text']],MATCH(Tbl_PDSAData[[#This Row],[Resident Name (last, first)]],Tbl_ResidentData[Resident Name '[last, first']],0))&amp;"","")</f>
        <v/>
      </c>
      <c r="E224" s="190"/>
      <c r="F224" s="191"/>
      <c r="G224" s="190"/>
      <c r="H224" s="191"/>
      <c r="I224" s="190"/>
      <c r="J224" s="191"/>
      <c r="K224" s="190"/>
      <c r="L224" s="191"/>
      <c r="M224" s="190"/>
      <c r="N224" s="191"/>
      <c r="O224" s="190"/>
      <c r="P224" s="191"/>
      <c r="Q224" s="190"/>
      <c r="R224" s="191"/>
      <c r="S224" s="190"/>
      <c r="T224" s="191"/>
      <c r="U224" s="190"/>
      <c r="V224" s="191"/>
      <c r="W224" s="190"/>
      <c r="X224" s="191"/>
      <c r="Y224" s="190"/>
      <c r="Z224" s="191"/>
      <c r="AA224" s="190"/>
      <c r="AB224" s="191"/>
      <c r="AC224" s="190"/>
      <c r="AD224" s="191"/>
      <c r="AE224" s="190"/>
      <c r="AF224" s="191"/>
      <c r="AG224" s="190"/>
      <c r="AH224" s="191"/>
      <c r="AI224" s="190"/>
      <c r="AJ224" s="191"/>
      <c r="AK224" s="190"/>
      <c r="AL224" s="191"/>
      <c r="AM224" s="190"/>
      <c r="AN224" s="191"/>
      <c r="AO224" s="190"/>
      <c r="AP224" s="191"/>
      <c r="AQ224" s="190"/>
      <c r="AR224" s="191"/>
      <c r="AS224" s="190"/>
      <c r="AT224" s="191"/>
      <c r="AU224" s="190"/>
      <c r="AV224" s="191"/>
      <c r="AW224" s="190"/>
      <c r="AX224" s="191"/>
      <c r="AY224" s="190"/>
      <c r="AZ224" s="191"/>
      <c r="BA224" s="145" t="str">
        <f>IFERROR(INDEX($E$4:$AZ$4,SUMPRODUCT(MAX(COLUMN(Tbl_PDSAData[[#This Row],[D1]:[M24]])*(ListLookup!$G$3=Tbl_PDSAData[[#This Row],[D1]:[M24]]))-4)),"")</f>
        <v/>
      </c>
      <c r="BB224" s="145" t="str">
        <f>IFERROR(INDEX($E$4:$AZ$4,SUMPRODUCT(MAX(COLUMN(Tbl_PDSAData[[#This Row],[D1]:[M24]])*(ListLookup!$H$3=Tbl_PDSAData[[#This Row],[D1]:[M24]]))-4)),"")</f>
        <v/>
      </c>
    </row>
    <row r="225" spans="1:54" s="74" customFormat="1" x14ac:dyDescent="0.25">
      <c r="A225" s="189"/>
      <c r="B225" s="134" t="str">
        <f>IFERROR(INDEX(Tbl_ResidentData[Physician],MATCH(Tbl_PDSAData[[#This Row],[Resident Name (last, first)]],Tbl_ResidentData[Resident Name '[last, first']],0))&amp;"","")</f>
        <v/>
      </c>
      <c r="C225" s="135" t="str">
        <f>IFERROR(INDEX(Tbl_ResidentData[Diagnosis (RAI)],MATCH(Tbl_PDSAData[[#This Row],[Resident Name (last, first)]],Tbl_ResidentData[Resident Name '[last, first']],0))&amp;"","")</f>
        <v/>
      </c>
      <c r="D225" s="144" t="str">
        <f>IFERROR(INDEX(Tbl_ResidentData[Clinical Notes
'[free text']],MATCH(Tbl_PDSAData[[#This Row],[Resident Name (last, first)]],Tbl_ResidentData[Resident Name '[last, first']],0))&amp;"","")</f>
        <v/>
      </c>
      <c r="E225" s="190"/>
      <c r="F225" s="191"/>
      <c r="G225" s="190"/>
      <c r="H225" s="191"/>
      <c r="I225" s="190"/>
      <c r="J225" s="191"/>
      <c r="K225" s="190"/>
      <c r="L225" s="191"/>
      <c r="M225" s="190"/>
      <c r="N225" s="191"/>
      <c r="O225" s="190"/>
      <c r="P225" s="191"/>
      <c r="Q225" s="190"/>
      <c r="R225" s="191"/>
      <c r="S225" s="190"/>
      <c r="T225" s="191"/>
      <c r="U225" s="190"/>
      <c r="V225" s="191"/>
      <c r="W225" s="190"/>
      <c r="X225" s="191"/>
      <c r="Y225" s="190"/>
      <c r="Z225" s="191"/>
      <c r="AA225" s="190"/>
      <c r="AB225" s="191"/>
      <c r="AC225" s="190"/>
      <c r="AD225" s="191"/>
      <c r="AE225" s="190"/>
      <c r="AF225" s="191"/>
      <c r="AG225" s="190"/>
      <c r="AH225" s="191"/>
      <c r="AI225" s="190"/>
      <c r="AJ225" s="191"/>
      <c r="AK225" s="190"/>
      <c r="AL225" s="191"/>
      <c r="AM225" s="190"/>
      <c r="AN225" s="191"/>
      <c r="AO225" s="190"/>
      <c r="AP225" s="191"/>
      <c r="AQ225" s="190"/>
      <c r="AR225" s="191"/>
      <c r="AS225" s="190"/>
      <c r="AT225" s="191"/>
      <c r="AU225" s="190"/>
      <c r="AV225" s="191"/>
      <c r="AW225" s="190"/>
      <c r="AX225" s="191"/>
      <c r="AY225" s="190"/>
      <c r="AZ225" s="191"/>
      <c r="BA225" s="145" t="str">
        <f>IFERROR(INDEX($E$4:$AZ$4,SUMPRODUCT(MAX(COLUMN(Tbl_PDSAData[[#This Row],[D1]:[M24]])*(ListLookup!$G$3=Tbl_PDSAData[[#This Row],[D1]:[M24]]))-4)),"")</f>
        <v/>
      </c>
      <c r="BB225" s="145" t="str">
        <f>IFERROR(INDEX($E$4:$AZ$4,SUMPRODUCT(MAX(COLUMN(Tbl_PDSAData[[#This Row],[D1]:[M24]])*(ListLookup!$H$3=Tbl_PDSAData[[#This Row],[D1]:[M24]]))-4)),"")</f>
        <v/>
      </c>
    </row>
    <row r="226" spans="1:54" s="74" customFormat="1" x14ac:dyDescent="0.25">
      <c r="A226" s="189"/>
      <c r="B226" s="134" t="str">
        <f>IFERROR(INDEX(Tbl_ResidentData[Physician],MATCH(Tbl_PDSAData[[#This Row],[Resident Name (last, first)]],Tbl_ResidentData[Resident Name '[last, first']],0))&amp;"","")</f>
        <v/>
      </c>
      <c r="C226" s="135" t="str">
        <f>IFERROR(INDEX(Tbl_ResidentData[Diagnosis (RAI)],MATCH(Tbl_PDSAData[[#This Row],[Resident Name (last, first)]],Tbl_ResidentData[Resident Name '[last, first']],0))&amp;"","")</f>
        <v/>
      </c>
      <c r="D226" s="144" t="str">
        <f>IFERROR(INDEX(Tbl_ResidentData[Clinical Notes
'[free text']],MATCH(Tbl_PDSAData[[#This Row],[Resident Name (last, first)]],Tbl_ResidentData[Resident Name '[last, first']],0))&amp;"","")</f>
        <v/>
      </c>
      <c r="E226" s="190"/>
      <c r="F226" s="191"/>
      <c r="G226" s="190"/>
      <c r="H226" s="191"/>
      <c r="I226" s="190"/>
      <c r="J226" s="191"/>
      <c r="K226" s="190"/>
      <c r="L226" s="191"/>
      <c r="M226" s="190"/>
      <c r="N226" s="191"/>
      <c r="O226" s="190"/>
      <c r="P226" s="191"/>
      <c r="Q226" s="190"/>
      <c r="R226" s="191"/>
      <c r="S226" s="190"/>
      <c r="T226" s="191"/>
      <c r="U226" s="190"/>
      <c r="V226" s="191"/>
      <c r="W226" s="190"/>
      <c r="X226" s="191"/>
      <c r="Y226" s="190"/>
      <c r="Z226" s="191"/>
      <c r="AA226" s="190"/>
      <c r="AB226" s="191"/>
      <c r="AC226" s="190"/>
      <c r="AD226" s="191"/>
      <c r="AE226" s="190"/>
      <c r="AF226" s="191"/>
      <c r="AG226" s="190"/>
      <c r="AH226" s="191"/>
      <c r="AI226" s="190"/>
      <c r="AJ226" s="191"/>
      <c r="AK226" s="190"/>
      <c r="AL226" s="191"/>
      <c r="AM226" s="190"/>
      <c r="AN226" s="191"/>
      <c r="AO226" s="190"/>
      <c r="AP226" s="191"/>
      <c r="AQ226" s="190"/>
      <c r="AR226" s="191"/>
      <c r="AS226" s="190"/>
      <c r="AT226" s="191"/>
      <c r="AU226" s="190"/>
      <c r="AV226" s="191"/>
      <c r="AW226" s="190"/>
      <c r="AX226" s="191"/>
      <c r="AY226" s="190"/>
      <c r="AZ226" s="191"/>
      <c r="BA226" s="145" t="str">
        <f>IFERROR(INDEX($E$4:$AZ$4,SUMPRODUCT(MAX(COLUMN(Tbl_PDSAData[[#This Row],[D1]:[M24]])*(ListLookup!$G$3=Tbl_PDSAData[[#This Row],[D1]:[M24]]))-4)),"")</f>
        <v/>
      </c>
      <c r="BB226" s="145" t="str">
        <f>IFERROR(INDEX($E$4:$AZ$4,SUMPRODUCT(MAX(COLUMN(Tbl_PDSAData[[#This Row],[D1]:[M24]])*(ListLookup!$H$3=Tbl_PDSAData[[#This Row],[D1]:[M24]]))-4)),"")</f>
        <v/>
      </c>
    </row>
    <row r="227" spans="1:54" s="74" customFormat="1" x14ac:dyDescent="0.25">
      <c r="A227" s="189"/>
      <c r="B227" s="134" t="str">
        <f>IFERROR(INDEX(Tbl_ResidentData[Physician],MATCH(Tbl_PDSAData[[#This Row],[Resident Name (last, first)]],Tbl_ResidentData[Resident Name '[last, first']],0))&amp;"","")</f>
        <v/>
      </c>
      <c r="C227" s="135" t="str">
        <f>IFERROR(INDEX(Tbl_ResidentData[Diagnosis (RAI)],MATCH(Tbl_PDSAData[[#This Row],[Resident Name (last, first)]],Tbl_ResidentData[Resident Name '[last, first']],0))&amp;"","")</f>
        <v/>
      </c>
      <c r="D227" s="144" t="str">
        <f>IFERROR(INDEX(Tbl_ResidentData[Clinical Notes
'[free text']],MATCH(Tbl_PDSAData[[#This Row],[Resident Name (last, first)]],Tbl_ResidentData[Resident Name '[last, first']],0))&amp;"","")</f>
        <v/>
      </c>
      <c r="E227" s="190"/>
      <c r="F227" s="191"/>
      <c r="G227" s="190"/>
      <c r="H227" s="191"/>
      <c r="I227" s="190"/>
      <c r="J227" s="191"/>
      <c r="K227" s="190"/>
      <c r="L227" s="191"/>
      <c r="M227" s="190"/>
      <c r="N227" s="191"/>
      <c r="O227" s="190"/>
      <c r="P227" s="191"/>
      <c r="Q227" s="190"/>
      <c r="R227" s="191"/>
      <c r="S227" s="190"/>
      <c r="T227" s="191"/>
      <c r="U227" s="190"/>
      <c r="V227" s="191"/>
      <c r="W227" s="190"/>
      <c r="X227" s="191"/>
      <c r="Y227" s="190"/>
      <c r="Z227" s="191"/>
      <c r="AA227" s="190"/>
      <c r="AB227" s="191"/>
      <c r="AC227" s="190"/>
      <c r="AD227" s="191"/>
      <c r="AE227" s="190"/>
      <c r="AF227" s="191"/>
      <c r="AG227" s="190"/>
      <c r="AH227" s="191"/>
      <c r="AI227" s="190"/>
      <c r="AJ227" s="191"/>
      <c r="AK227" s="190"/>
      <c r="AL227" s="191"/>
      <c r="AM227" s="190"/>
      <c r="AN227" s="191"/>
      <c r="AO227" s="190"/>
      <c r="AP227" s="191"/>
      <c r="AQ227" s="190"/>
      <c r="AR227" s="191"/>
      <c r="AS227" s="190"/>
      <c r="AT227" s="191"/>
      <c r="AU227" s="190"/>
      <c r="AV227" s="191"/>
      <c r="AW227" s="190"/>
      <c r="AX227" s="191"/>
      <c r="AY227" s="190"/>
      <c r="AZ227" s="191"/>
      <c r="BA227" s="145" t="str">
        <f>IFERROR(INDEX($E$4:$AZ$4,SUMPRODUCT(MAX(COLUMN(Tbl_PDSAData[[#This Row],[D1]:[M24]])*(ListLookup!$G$3=Tbl_PDSAData[[#This Row],[D1]:[M24]]))-4)),"")</f>
        <v/>
      </c>
      <c r="BB227" s="145" t="str">
        <f>IFERROR(INDEX($E$4:$AZ$4,SUMPRODUCT(MAX(COLUMN(Tbl_PDSAData[[#This Row],[D1]:[M24]])*(ListLookup!$H$3=Tbl_PDSAData[[#This Row],[D1]:[M24]]))-4)),"")</f>
        <v/>
      </c>
    </row>
    <row r="228" spans="1:54" s="74" customFormat="1" x14ac:dyDescent="0.25">
      <c r="A228" s="189"/>
      <c r="B228" s="134" t="str">
        <f>IFERROR(INDEX(Tbl_ResidentData[Physician],MATCH(Tbl_PDSAData[[#This Row],[Resident Name (last, first)]],Tbl_ResidentData[Resident Name '[last, first']],0))&amp;"","")</f>
        <v/>
      </c>
      <c r="C228" s="135" t="str">
        <f>IFERROR(INDEX(Tbl_ResidentData[Diagnosis (RAI)],MATCH(Tbl_PDSAData[[#This Row],[Resident Name (last, first)]],Tbl_ResidentData[Resident Name '[last, first']],0))&amp;"","")</f>
        <v/>
      </c>
      <c r="D228" s="144" t="str">
        <f>IFERROR(INDEX(Tbl_ResidentData[Clinical Notes
'[free text']],MATCH(Tbl_PDSAData[[#This Row],[Resident Name (last, first)]],Tbl_ResidentData[Resident Name '[last, first']],0))&amp;"","")</f>
        <v/>
      </c>
      <c r="E228" s="190"/>
      <c r="F228" s="191"/>
      <c r="G228" s="190"/>
      <c r="H228" s="191"/>
      <c r="I228" s="190"/>
      <c r="J228" s="191"/>
      <c r="K228" s="190"/>
      <c r="L228" s="191"/>
      <c r="M228" s="190"/>
      <c r="N228" s="191"/>
      <c r="O228" s="190"/>
      <c r="P228" s="191"/>
      <c r="Q228" s="190"/>
      <c r="R228" s="191"/>
      <c r="S228" s="190"/>
      <c r="T228" s="191"/>
      <c r="U228" s="190"/>
      <c r="V228" s="191"/>
      <c r="W228" s="190"/>
      <c r="X228" s="191"/>
      <c r="Y228" s="190"/>
      <c r="Z228" s="191"/>
      <c r="AA228" s="190"/>
      <c r="AB228" s="191"/>
      <c r="AC228" s="190"/>
      <c r="AD228" s="191"/>
      <c r="AE228" s="190"/>
      <c r="AF228" s="191"/>
      <c r="AG228" s="190"/>
      <c r="AH228" s="191"/>
      <c r="AI228" s="190"/>
      <c r="AJ228" s="191"/>
      <c r="AK228" s="190"/>
      <c r="AL228" s="191"/>
      <c r="AM228" s="190"/>
      <c r="AN228" s="191"/>
      <c r="AO228" s="190"/>
      <c r="AP228" s="191"/>
      <c r="AQ228" s="190"/>
      <c r="AR228" s="191"/>
      <c r="AS228" s="190"/>
      <c r="AT228" s="191"/>
      <c r="AU228" s="190"/>
      <c r="AV228" s="191"/>
      <c r="AW228" s="190"/>
      <c r="AX228" s="191"/>
      <c r="AY228" s="190"/>
      <c r="AZ228" s="191"/>
      <c r="BA228" s="145" t="str">
        <f>IFERROR(INDEX($E$4:$AZ$4,SUMPRODUCT(MAX(COLUMN(Tbl_PDSAData[[#This Row],[D1]:[M24]])*(ListLookup!$G$3=Tbl_PDSAData[[#This Row],[D1]:[M24]]))-4)),"")</f>
        <v/>
      </c>
      <c r="BB228" s="145" t="str">
        <f>IFERROR(INDEX($E$4:$AZ$4,SUMPRODUCT(MAX(COLUMN(Tbl_PDSAData[[#This Row],[D1]:[M24]])*(ListLookup!$H$3=Tbl_PDSAData[[#This Row],[D1]:[M24]]))-4)),"")</f>
        <v/>
      </c>
    </row>
    <row r="229" spans="1:54" s="74" customFormat="1" x14ac:dyDescent="0.25">
      <c r="A229" s="189"/>
      <c r="B229" s="134" t="str">
        <f>IFERROR(INDEX(Tbl_ResidentData[Physician],MATCH(Tbl_PDSAData[[#This Row],[Resident Name (last, first)]],Tbl_ResidentData[Resident Name '[last, first']],0))&amp;"","")</f>
        <v/>
      </c>
      <c r="C229" s="135" t="str">
        <f>IFERROR(INDEX(Tbl_ResidentData[Diagnosis (RAI)],MATCH(Tbl_PDSAData[[#This Row],[Resident Name (last, first)]],Tbl_ResidentData[Resident Name '[last, first']],0))&amp;"","")</f>
        <v/>
      </c>
      <c r="D229" s="144" t="str">
        <f>IFERROR(INDEX(Tbl_ResidentData[Clinical Notes
'[free text']],MATCH(Tbl_PDSAData[[#This Row],[Resident Name (last, first)]],Tbl_ResidentData[Resident Name '[last, first']],0))&amp;"","")</f>
        <v/>
      </c>
      <c r="E229" s="190"/>
      <c r="F229" s="191"/>
      <c r="G229" s="190"/>
      <c r="H229" s="191"/>
      <c r="I229" s="190"/>
      <c r="J229" s="191"/>
      <c r="K229" s="190"/>
      <c r="L229" s="191"/>
      <c r="M229" s="190"/>
      <c r="N229" s="191"/>
      <c r="O229" s="190"/>
      <c r="P229" s="191"/>
      <c r="Q229" s="190"/>
      <c r="R229" s="191"/>
      <c r="S229" s="190"/>
      <c r="T229" s="191"/>
      <c r="U229" s="190"/>
      <c r="V229" s="191"/>
      <c r="W229" s="190"/>
      <c r="X229" s="191"/>
      <c r="Y229" s="190"/>
      <c r="Z229" s="191"/>
      <c r="AA229" s="190"/>
      <c r="AB229" s="191"/>
      <c r="AC229" s="190"/>
      <c r="AD229" s="191"/>
      <c r="AE229" s="190"/>
      <c r="AF229" s="191"/>
      <c r="AG229" s="190"/>
      <c r="AH229" s="191"/>
      <c r="AI229" s="190"/>
      <c r="AJ229" s="191"/>
      <c r="AK229" s="190"/>
      <c r="AL229" s="191"/>
      <c r="AM229" s="190"/>
      <c r="AN229" s="191"/>
      <c r="AO229" s="190"/>
      <c r="AP229" s="191"/>
      <c r="AQ229" s="190"/>
      <c r="AR229" s="191"/>
      <c r="AS229" s="190"/>
      <c r="AT229" s="191"/>
      <c r="AU229" s="190"/>
      <c r="AV229" s="191"/>
      <c r="AW229" s="190"/>
      <c r="AX229" s="191"/>
      <c r="AY229" s="190"/>
      <c r="AZ229" s="191"/>
      <c r="BA229" s="145" t="str">
        <f>IFERROR(INDEX($E$4:$AZ$4,SUMPRODUCT(MAX(COLUMN(Tbl_PDSAData[[#This Row],[D1]:[M24]])*(ListLookup!$G$3=Tbl_PDSAData[[#This Row],[D1]:[M24]]))-4)),"")</f>
        <v/>
      </c>
      <c r="BB229" s="145" t="str">
        <f>IFERROR(INDEX($E$4:$AZ$4,SUMPRODUCT(MAX(COLUMN(Tbl_PDSAData[[#This Row],[D1]:[M24]])*(ListLookup!$H$3=Tbl_PDSAData[[#This Row],[D1]:[M24]]))-4)),"")</f>
        <v/>
      </c>
    </row>
    <row r="230" spans="1:54" s="74" customFormat="1" x14ac:dyDescent="0.25">
      <c r="A230" s="189"/>
      <c r="B230" s="134" t="str">
        <f>IFERROR(INDEX(Tbl_ResidentData[Physician],MATCH(Tbl_PDSAData[[#This Row],[Resident Name (last, first)]],Tbl_ResidentData[Resident Name '[last, first']],0))&amp;"","")</f>
        <v/>
      </c>
      <c r="C230" s="135" t="str">
        <f>IFERROR(INDEX(Tbl_ResidentData[Diagnosis (RAI)],MATCH(Tbl_PDSAData[[#This Row],[Resident Name (last, first)]],Tbl_ResidentData[Resident Name '[last, first']],0))&amp;"","")</f>
        <v/>
      </c>
      <c r="D230" s="144" t="str">
        <f>IFERROR(INDEX(Tbl_ResidentData[Clinical Notes
'[free text']],MATCH(Tbl_PDSAData[[#This Row],[Resident Name (last, first)]],Tbl_ResidentData[Resident Name '[last, first']],0))&amp;"","")</f>
        <v/>
      </c>
      <c r="E230" s="190"/>
      <c r="F230" s="191"/>
      <c r="G230" s="190"/>
      <c r="H230" s="191"/>
      <c r="I230" s="190"/>
      <c r="J230" s="191"/>
      <c r="K230" s="190"/>
      <c r="L230" s="191"/>
      <c r="M230" s="190"/>
      <c r="N230" s="191"/>
      <c r="O230" s="190"/>
      <c r="P230" s="191"/>
      <c r="Q230" s="190"/>
      <c r="R230" s="191"/>
      <c r="S230" s="190"/>
      <c r="T230" s="191"/>
      <c r="U230" s="190"/>
      <c r="V230" s="191"/>
      <c r="W230" s="190"/>
      <c r="X230" s="191"/>
      <c r="Y230" s="190"/>
      <c r="Z230" s="191"/>
      <c r="AA230" s="190"/>
      <c r="AB230" s="191"/>
      <c r="AC230" s="190"/>
      <c r="AD230" s="191"/>
      <c r="AE230" s="190"/>
      <c r="AF230" s="191"/>
      <c r="AG230" s="190"/>
      <c r="AH230" s="191"/>
      <c r="AI230" s="190"/>
      <c r="AJ230" s="191"/>
      <c r="AK230" s="190"/>
      <c r="AL230" s="191"/>
      <c r="AM230" s="190"/>
      <c r="AN230" s="191"/>
      <c r="AO230" s="190"/>
      <c r="AP230" s="191"/>
      <c r="AQ230" s="190"/>
      <c r="AR230" s="191"/>
      <c r="AS230" s="190"/>
      <c r="AT230" s="191"/>
      <c r="AU230" s="190"/>
      <c r="AV230" s="191"/>
      <c r="AW230" s="190"/>
      <c r="AX230" s="191"/>
      <c r="AY230" s="190"/>
      <c r="AZ230" s="191"/>
      <c r="BA230" s="145" t="str">
        <f>IFERROR(INDEX($E$4:$AZ$4,SUMPRODUCT(MAX(COLUMN(Tbl_PDSAData[[#This Row],[D1]:[M24]])*(ListLookup!$G$3=Tbl_PDSAData[[#This Row],[D1]:[M24]]))-4)),"")</f>
        <v/>
      </c>
      <c r="BB230" s="145" t="str">
        <f>IFERROR(INDEX($E$4:$AZ$4,SUMPRODUCT(MAX(COLUMN(Tbl_PDSAData[[#This Row],[D1]:[M24]])*(ListLookup!$H$3=Tbl_PDSAData[[#This Row],[D1]:[M24]]))-4)),"")</f>
        <v/>
      </c>
    </row>
    <row r="231" spans="1:54" s="74" customFormat="1" x14ac:dyDescent="0.25">
      <c r="A231" s="189"/>
      <c r="B231" s="134" t="str">
        <f>IFERROR(INDEX(Tbl_ResidentData[Physician],MATCH(Tbl_PDSAData[[#This Row],[Resident Name (last, first)]],Tbl_ResidentData[Resident Name '[last, first']],0))&amp;"","")</f>
        <v/>
      </c>
      <c r="C231" s="135" t="str">
        <f>IFERROR(INDEX(Tbl_ResidentData[Diagnosis (RAI)],MATCH(Tbl_PDSAData[[#This Row],[Resident Name (last, first)]],Tbl_ResidentData[Resident Name '[last, first']],0))&amp;"","")</f>
        <v/>
      </c>
      <c r="D231" s="144" t="str">
        <f>IFERROR(INDEX(Tbl_ResidentData[Clinical Notes
'[free text']],MATCH(Tbl_PDSAData[[#This Row],[Resident Name (last, first)]],Tbl_ResidentData[Resident Name '[last, first']],0))&amp;"","")</f>
        <v/>
      </c>
      <c r="E231" s="190"/>
      <c r="F231" s="191"/>
      <c r="G231" s="190"/>
      <c r="H231" s="191"/>
      <c r="I231" s="190"/>
      <c r="J231" s="191"/>
      <c r="K231" s="190"/>
      <c r="L231" s="191"/>
      <c r="M231" s="190"/>
      <c r="N231" s="191"/>
      <c r="O231" s="190"/>
      <c r="P231" s="191"/>
      <c r="Q231" s="190"/>
      <c r="R231" s="191"/>
      <c r="S231" s="190"/>
      <c r="T231" s="191"/>
      <c r="U231" s="190"/>
      <c r="V231" s="191"/>
      <c r="W231" s="190"/>
      <c r="X231" s="191"/>
      <c r="Y231" s="190"/>
      <c r="Z231" s="191"/>
      <c r="AA231" s="190"/>
      <c r="AB231" s="191"/>
      <c r="AC231" s="190"/>
      <c r="AD231" s="191"/>
      <c r="AE231" s="190"/>
      <c r="AF231" s="191"/>
      <c r="AG231" s="190"/>
      <c r="AH231" s="191"/>
      <c r="AI231" s="190"/>
      <c r="AJ231" s="191"/>
      <c r="AK231" s="190"/>
      <c r="AL231" s="191"/>
      <c r="AM231" s="190"/>
      <c r="AN231" s="191"/>
      <c r="AO231" s="190"/>
      <c r="AP231" s="191"/>
      <c r="AQ231" s="190"/>
      <c r="AR231" s="191"/>
      <c r="AS231" s="190"/>
      <c r="AT231" s="191"/>
      <c r="AU231" s="190"/>
      <c r="AV231" s="191"/>
      <c r="AW231" s="190"/>
      <c r="AX231" s="191"/>
      <c r="AY231" s="190"/>
      <c r="AZ231" s="191"/>
      <c r="BA231" s="145" t="str">
        <f>IFERROR(INDEX($E$4:$AZ$4,SUMPRODUCT(MAX(COLUMN(Tbl_PDSAData[[#This Row],[D1]:[M24]])*(ListLookup!$G$3=Tbl_PDSAData[[#This Row],[D1]:[M24]]))-4)),"")</f>
        <v/>
      </c>
      <c r="BB231" s="145" t="str">
        <f>IFERROR(INDEX($E$4:$AZ$4,SUMPRODUCT(MAX(COLUMN(Tbl_PDSAData[[#This Row],[D1]:[M24]])*(ListLookup!$H$3=Tbl_PDSAData[[#This Row],[D1]:[M24]]))-4)),"")</f>
        <v/>
      </c>
    </row>
    <row r="232" spans="1:54" s="74" customFormat="1" x14ac:dyDescent="0.25">
      <c r="A232" s="189"/>
      <c r="B232" s="134" t="str">
        <f>IFERROR(INDEX(Tbl_ResidentData[Physician],MATCH(Tbl_PDSAData[[#This Row],[Resident Name (last, first)]],Tbl_ResidentData[Resident Name '[last, first']],0))&amp;"","")</f>
        <v/>
      </c>
      <c r="C232" s="135" t="str">
        <f>IFERROR(INDEX(Tbl_ResidentData[Diagnosis (RAI)],MATCH(Tbl_PDSAData[[#This Row],[Resident Name (last, first)]],Tbl_ResidentData[Resident Name '[last, first']],0))&amp;"","")</f>
        <v/>
      </c>
      <c r="D232" s="144" t="str">
        <f>IFERROR(INDEX(Tbl_ResidentData[Clinical Notes
'[free text']],MATCH(Tbl_PDSAData[[#This Row],[Resident Name (last, first)]],Tbl_ResidentData[Resident Name '[last, first']],0))&amp;"","")</f>
        <v/>
      </c>
      <c r="E232" s="190"/>
      <c r="F232" s="191"/>
      <c r="G232" s="190"/>
      <c r="H232" s="191"/>
      <c r="I232" s="190"/>
      <c r="J232" s="191"/>
      <c r="K232" s="190"/>
      <c r="L232" s="191"/>
      <c r="M232" s="190"/>
      <c r="N232" s="191"/>
      <c r="O232" s="190"/>
      <c r="P232" s="191"/>
      <c r="Q232" s="190"/>
      <c r="R232" s="191"/>
      <c r="S232" s="190"/>
      <c r="T232" s="191"/>
      <c r="U232" s="190"/>
      <c r="V232" s="191"/>
      <c r="W232" s="190"/>
      <c r="X232" s="191"/>
      <c r="Y232" s="190"/>
      <c r="Z232" s="191"/>
      <c r="AA232" s="190"/>
      <c r="AB232" s="191"/>
      <c r="AC232" s="190"/>
      <c r="AD232" s="191"/>
      <c r="AE232" s="190"/>
      <c r="AF232" s="191"/>
      <c r="AG232" s="190"/>
      <c r="AH232" s="191"/>
      <c r="AI232" s="190"/>
      <c r="AJ232" s="191"/>
      <c r="AK232" s="190"/>
      <c r="AL232" s="191"/>
      <c r="AM232" s="190"/>
      <c r="AN232" s="191"/>
      <c r="AO232" s="190"/>
      <c r="AP232" s="191"/>
      <c r="AQ232" s="190"/>
      <c r="AR232" s="191"/>
      <c r="AS232" s="190"/>
      <c r="AT232" s="191"/>
      <c r="AU232" s="190"/>
      <c r="AV232" s="191"/>
      <c r="AW232" s="190"/>
      <c r="AX232" s="191"/>
      <c r="AY232" s="190"/>
      <c r="AZ232" s="191"/>
      <c r="BA232" s="145" t="str">
        <f>IFERROR(INDEX($E$4:$AZ$4,SUMPRODUCT(MAX(COLUMN(Tbl_PDSAData[[#This Row],[D1]:[M24]])*(ListLookup!$G$3=Tbl_PDSAData[[#This Row],[D1]:[M24]]))-4)),"")</f>
        <v/>
      </c>
      <c r="BB232" s="145" t="str">
        <f>IFERROR(INDEX($E$4:$AZ$4,SUMPRODUCT(MAX(COLUMN(Tbl_PDSAData[[#This Row],[D1]:[M24]])*(ListLookup!$H$3=Tbl_PDSAData[[#This Row],[D1]:[M24]]))-4)),"")</f>
        <v/>
      </c>
    </row>
    <row r="233" spans="1:54" s="74" customFormat="1" x14ac:dyDescent="0.25">
      <c r="A233" s="189"/>
      <c r="B233" s="134" t="str">
        <f>IFERROR(INDEX(Tbl_ResidentData[Physician],MATCH(Tbl_PDSAData[[#This Row],[Resident Name (last, first)]],Tbl_ResidentData[Resident Name '[last, first']],0))&amp;"","")</f>
        <v/>
      </c>
      <c r="C233" s="135" t="str">
        <f>IFERROR(INDEX(Tbl_ResidentData[Diagnosis (RAI)],MATCH(Tbl_PDSAData[[#This Row],[Resident Name (last, first)]],Tbl_ResidentData[Resident Name '[last, first']],0))&amp;"","")</f>
        <v/>
      </c>
      <c r="D233" s="144" t="str">
        <f>IFERROR(INDEX(Tbl_ResidentData[Clinical Notes
'[free text']],MATCH(Tbl_PDSAData[[#This Row],[Resident Name (last, first)]],Tbl_ResidentData[Resident Name '[last, first']],0))&amp;"","")</f>
        <v/>
      </c>
      <c r="E233" s="190"/>
      <c r="F233" s="191"/>
      <c r="G233" s="190"/>
      <c r="H233" s="191"/>
      <c r="I233" s="190"/>
      <c r="J233" s="191"/>
      <c r="K233" s="190"/>
      <c r="L233" s="191"/>
      <c r="M233" s="190"/>
      <c r="N233" s="191"/>
      <c r="O233" s="190"/>
      <c r="P233" s="191"/>
      <c r="Q233" s="190"/>
      <c r="R233" s="191"/>
      <c r="S233" s="190"/>
      <c r="T233" s="191"/>
      <c r="U233" s="190"/>
      <c r="V233" s="191"/>
      <c r="W233" s="190"/>
      <c r="X233" s="191"/>
      <c r="Y233" s="190"/>
      <c r="Z233" s="191"/>
      <c r="AA233" s="190"/>
      <c r="AB233" s="191"/>
      <c r="AC233" s="190"/>
      <c r="AD233" s="191"/>
      <c r="AE233" s="190"/>
      <c r="AF233" s="191"/>
      <c r="AG233" s="190"/>
      <c r="AH233" s="191"/>
      <c r="AI233" s="190"/>
      <c r="AJ233" s="191"/>
      <c r="AK233" s="190"/>
      <c r="AL233" s="191"/>
      <c r="AM233" s="190"/>
      <c r="AN233" s="191"/>
      <c r="AO233" s="190"/>
      <c r="AP233" s="191"/>
      <c r="AQ233" s="190"/>
      <c r="AR233" s="191"/>
      <c r="AS233" s="190"/>
      <c r="AT233" s="191"/>
      <c r="AU233" s="190"/>
      <c r="AV233" s="191"/>
      <c r="AW233" s="190"/>
      <c r="AX233" s="191"/>
      <c r="AY233" s="190"/>
      <c r="AZ233" s="191"/>
      <c r="BA233" s="145" t="str">
        <f>IFERROR(INDEX($E$4:$AZ$4,SUMPRODUCT(MAX(COLUMN(Tbl_PDSAData[[#This Row],[D1]:[M24]])*(ListLookup!$G$3=Tbl_PDSAData[[#This Row],[D1]:[M24]]))-4)),"")</f>
        <v/>
      </c>
      <c r="BB233" s="145" t="str">
        <f>IFERROR(INDEX($E$4:$AZ$4,SUMPRODUCT(MAX(COLUMN(Tbl_PDSAData[[#This Row],[D1]:[M24]])*(ListLookup!$H$3=Tbl_PDSAData[[#This Row],[D1]:[M24]]))-4)),"")</f>
        <v/>
      </c>
    </row>
    <row r="234" spans="1:54" s="74" customFormat="1" x14ac:dyDescent="0.25">
      <c r="A234" s="189"/>
      <c r="B234" s="134" t="str">
        <f>IFERROR(INDEX(Tbl_ResidentData[Physician],MATCH(Tbl_PDSAData[[#This Row],[Resident Name (last, first)]],Tbl_ResidentData[Resident Name '[last, first']],0))&amp;"","")</f>
        <v/>
      </c>
      <c r="C234" s="135" t="str">
        <f>IFERROR(INDEX(Tbl_ResidentData[Diagnosis (RAI)],MATCH(Tbl_PDSAData[[#This Row],[Resident Name (last, first)]],Tbl_ResidentData[Resident Name '[last, first']],0))&amp;"","")</f>
        <v/>
      </c>
      <c r="D234" s="144" t="str">
        <f>IFERROR(INDEX(Tbl_ResidentData[Clinical Notes
'[free text']],MATCH(Tbl_PDSAData[[#This Row],[Resident Name (last, first)]],Tbl_ResidentData[Resident Name '[last, first']],0))&amp;"","")</f>
        <v/>
      </c>
      <c r="E234" s="190"/>
      <c r="F234" s="191"/>
      <c r="G234" s="190"/>
      <c r="H234" s="191"/>
      <c r="I234" s="190"/>
      <c r="J234" s="191"/>
      <c r="K234" s="190"/>
      <c r="L234" s="191"/>
      <c r="M234" s="190"/>
      <c r="N234" s="191"/>
      <c r="O234" s="190"/>
      <c r="P234" s="191"/>
      <c r="Q234" s="190"/>
      <c r="R234" s="191"/>
      <c r="S234" s="190"/>
      <c r="T234" s="191"/>
      <c r="U234" s="190"/>
      <c r="V234" s="191"/>
      <c r="W234" s="190"/>
      <c r="X234" s="191"/>
      <c r="Y234" s="190"/>
      <c r="Z234" s="191"/>
      <c r="AA234" s="190"/>
      <c r="AB234" s="191"/>
      <c r="AC234" s="190"/>
      <c r="AD234" s="191"/>
      <c r="AE234" s="190"/>
      <c r="AF234" s="191"/>
      <c r="AG234" s="190"/>
      <c r="AH234" s="191"/>
      <c r="AI234" s="190"/>
      <c r="AJ234" s="191"/>
      <c r="AK234" s="190"/>
      <c r="AL234" s="191"/>
      <c r="AM234" s="190"/>
      <c r="AN234" s="191"/>
      <c r="AO234" s="190"/>
      <c r="AP234" s="191"/>
      <c r="AQ234" s="190"/>
      <c r="AR234" s="191"/>
      <c r="AS234" s="190"/>
      <c r="AT234" s="191"/>
      <c r="AU234" s="190"/>
      <c r="AV234" s="191"/>
      <c r="AW234" s="190"/>
      <c r="AX234" s="191"/>
      <c r="AY234" s="190"/>
      <c r="AZ234" s="191"/>
      <c r="BA234" s="145" t="str">
        <f>IFERROR(INDEX($E$4:$AZ$4,SUMPRODUCT(MAX(COLUMN(Tbl_PDSAData[[#This Row],[D1]:[M24]])*(ListLookup!$G$3=Tbl_PDSAData[[#This Row],[D1]:[M24]]))-4)),"")</f>
        <v/>
      </c>
      <c r="BB234" s="145" t="str">
        <f>IFERROR(INDEX($E$4:$AZ$4,SUMPRODUCT(MAX(COLUMN(Tbl_PDSAData[[#This Row],[D1]:[M24]])*(ListLookup!$H$3=Tbl_PDSAData[[#This Row],[D1]:[M24]]))-4)),"")</f>
        <v/>
      </c>
    </row>
    <row r="235" spans="1:54" s="74" customFormat="1" x14ac:dyDescent="0.25">
      <c r="A235" s="189"/>
      <c r="B235" s="134" t="str">
        <f>IFERROR(INDEX(Tbl_ResidentData[Physician],MATCH(Tbl_PDSAData[[#This Row],[Resident Name (last, first)]],Tbl_ResidentData[Resident Name '[last, first']],0))&amp;"","")</f>
        <v/>
      </c>
      <c r="C235" s="135" t="str">
        <f>IFERROR(INDEX(Tbl_ResidentData[Diagnosis (RAI)],MATCH(Tbl_PDSAData[[#This Row],[Resident Name (last, first)]],Tbl_ResidentData[Resident Name '[last, first']],0))&amp;"","")</f>
        <v/>
      </c>
      <c r="D235" s="144" t="str">
        <f>IFERROR(INDEX(Tbl_ResidentData[Clinical Notes
'[free text']],MATCH(Tbl_PDSAData[[#This Row],[Resident Name (last, first)]],Tbl_ResidentData[Resident Name '[last, first']],0))&amp;"","")</f>
        <v/>
      </c>
      <c r="E235" s="190"/>
      <c r="F235" s="191"/>
      <c r="G235" s="190"/>
      <c r="H235" s="191"/>
      <c r="I235" s="190"/>
      <c r="J235" s="191"/>
      <c r="K235" s="190"/>
      <c r="L235" s="191"/>
      <c r="M235" s="190"/>
      <c r="N235" s="191"/>
      <c r="O235" s="190"/>
      <c r="P235" s="191"/>
      <c r="Q235" s="190"/>
      <c r="R235" s="191"/>
      <c r="S235" s="190"/>
      <c r="T235" s="191"/>
      <c r="U235" s="190"/>
      <c r="V235" s="191"/>
      <c r="W235" s="190"/>
      <c r="X235" s="191"/>
      <c r="Y235" s="190"/>
      <c r="Z235" s="191"/>
      <c r="AA235" s="190"/>
      <c r="AB235" s="191"/>
      <c r="AC235" s="190"/>
      <c r="AD235" s="191"/>
      <c r="AE235" s="190"/>
      <c r="AF235" s="191"/>
      <c r="AG235" s="190"/>
      <c r="AH235" s="191"/>
      <c r="AI235" s="190"/>
      <c r="AJ235" s="191"/>
      <c r="AK235" s="190"/>
      <c r="AL235" s="191"/>
      <c r="AM235" s="190"/>
      <c r="AN235" s="191"/>
      <c r="AO235" s="190"/>
      <c r="AP235" s="191"/>
      <c r="AQ235" s="190"/>
      <c r="AR235" s="191"/>
      <c r="AS235" s="190"/>
      <c r="AT235" s="191"/>
      <c r="AU235" s="190"/>
      <c r="AV235" s="191"/>
      <c r="AW235" s="190"/>
      <c r="AX235" s="191"/>
      <c r="AY235" s="190"/>
      <c r="AZ235" s="191"/>
      <c r="BA235" s="145" t="str">
        <f>IFERROR(INDEX($E$4:$AZ$4,SUMPRODUCT(MAX(COLUMN(Tbl_PDSAData[[#This Row],[D1]:[M24]])*(ListLookup!$G$3=Tbl_PDSAData[[#This Row],[D1]:[M24]]))-4)),"")</f>
        <v/>
      </c>
      <c r="BB235" s="145" t="str">
        <f>IFERROR(INDEX($E$4:$AZ$4,SUMPRODUCT(MAX(COLUMN(Tbl_PDSAData[[#This Row],[D1]:[M24]])*(ListLookup!$H$3=Tbl_PDSAData[[#This Row],[D1]:[M24]]))-4)),"")</f>
        <v/>
      </c>
    </row>
    <row r="236" spans="1:54" s="74" customFormat="1" x14ac:dyDescent="0.25">
      <c r="A236" s="189"/>
      <c r="B236" s="134" t="str">
        <f>IFERROR(INDEX(Tbl_ResidentData[Physician],MATCH(Tbl_PDSAData[[#This Row],[Resident Name (last, first)]],Tbl_ResidentData[Resident Name '[last, first']],0))&amp;"","")</f>
        <v/>
      </c>
      <c r="C236" s="135" t="str">
        <f>IFERROR(INDEX(Tbl_ResidentData[Diagnosis (RAI)],MATCH(Tbl_PDSAData[[#This Row],[Resident Name (last, first)]],Tbl_ResidentData[Resident Name '[last, first']],0))&amp;"","")</f>
        <v/>
      </c>
      <c r="D236" s="144" t="str">
        <f>IFERROR(INDEX(Tbl_ResidentData[Clinical Notes
'[free text']],MATCH(Tbl_PDSAData[[#This Row],[Resident Name (last, first)]],Tbl_ResidentData[Resident Name '[last, first']],0))&amp;"","")</f>
        <v/>
      </c>
      <c r="E236" s="190"/>
      <c r="F236" s="191"/>
      <c r="G236" s="190"/>
      <c r="H236" s="191"/>
      <c r="I236" s="190"/>
      <c r="J236" s="191"/>
      <c r="K236" s="190"/>
      <c r="L236" s="191"/>
      <c r="M236" s="190"/>
      <c r="N236" s="191"/>
      <c r="O236" s="190"/>
      <c r="P236" s="191"/>
      <c r="Q236" s="190"/>
      <c r="R236" s="191"/>
      <c r="S236" s="190"/>
      <c r="T236" s="191"/>
      <c r="U236" s="190"/>
      <c r="V236" s="191"/>
      <c r="W236" s="190"/>
      <c r="X236" s="191"/>
      <c r="Y236" s="190"/>
      <c r="Z236" s="191"/>
      <c r="AA236" s="190"/>
      <c r="AB236" s="191"/>
      <c r="AC236" s="190"/>
      <c r="AD236" s="191"/>
      <c r="AE236" s="190"/>
      <c r="AF236" s="191"/>
      <c r="AG236" s="190"/>
      <c r="AH236" s="191"/>
      <c r="AI236" s="190"/>
      <c r="AJ236" s="191"/>
      <c r="AK236" s="190"/>
      <c r="AL236" s="191"/>
      <c r="AM236" s="190"/>
      <c r="AN236" s="191"/>
      <c r="AO236" s="190"/>
      <c r="AP236" s="191"/>
      <c r="AQ236" s="190"/>
      <c r="AR236" s="191"/>
      <c r="AS236" s="190"/>
      <c r="AT236" s="191"/>
      <c r="AU236" s="190"/>
      <c r="AV236" s="191"/>
      <c r="AW236" s="190"/>
      <c r="AX236" s="191"/>
      <c r="AY236" s="190"/>
      <c r="AZ236" s="191"/>
      <c r="BA236" s="145" t="str">
        <f>IFERROR(INDEX($E$4:$AZ$4,SUMPRODUCT(MAX(COLUMN(Tbl_PDSAData[[#This Row],[D1]:[M24]])*(ListLookup!$G$3=Tbl_PDSAData[[#This Row],[D1]:[M24]]))-4)),"")</f>
        <v/>
      </c>
      <c r="BB236" s="145" t="str">
        <f>IFERROR(INDEX($E$4:$AZ$4,SUMPRODUCT(MAX(COLUMN(Tbl_PDSAData[[#This Row],[D1]:[M24]])*(ListLookup!$H$3=Tbl_PDSAData[[#This Row],[D1]:[M24]]))-4)),"")</f>
        <v/>
      </c>
    </row>
    <row r="237" spans="1:54" s="74" customFormat="1" x14ac:dyDescent="0.25">
      <c r="A237" s="189"/>
      <c r="B237" s="134" t="str">
        <f>IFERROR(INDEX(Tbl_ResidentData[Physician],MATCH(Tbl_PDSAData[[#This Row],[Resident Name (last, first)]],Tbl_ResidentData[Resident Name '[last, first']],0))&amp;"","")</f>
        <v/>
      </c>
      <c r="C237" s="135" t="str">
        <f>IFERROR(INDEX(Tbl_ResidentData[Diagnosis (RAI)],MATCH(Tbl_PDSAData[[#This Row],[Resident Name (last, first)]],Tbl_ResidentData[Resident Name '[last, first']],0))&amp;"","")</f>
        <v/>
      </c>
      <c r="D237" s="144" t="str">
        <f>IFERROR(INDEX(Tbl_ResidentData[Clinical Notes
'[free text']],MATCH(Tbl_PDSAData[[#This Row],[Resident Name (last, first)]],Tbl_ResidentData[Resident Name '[last, first']],0))&amp;"","")</f>
        <v/>
      </c>
      <c r="E237" s="190"/>
      <c r="F237" s="191"/>
      <c r="G237" s="190"/>
      <c r="H237" s="191"/>
      <c r="I237" s="190"/>
      <c r="J237" s="191"/>
      <c r="K237" s="190"/>
      <c r="L237" s="191"/>
      <c r="M237" s="190"/>
      <c r="N237" s="191"/>
      <c r="O237" s="190"/>
      <c r="P237" s="191"/>
      <c r="Q237" s="190"/>
      <c r="R237" s="191"/>
      <c r="S237" s="190"/>
      <c r="T237" s="191"/>
      <c r="U237" s="190"/>
      <c r="V237" s="191"/>
      <c r="W237" s="190"/>
      <c r="X237" s="191"/>
      <c r="Y237" s="190"/>
      <c r="Z237" s="191"/>
      <c r="AA237" s="190"/>
      <c r="AB237" s="191"/>
      <c r="AC237" s="190"/>
      <c r="AD237" s="191"/>
      <c r="AE237" s="190"/>
      <c r="AF237" s="191"/>
      <c r="AG237" s="190"/>
      <c r="AH237" s="191"/>
      <c r="AI237" s="190"/>
      <c r="AJ237" s="191"/>
      <c r="AK237" s="190"/>
      <c r="AL237" s="191"/>
      <c r="AM237" s="190"/>
      <c r="AN237" s="191"/>
      <c r="AO237" s="190"/>
      <c r="AP237" s="191"/>
      <c r="AQ237" s="190"/>
      <c r="AR237" s="191"/>
      <c r="AS237" s="190"/>
      <c r="AT237" s="191"/>
      <c r="AU237" s="190"/>
      <c r="AV237" s="191"/>
      <c r="AW237" s="190"/>
      <c r="AX237" s="191"/>
      <c r="AY237" s="190"/>
      <c r="AZ237" s="191"/>
      <c r="BA237" s="145" t="str">
        <f>IFERROR(INDEX($E$4:$AZ$4,SUMPRODUCT(MAX(COLUMN(Tbl_PDSAData[[#This Row],[D1]:[M24]])*(ListLookup!$G$3=Tbl_PDSAData[[#This Row],[D1]:[M24]]))-4)),"")</f>
        <v/>
      </c>
      <c r="BB237" s="145" t="str">
        <f>IFERROR(INDEX($E$4:$AZ$4,SUMPRODUCT(MAX(COLUMN(Tbl_PDSAData[[#This Row],[D1]:[M24]])*(ListLookup!$H$3=Tbl_PDSAData[[#This Row],[D1]:[M24]]))-4)),"")</f>
        <v/>
      </c>
    </row>
    <row r="238" spans="1:54" s="74" customFormat="1" x14ac:dyDescent="0.25">
      <c r="A238" s="189"/>
      <c r="B238" s="134" t="str">
        <f>IFERROR(INDEX(Tbl_ResidentData[Physician],MATCH(Tbl_PDSAData[[#This Row],[Resident Name (last, first)]],Tbl_ResidentData[Resident Name '[last, first']],0))&amp;"","")</f>
        <v/>
      </c>
      <c r="C238" s="135" t="str">
        <f>IFERROR(INDEX(Tbl_ResidentData[Diagnosis (RAI)],MATCH(Tbl_PDSAData[[#This Row],[Resident Name (last, first)]],Tbl_ResidentData[Resident Name '[last, first']],0))&amp;"","")</f>
        <v/>
      </c>
      <c r="D238" s="144" t="str">
        <f>IFERROR(INDEX(Tbl_ResidentData[Clinical Notes
'[free text']],MATCH(Tbl_PDSAData[[#This Row],[Resident Name (last, first)]],Tbl_ResidentData[Resident Name '[last, first']],0))&amp;"","")</f>
        <v/>
      </c>
      <c r="E238" s="190"/>
      <c r="F238" s="191"/>
      <c r="G238" s="190"/>
      <c r="H238" s="191"/>
      <c r="I238" s="190"/>
      <c r="J238" s="191"/>
      <c r="K238" s="190"/>
      <c r="L238" s="191"/>
      <c r="M238" s="190"/>
      <c r="N238" s="191"/>
      <c r="O238" s="190"/>
      <c r="P238" s="191"/>
      <c r="Q238" s="190"/>
      <c r="R238" s="191"/>
      <c r="S238" s="190"/>
      <c r="T238" s="191"/>
      <c r="U238" s="190"/>
      <c r="V238" s="191"/>
      <c r="W238" s="190"/>
      <c r="X238" s="191"/>
      <c r="Y238" s="190"/>
      <c r="Z238" s="191"/>
      <c r="AA238" s="190"/>
      <c r="AB238" s="191"/>
      <c r="AC238" s="190"/>
      <c r="AD238" s="191"/>
      <c r="AE238" s="190"/>
      <c r="AF238" s="191"/>
      <c r="AG238" s="190"/>
      <c r="AH238" s="191"/>
      <c r="AI238" s="190"/>
      <c r="AJ238" s="191"/>
      <c r="AK238" s="190"/>
      <c r="AL238" s="191"/>
      <c r="AM238" s="190"/>
      <c r="AN238" s="191"/>
      <c r="AO238" s="190"/>
      <c r="AP238" s="191"/>
      <c r="AQ238" s="190"/>
      <c r="AR238" s="191"/>
      <c r="AS238" s="190"/>
      <c r="AT238" s="191"/>
      <c r="AU238" s="190"/>
      <c r="AV238" s="191"/>
      <c r="AW238" s="190"/>
      <c r="AX238" s="191"/>
      <c r="AY238" s="190"/>
      <c r="AZ238" s="191"/>
      <c r="BA238" s="145" t="str">
        <f>IFERROR(INDEX($E$4:$AZ$4,SUMPRODUCT(MAX(COLUMN(Tbl_PDSAData[[#This Row],[D1]:[M24]])*(ListLookup!$G$3=Tbl_PDSAData[[#This Row],[D1]:[M24]]))-4)),"")</f>
        <v/>
      </c>
      <c r="BB238" s="145" t="str">
        <f>IFERROR(INDEX($E$4:$AZ$4,SUMPRODUCT(MAX(COLUMN(Tbl_PDSAData[[#This Row],[D1]:[M24]])*(ListLookup!$H$3=Tbl_PDSAData[[#This Row],[D1]:[M24]]))-4)),"")</f>
        <v/>
      </c>
    </row>
    <row r="239" spans="1:54" s="74" customFormat="1" x14ac:dyDescent="0.25">
      <c r="A239" s="189"/>
      <c r="B239" s="134" t="str">
        <f>IFERROR(INDEX(Tbl_ResidentData[Physician],MATCH(Tbl_PDSAData[[#This Row],[Resident Name (last, first)]],Tbl_ResidentData[Resident Name '[last, first']],0))&amp;"","")</f>
        <v/>
      </c>
      <c r="C239" s="135" t="str">
        <f>IFERROR(INDEX(Tbl_ResidentData[Diagnosis (RAI)],MATCH(Tbl_PDSAData[[#This Row],[Resident Name (last, first)]],Tbl_ResidentData[Resident Name '[last, first']],0))&amp;"","")</f>
        <v/>
      </c>
      <c r="D239" s="144" t="str">
        <f>IFERROR(INDEX(Tbl_ResidentData[Clinical Notes
'[free text']],MATCH(Tbl_PDSAData[[#This Row],[Resident Name (last, first)]],Tbl_ResidentData[Resident Name '[last, first']],0))&amp;"","")</f>
        <v/>
      </c>
      <c r="E239" s="190"/>
      <c r="F239" s="191"/>
      <c r="G239" s="190"/>
      <c r="H239" s="191"/>
      <c r="I239" s="190"/>
      <c r="J239" s="191"/>
      <c r="K239" s="190"/>
      <c r="L239" s="191"/>
      <c r="M239" s="190"/>
      <c r="N239" s="191"/>
      <c r="O239" s="190"/>
      <c r="P239" s="191"/>
      <c r="Q239" s="190"/>
      <c r="R239" s="191"/>
      <c r="S239" s="190"/>
      <c r="T239" s="191"/>
      <c r="U239" s="190"/>
      <c r="V239" s="191"/>
      <c r="W239" s="190"/>
      <c r="X239" s="191"/>
      <c r="Y239" s="190"/>
      <c r="Z239" s="191"/>
      <c r="AA239" s="190"/>
      <c r="AB239" s="191"/>
      <c r="AC239" s="190"/>
      <c r="AD239" s="191"/>
      <c r="AE239" s="190"/>
      <c r="AF239" s="191"/>
      <c r="AG239" s="190"/>
      <c r="AH239" s="191"/>
      <c r="AI239" s="190"/>
      <c r="AJ239" s="191"/>
      <c r="AK239" s="190"/>
      <c r="AL239" s="191"/>
      <c r="AM239" s="190"/>
      <c r="AN239" s="191"/>
      <c r="AO239" s="190"/>
      <c r="AP239" s="191"/>
      <c r="AQ239" s="190"/>
      <c r="AR239" s="191"/>
      <c r="AS239" s="190"/>
      <c r="AT239" s="191"/>
      <c r="AU239" s="190"/>
      <c r="AV239" s="191"/>
      <c r="AW239" s="190"/>
      <c r="AX239" s="191"/>
      <c r="AY239" s="190"/>
      <c r="AZ239" s="191"/>
      <c r="BA239" s="145" t="str">
        <f>IFERROR(INDEX($E$4:$AZ$4,SUMPRODUCT(MAX(COLUMN(Tbl_PDSAData[[#This Row],[D1]:[M24]])*(ListLookup!$G$3=Tbl_PDSAData[[#This Row],[D1]:[M24]]))-4)),"")</f>
        <v/>
      </c>
      <c r="BB239" s="145" t="str">
        <f>IFERROR(INDEX($E$4:$AZ$4,SUMPRODUCT(MAX(COLUMN(Tbl_PDSAData[[#This Row],[D1]:[M24]])*(ListLookup!$H$3=Tbl_PDSAData[[#This Row],[D1]:[M24]]))-4)),"")</f>
        <v/>
      </c>
    </row>
    <row r="240" spans="1:54" s="74" customFormat="1" x14ac:dyDescent="0.25">
      <c r="A240" s="189"/>
      <c r="B240" s="134" t="str">
        <f>IFERROR(INDEX(Tbl_ResidentData[Physician],MATCH(Tbl_PDSAData[[#This Row],[Resident Name (last, first)]],Tbl_ResidentData[Resident Name '[last, first']],0))&amp;"","")</f>
        <v/>
      </c>
      <c r="C240" s="135" t="str">
        <f>IFERROR(INDEX(Tbl_ResidentData[Diagnosis (RAI)],MATCH(Tbl_PDSAData[[#This Row],[Resident Name (last, first)]],Tbl_ResidentData[Resident Name '[last, first']],0))&amp;"","")</f>
        <v/>
      </c>
      <c r="D240" s="144" t="str">
        <f>IFERROR(INDEX(Tbl_ResidentData[Clinical Notes
'[free text']],MATCH(Tbl_PDSAData[[#This Row],[Resident Name (last, first)]],Tbl_ResidentData[Resident Name '[last, first']],0))&amp;"","")</f>
        <v/>
      </c>
      <c r="E240" s="190"/>
      <c r="F240" s="191"/>
      <c r="G240" s="190"/>
      <c r="H240" s="191"/>
      <c r="I240" s="190"/>
      <c r="J240" s="191"/>
      <c r="K240" s="190"/>
      <c r="L240" s="191"/>
      <c r="M240" s="190"/>
      <c r="N240" s="191"/>
      <c r="O240" s="190"/>
      <c r="P240" s="191"/>
      <c r="Q240" s="190"/>
      <c r="R240" s="191"/>
      <c r="S240" s="190"/>
      <c r="T240" s="191"/>
      <c r="U240" s="190"/>
      <c r="V240" s="191"/>
      <c r="W240" s="190"/>
      <c r="X240" s="191"/>
      <c r="Y240" s="190"/>
      <c r="Z240" s="191"/>
      <c r="AA240" s="190"/>
      <c r="AB240" s="191"/>
      <c r="AC240" s="190"/>
      <c r="AD240" s="191"/>
      <c r="AE240" s="190"/>
      <c r="AF240" s="191"/>
      <c r="AG240" s="190"/>
      <c r="AH240" s="191"/>
      <c r="AI240" s="190"/>
      <c r="AJ240" s="191"/>
      <c r="AK240" s="190"/>
      <c r="AL240" s="191"/>
      <c r="AM240" s="190"/>
      <c r="AN240" s="191"/>
      <c r="AO240" s="190"/>
      <c r="AP240" s="191"/>
      <c r="AQ240" s="190"/>
      <c r="AR240" s="191"/>
      <c r="AS240" s="190"/>
      <c r="AT240" s="191"/>
      <c r="AU240" s="190"/>
      <c r="AV240" s="191"/>
      <c r="AW240" s="190"/>
      <c r="AX240" s="191"/>
      <c r="AY240" s="190"/>
      <c r="AZ240" s="191"/>
      <c r="BA240" s="145" t="str">
        <f>IFERROR(INDEX($E$4:$AZ$4,SUMPRODUCT(MAX(COLUMN(Tbl_PDSAData[[#This Row],[D1]:[M24]])*(ListLookup!$G$3=Tbl_PDSAData[[#This Row],[D1]:[M24]]))-4)),"")</f>
        <v/>
      </c>
      <c r="BB240" s="145" t="str">
        <f>IFERROR(INDEX($E$4:$AZ$4,SUMPRODUCT(MAX(COLUMN(Tbl_PDSAData[[#This Row],[D1]:[M24]])*(ListLookup!$H$3=Tbl_PDSAData[[#This Row],[D1]:[M24]]))-4)),"")</f>
        <v/>
      </c>
    </row>
    <row r="241" spans="1:54" s="74" customFormat="1" x14ac:dyDescent="0.25">
      <c r="A241" s="189"/>
      <c r="B241" s="134" t="str">
        <f>IFERROR(INDEX(Tbl_ResidentData[Physician],MATCH(Tbl_PDSAData[[#This Row],[Resident Name (last, first)]],Tbl_ResidentData[Resident Name '[last, first']],0))&amp;"","")</f>
        <v/>
      </c>
      <c r="C241" s="135" t="str">
        <f>IFERROR(INDEX(Tbl_ResidentData[Diagnosis (RAI)],MATCH(Tbl_PDSAData[[#This Row],[Resident Name (last, first)]],Tbl_ResidentData[Resident Name '[last, first']],0))&amp;"","")</f>
        <v/>
      </c>
      <c r="D241" s="144" t="str">
        <f>IFERROR(INDEX(Tbl_ResidentData[Clinical Notes
'[free text']],MATCH(Tbl_PDSAData[[#This Row],[Resident Name (last, first)]],Tbl_ResidentData[Resident Name '[last, first']],0))&amp;"","")</f>
        <v/>
      </c>
      <c r="E241" s="190"/>
      <c r="F241" s="191"/>
      <c r="G241" s="190"/>
      <c r="H241" s="191"/>
      <c r="I241" s="190"/>
      <c r="J241" s="191"/>
      <c r="K241" s="190"/>
      <c r="L241" s="191"/>
      <c r="M241" s="190"/>
      <c r="N241" s="191"/>
      <c r="O241" s="190"/>
      <c r="P241" s="191"/>
      <c r="Q241" s="190"/>
      <c r="R241" s="191"/>
      <c r="S241" s="190"/>
      <c r="T241" s="191"/>
      <c r="U241" s="190"/>
      <c r="V241" s="191"/>
      <c r="W241" s="190"/>
      <c r="X241" s="191"/>
      <c r="Y241" s="190"/>
      <c r="Z241" s="191"/>
      <c r="AA241" s="190"/>
      <c r="AB241" s="191"/>
      <c r="AC241" s="190"/>
      <c r="AD241" s="191"/>
      <c r="AE241" s="190"/>
      <c r="AF241" s="191"/>
      <c r="AG241" s="190"/>
      <c r="AH241" s="191"/>
      <c r="AI241" s="190"/>
      <c r="AJ241" s="191"/>
      <c r="AK241" s="190"/>
      <c r="AL241" s="191"/>
      <c r="AM241" s="190"/>
      <c r="AN241" s="191"/>
      <c r="AO241" s="190"/>
      <c r="AP241" s="191"/>
      <c r="AQ241" s="190"/>
      <c r="AR241" s="191"/>
      <c r="AS241" s="190"/>
      <c r="AT241" s="191"/>
      <c r="AU241" s="190"/>
      <c r="AV241" s="191"/>
      <c r="AW241" s="190"/>
      <c r="AX241" s="191"/>
      <c r="AY241" s="190"/>
      <c r="AZ241" s="191"/>
      <c r="BA241" s="145" t="str">
        <f>IFERROR(INDEX($E$4:$AZ$4,SUMPRODUCT(MAX(COLUMN(Tbl_PDSAData[[#This Row],[D1]:[M24]])*(ListLookup!$G$3=Tbl_PDSAData[[#This Row],[D1]:[M24]]))-4)),"")</f>
        <v/>
      </c>
      <c r="BB241" s="145" t="str">
        <f>IFERROR(INDEX($E$4:$AZ$4,SUMPRODUCT(MAX(COLUMN(Tbl_PDSAData[[#This Row],[D1]:[M24]])*(ListLookup!$H$3=Tbl_PDSAData[[#This Row],[D1]:[M24]]))-4)),"")</f>
        <v/>
      </c>
    </row>
    <row r="242" spans="1:54" s="74" customFormat="1" x14ac:dyDescent="0.25">
      <c r="A242" s="189"/>
      <c r="B242" s="134" t="str">
        <f>IFERROR(INDEX(Tbl_ResidentData[Physician],MATCH(Tbl_PDSAData[[#This Row],[Resident Name (last, first)]],Tbl_ResidentData[Resident Name '[last, first']],0))&amp;"","")</f>
        <v/>
      </c>
      <c r="C242" s="135" t="str">
        <f>IFERROR(INDEX(Tbl_ResidentData[Diagnosis (RAI)],MATCH(Tbl_PDSAData[[#This Row],[Resident Name (last, first)]],Tbl_ResidentData[Resident Name '[last, first']],0))&amp;"","")</f>
        <v/>
      </c>
      <c r="D242" s="144" t="str">
        <f>IFERROR(INDEX(Tbl_ResidentData[Clinical Notes
'[free text']],MATCH(Tbl_PDSAData[[#This Row],[Resident Name (last, first)]],Tbl_ResidentData[Resident Name '[last, first']],0))&amp;"","")</f>
        <v/>
      </c>
      <c r="E242" s="190"/>
      <c r="F242" s="191"/>
      <c r="G242" s="190"/>
      <c r="H242" s="191"/>
      <c r="I242" s="190"/>
      <c r="J242" s="191"/>
      <c r="K242" s="190"/>
      <c r="L242" s="191"/>
      <c r="M242" s="190"/>
      <c r="N242" s="191"/>
      <c r="O242" s="190"/>
      <c r="P242" s="191"/>
      <c r="Q242" s="190"/>
      <c r="R242" s="191"/>
      <c r="S242" s="190"/>
      <c r="T242" s="191"/>
      <c r="U242" s="190"/>
      <c r="V242" s="191"/>
      <c r="W242" s="190"/>
      <c r="X242" s="191"/>
      <c r="Y242" s="190"/>
      <c r="Z242" s="191"/>
      <c r="AA242" s="190"/>
      <c r="AB242" s="191"/>
      <c r="AC242" s="190"/>
      <c r="AD242" s="191"/>
      <c r="AE242" s="190"/>
      <c r="AF242" s="191"/>
      <c r="AG242" s="190"/>
      <c r="AH242" s="191"/>
      <c r="AI242" s="190"/>
      <c r="AJ242" s="191"/>
      <c r="AK242" s="190"/>
      <c r="AL242" s="191"/>
      <c r="AM242" s="190"/>
      <c r="AN242" s="191"/>
      <c r="AO242" s="190"/>
      <c r="AP242" s="191"/>
      <c r="AQ242" s="190"/>
      <c r="AR242" s="191"/>
      <c r="AS242" s="190"/>
      <c r="AT242" s="191"/>
      <c r="AU242" s="190"/>
      <c r="AV242" s="191"/>
      <c r="AW242" s="190"/>
      <c r="AX242" s="191"/>
      <c r="AY242" s="190"/>
      <c r="AZ242" s="191"/>
      <c r="BA242" s="145" t="str">
        <f>IFERROR(INDEX($E$4:$AZ$4,SUMPRODUCT(MAX(COLUMN(Tbl_PDSAData[[#This Row],[D1]:[M24]])*(ListLookup!$G$3=Tbl_PDSAData[[#This Row],[D1]:[M24]]))-4)),"")</f>
        <v/>
      </c>
      <c r="BB242" s="145" t="str">
        <f>IFERROR(INDEX($E$4:$AZ$4,SUMPRODUCT(MAX(COLUMN(Tbl_PDSAData[[#This Row],[D1]:[M24]])*(ListLookup!$H$3=Tbl_PDSAData[[#This Row],[D1]:[M24]]))-4)),"")</f>
        <v/>
      </c>
    </row>
    <row r="243" spans="1:54" s="74" customFormat="1" x14ac:dyDescent="0.25">
      <c r="A243" s="189"/>
      <c r="B243" s="134" t="str">
        <f>IFERROR(INDEX(Tbl_ResidentData[Physician],MATCH(Tbl_PDSAData[[#This Row],[Resident Name (last, first)]],Tbl_ResidentData[Resident Name '[last, first']],0))&amp;"","")</f>
        <v/>
      </c>
      <c r="C243" s="135" t="str">
        <f>IFERROR(INDEX(Tbl_ResidentData[Diagnosis (RAI)],MATCH(Tbl_PDSAData[[#This Row],[Resident Name (last, first)]],Tbl_ResidentData[Resident Name '[last, first']],0))&amp;"","")</f>
        <v/>
      </c>
      <c r="D243" s="144" t="str">
        <f>IFERROR(INDEX(Tbl_ResidentData[Clinical Notes
'[free text']],MATCH(Tbl_PDSAData[[#This Row],[Resident Name (last, first)]],Tbl_ResidentData[Resident Name '[last, first']],0))&amp;"","")</f>
        <v/>
      </c>
      <c r="E243" s="190"/>
      <c r="F243" s="191"/>
      <c r="G243" s="190"/>
      <c r="H243" s="191"/>
      <c r="I243" s="190"/>
      <c r="J243" s="191"/>
      <c r="K243" s="190"/>
      <c r="L243" s="191"/>
      <c r="M243" s="190"/>
      <c r="N243" s="191"/>
      <c r="O243" s="190"/>
      <c r="P243" s="191"/>
      <c r="Q243" s="190"/>
      <c r="R243" s="191"/>
      <c r="S243" s="190"/>
      <c r="T243" s="191"/>
      <c r="U243" s="190"/>
      <c r="V243" s="191"/>
      <c r="W243" s="190"/>
      <c r="X243" s="191"/>
      <c r="Y243" s="190"/>
      <c r="Z243" s="191"/>
      <c r="AA243" s="190"/>
      <c r="AB243" s="191"/>
      <c r="AC243" s="190"/>
      <c r="AD243" s="191"/>
      <c r="AE243" s="190"/>
      <c r="AF243" s="191"/>
      <c r="AG243" s="190"/>
      <c r="AH243" s="191"/>
      <c r="AI243" s="190"/>
      <c r="AJ243" s="191"/>
      <c r="AK243" s="190"/>
      <c r="AL243" s="191"/>
      <c r="AM243" s="190"/>
      <c r="AN243" s="191"/>
      <c r="AO243" s="190"/>
      <c r="AP243" s="191"/>
      <c r="AQ243" s="190"/>
      <c r="AR243" s="191"/>
      <c r="AS243" s="190"/>
      <c r="AT243" s="191"/>
      <c r="AU243" s="190"/>
      <c r="AV243" s="191"/>
      <c r="AW243" s="190"/>
      <c r="AX243" s="191"/>
      <c r="AY243" s="190"/>
      <c r="AZ243" s="191"/>
      <c r="BA243" s="145" t="str">
        <f>IFERROR(INDEX($E$4:$AZ$4,SUMPRODUCT(MAX(COLUMN(Tbl_PDSAData[[#This Row],[D1]:[M24]])*(ListLookup!$G$3=Tbl_PDSAData[[#This Row],[D1]:[M24]]))-4)),"")</f>
        <v/>
      </c>
      <c r="BB243" s="145" t="str">
        <f>IFERROR(INDEX($E$4:$AZ$4,SUMPRODUCT(MAX(COLUMN(Tbl_PDSAData[[#This Row],[D1]:[M24]])*(ListLookup!$H$3=Tbl_PDSAData[[#This Row],[D1]:[M24]]))-4)),"")</f>
        <v/>
      </c>
    </row>
    <row r="244" spans="1:54" s="74" customFormat="1" x14ac:dyDescent="0.25">
      <c r="A244" s="189"/>
      <c r="B244" s="134" t="str">
        <f>IFERROR(INDEX(Tbl_ResidentData[Physician],MATCH(Tbl_PDSAData[[#This Row],[Resident Name (last, first)]],Tbl_ResidentData[Resident Name '[last, first']],0))&amp;"","")</f>
        <v/>
      </c>
      <c r="C244" s="135" t="str">
        <f>IFERROR(INDEX(Tbl_ResidentData[Diagnosis (RAI)],MATCH(Tbl_PDSAData[[#This Row],[Resident Name (last, first)]],Tbl_ResidentData[Resident Name '[last, first']],0))&amp;"","")</f>
        <v/>
      </c>
      <c r="D244" s="144" t="str">
        <f>IFERROR(INDEX(Tbl_ResidentData[Clinical Notes
'[free text']],MATCH(Tbl_PDSAData[[#This Row],[Resident Name (last, first)]],Tbl_ResidentData[Resident Name '[last, first']],0))&amp;"","")</f>
        <v/>
      </c>
      <c r="E244" s="190"/>
      <c r="F244" s="191"/>
      <c r="G244" s="190"/>
      <c r="H244" s="191"/>
      <c r="I244" s="190"/>
      <c r="J244" s="191"/>
      <c r="K244" s="190"/>
      <c r="L244" s="191"/>
      <c r="M244" s="190"/>
      <c r="N244" s="191"/>
      <c r="O244" s="190"/>
      <c r="P244" s="191"/>
      <c r="Q244" s="190"/>
      <c r="R244" s="191"/>
      <c r="S244" s="190"/>
      <c r="T244" s="191"/>
      <c r="U244" s="190"/>
      <c r="V244" s="191"/>
      <c r="W244" s="190"/>
      <c r="X244" s="191"/>
      <c r="Y244" s="190"/>
      <c r="Z244" s="191"/>
      <c r="AA244" s="190"/>
      <c r="AB244" s="191"/>
      <c r="AC244" s="190"/>
      <c r="AD244" s="191"/>
      <c r="AE244" s="190"/>
      <c r="AF244" s="191"/>
      <c r="AG244" s="190"/>
      <c r="AH244" s="191"/>
      <c r="AI244" s="190"/>
      <c r="AJ244" s="191"/>
      <c r="AK244" s="190"/>
      <c r="AL244" s="191"/>
      <c r="AM244" s="190"/>
      <c r="AN244" s="191"/>
      <c r="AO244" s="190"/>
      <c r="AP244" s="191"/>
      <c r="AQ244" s="190"/>
      <c r="AR244" s="191"/>
      <c r="AS244" s="190"/>
      <c r="AT244" s="191"/>
      <c r="AU244" s="190"/>
      <c r="AV244" s="191"/>
      <c r="AW244" s="190"/>
      <c r="AX244" s="191"/>
      <c r="AY244" s="190"/>
      <c r="AZ244" s="191"/>
      <c r="BA244" s="145" t="str">
        <f>IFERROR(INDEX($E$4:$AZ$4,SUMPRODUCT(MAX(COLUMN(Tbl_PDSAData[[#This Row],[D1]:[M24]])*(ListLookup!$G$3=Tbl_PDSAData[[#This Row],[D1]:[M24]]))-4)),"")</f>
        <v/>
      </c>
      <c r="BB244" s="145" t="str">
        <f>IFERROR(INDEX($E$4:$AZ$4,SUMPRODUCT(MAX(COLUMN(Tbl_PDSAData[[#This Row],[D1]:[M24]])*(ListLookup!$H$3=Tbl_PDSAData[[#This Row],[D1]:[M24]]))-4)),"")</f>
        <v/>
      </c>
    </row>
    <row r="245" spans="1:54" s="74" customFormat="1" x14ac:dyDescent="0.25">
      <c r="A245" s="189"/>
      <c r="B245" s="134" t="str">
        <f>IFERROR(INDEX(Tbl_ResidentData[Physician],MATCH(Tbl_PDSAData[[#This Row],[Resident Name (last, first)]],Tbl_ResidentData[Resident Name '[last, first']],0))&amp;"","")</f>
        <v/>
      </c>
      <c r="C245" s="135" t="str">
        <f>IFERROR(INDEX(Tbl_ResidentData[Diagnosis (RAI)],MATCH(Tbl_PDSAData[[#This Row],[Resident Name (last, first)]],Tbl_ResidentData[Resident Name '[last, first']],0))&amp;"","")</f>
        <v/>
      </c>
      <c r="D245" s="144" t="str">
        <f>IFERROR(INDEX(Tbl_ResidentData[Clinical Notes
'[free text']],MATCH(Tbl_PDSAData[[#This Row],[Resident Name (last, first)]],Tbl_ResidentData[Resident Name '[last, first']],0))&amp;"","")</f>
        <v/>
      </c>
      <c r="E245" s="190"/>
      <c r="F245" s="191"/>
      <c r="G245" s="190"/>
      <c r="H245" s="191"/>
      <c r="I245" s="190"/>
      <c r="J245" s="191"/>
      <c r="K245" s="190"/>
      <c r="L245" s="191"/>
      <c r="M245" s="190"/>
      <c r="N245" s="191"/>
      <c r="O245" s="190"/>
      <c r="P245" s="191"/>
      <c r="Q245" s="190"/>
      <c r="R245" s="191"/>
      <c r="S245" s="190"/>
      <c r="T245" s="191"/>
      <c r="U245" s="190"/>
      <c r="V245" s="191"/>
      <c r="W245" s="190"/>
      <c r="X245" s="191"/>
      <c r="Y245" s="190"/>
      <c r="Z245" s="191"/>
      <c r="AA245" s="190"/>
      <c r="AB245" s="191"/>
      <c r="AC245" s="190"/>
      <c r="AD245" s="191"/>
      <c r="AE245" s="190"/>
      <c r="AF245" s="191"/>
      <c r="AG245" s="190"/>
      <c r="AH245" s="191"/>
      <c r="AI245" s="190"/>
      <c r="AJ245" s="191"/>
      <c r="AK245" s="190"/>
      <c r="AL245" s="191"/>
      <c r="AM245" s="190"/>
      <c r="AN245" s="191"/>
      <c r="AO245" s="190"/>
      <c r="AP245" s="191"/>
      <c r="AQ245" s="190"/>
      <c r="AR245" s="191"/>
      <c r="AS245" s="190"/>
      <c r="AT245" s="191"/>
      <c r="AU245" s="190"/>
      <c r="AV245" s="191"/>
      <c r="AW245" s="190"/>
      <c r="AX245" s="191"/>
      <c r="AY245" s="190"/>
      <c r="AZ245" s="191"/>
      <c r="BA245" s="145" t="str">
        <f>IFERROR(INDEX($E$4:$AZ$4,SUMPRODUCT(MAX(COLUMN(Tbl_PDSAData[[#This Row],[D1]:[M24]])*(ListLookup!$G$3=Tbl_PDSAData[[#This Row],[D1]:[M24]]))-4)),"")</f>
        <v/>
      </c>
      <c r="BB245" s="145" t="str">
        <f>IFERROR(INDEX($E$4:$AZ$4,SUMPRODUCT(MAX(COLUMN(Tbl_PDSAData[[#This Row],[D1]:[M24]])*(ListLookup!$H$3=Tbl_PDSAData[[#This Row],[D1]:[M24]]))-4)),"")</f>
        <v/>
      </c>
    </row>
    <row r="246" spans="1:54" s="74" customFormat="1" x14ac:dyDescent="0.25">
      <c r="A246" s="189"/>
      <c r="B246" s="134" t="str">
        <f>IFERROR(INDEX(Tbl_ResidentData[Physician],MATCH(Tbl_PDSAData[[#This Row],[Resident Name (last, first)]],Tbl_ResidentData[Resident Name '[last, first']],0))&amp;"","")</f>
        <v/>
      </c>
      <c r="C246" s="135" t="str">
        <f>IFERROR(INDEX(Tbl_ResidentData[Diagnosis (RAI)],MATCH(Tbl_PDSAData[[#This Row],[Resident Name (last, first)]],Tbl_ResidentData[Resident Name '[last, first']],0))&amp;"","")</f>
        <v/>
      </c>
      <c r="D246" s="144" t="str">
        <f>IFERROR(INDEX(Tbl_ResidentData[Clinical Notes
'[free text']],MATCH(Tbl_PDSAData[[#This Row],[Resident Name (last, first)]],Tbl_ResidentData[Resident Name '[last, first']],0))&amp;"","")</f>
        <v/>
      </c>
      <c r="E246" s="190"/>
      <c r="F246" s="191"/>
      <c r="G246" s="190"/>
      <c r="H246" s="191"/>
      <c r="I246" s="190"/>
      <c r="J246" s="191"/>
      <c r="K246" s="190"/>
      <c r="L246" s="191"/>
      <c r="M246" s="190"/>
      <c r="N246" s="191"/>
      <c r="O246" s="190"/>
      <c r="P246" s="191"/>
      <c r="Q246" s="190"/>
      <c r="R246" s="191"/>
      <c r="S246" s="190"/>
      <c r="T246" s="191"/>
      <c r="U246" s="190"/>
      <c r="V246" s="191"/>
      <c r="W246" s="190"/>
      <c r="X246" s="191"/>
      <c r="Y246" s="190"/>
      <c r="Z246" s="191"/>
      <c r="AA246" s="190"/>
      <c r="AB246" s="191"/>
      <c r="AC246" s="190"/>
      <c r="AD246" s="191"/>
      <c r="AE246" s="190"/>
      <c r="AF246" s="191"/>
      <c r="AG246" s="190"/>
      <c r="AH246" s="191"/>
      <c r="AI246" s="190"/>
      <c r="AJ246" s="191"/>
      <c r="AK246" s="190"/>
      <c r="AL246" s="191"/>
      <c r="AM246" s="190"/>
      <c r="AN246" s="191"/>
      <c r="AO246" s="190"/>
      <c r="AP246" s="191"/>
      <c r="AQ246" s="190"/>
      <c r="AR246" s="191"/>
      <c r="AS246" s="190"/>
      <c r="AT246" s="191"/>
      <c r="AU246" s="190"/>
      <c r="AV246" s="191"/>
      <c r="AW246" s="190"/>
      <c r="AX246" s="191"/>
      <c r="AY246" s="190"/>
      <c r="AZ246" s="191"/>
      <c r="BA246" s="145" t="str">
        <f>IFERROR(INDEX($E$4:$AZ$4,SUMPRODUCT(MAX(COLUMN(Tbl_PDSAData[[#This Row],[D1]:[M24]])*(ListLookup!$G$3=Tbl_PDSAData[[#This Row],[D1]:[M24]]))-4)),"")</f>
        <v/>
      </c>
      <c r="BB246" s="145" t="str">
        <f>IFERROR(INDEX($E$4:$AZ$4,SUMPRODUCT(MAX(COLUMN(Tbl_PDSAData[[#This Row],[D1]:[M24]])*(ListLookup!$H$3=Tbl_PDSAData[[#This Row],[D1]:[M24]]))-4)),"")</f>
        <v/>
      </c>
    </row>
    <row r="247" spans="1:54" s="74" customFormat="1" x14ac:dyDescent="0.25">
      <c r="A247" s="189"/>
      <c r="B247" s="134" t="str">
        <f>IFERROR(INDEX(Tbl_ResidentData[Physician],MATCH(Tbl_PDSAData[[#This Row],[Resident Name (last, first)]],Tbl_ResidentData[Resident Name '[last, first']],0))&amp;"","")</f>
        <v/>
      </c>
      <c r="C247" s="135" t="str">
        <f>IFERROR(INDEX(Tbl_ResidentData[Diagnosis (RAI)],MATCH(Tbl_PDSAData[[#This Row],[Resident Name (last, first)]],Tbl_ResidentData[Resident Name '[last, first']],0))&amp;"","")</f>
        <v/>
      </c>
      <c r="D247" s="144" t="str">
        <f>IFERROR(INDEX(Tbl_ResidentData[Clinical Notes
'[free text']],MATCH(Tbl_PDSAData[[#This Row],[Resident Name (last, first)]],Tbl_ResidentData[Resident Name '[last, first']],0))&amp;"","")</f>
        <v/>
      </c>
      <c r="E247" s="190"/>
      <c r="F247" s="191"/>
      <c r="G247" s="190"/>
      <c r="H247" s="191"/>
      <c r="I247" s="190"/>
      <c r="J247" s="191"/>
      <c r="K247" s="190"/>
      <c r="L247" s="191"/>
      <c r="M247" s="190"/>
      <c r="N247" s="191"/>
      <c r="O247" s="190"/>
      <c r="P247" s="191"/>
      <c r="Q247" s="190"/>
      <c r="R247" s="191"/>
      <c r="S247" s="190"/>
      <c r="T247" s="191"/>
      <c r="U247" s="190"/>
      <c r="V247" s="191"/>
      <c r="W247" s="190"/>
      <c r="X247" s="191"/>
      <c r="Y247" s="190"/>
      <c r="Z247" s="191"/>
      <c r="AA247" s="190"/>
      <c r="AB247" s="191"/>
      <c r="AC247" s="190"/>
      <c r="AD247" s="191"/>
      <c r="AE247" s="190"/>
      <c r="AF247" s="191"/>
      <c r="AG247" s="190"/>
      <c r="AH247" s="191"/>
      <c r="AI247" s="190"/>
      <c r="AJ247" s="191"/>
      <c r="AK247" s="190"/>
      <c r="AL247" s="191"/>
      <c r="AM247" s="190"/>
      <c r="AN247" s="191"/>
      <c r="AO247" s="190"/>
      <c r="AP247" s="191"/>
      <c r="AQ247" s="190"/>
      <c r="AR247" s="191"/>
      <c r="AS247" s="190"/>
      <c r="AT247" s="191"/>
      <c r="AU247" s="190"/>
      <c r="AV247" s="191"/>
      <c r="AW247" s="190"/>
      <c r="AX247" s="191"/>
      <c r="AY247" s="190"/>
      <c r="AZ247" s="191"/>
      <c r="BA247" s="145" t="str">
        <f>IFERROR(INDEX($E$4:$AZ$4,SUMPRODUCT(MAX(COLUMN(Tbl_PDSAData[[#This Row],[D1]:[M24]])*(ListLookup!$G$3=Tbl_PDSAData[[#This Row],[D1]:[M24]]))-4)),"")</f>
        <v/>
      </c>
      <c r="BB247" s="145" t="str">
        <f>IFERROR(INDEX($E$4:$AZ$4,SUMPRODUCT(MAX(COLUMN(Tbl_PDSAData[[#This Row],[D1]:[M24]])*(ListLookup!$H$3=Tbl_PDSAData[[#This Row],[D1]:[M24]]))-4)),"")</f>
        <v/>
      </c>
    </row>
    <row r="248" spans="1:54" s="74" customFormat="1" x14ac:dyDescent="0.25">
      <c r="A248" s="189"/>
      <c r="B248" s="134" t="str">
        <f>IFERROR(INDEX(Tbl_ResidentData[Physician],MATCH(Tbl_PDSAData[[#This Row],[Resident Name (last, first)]],Tbl_ResidentData[Resident Name '[last, first']],0))&amp;"","")</f>
        <v/>
      </c>
      <c r="C248" s="135" t="str">
        <f>IFERROR(INDEX(Tbl_ResidentData[Diagnosis (RAI)],MATCH(Tbl_PDSAData[[#This Row],[Resident Name (last, first)]],Tbl_ResidentData[Resident Name '[last, first']],0))&amp;"","")</f>
        <v/>
      </c>
      <c r="D248" s="144" t="str">
        <f>IFERROR(INDEX(Tbl_ResidentData[Clinical Notes
'[free text']],MATCH(Tbl_PDSAData[[#This Row],[Resident Name (last, first)]],Tbl_ResidentData[Resident Name '[last, first']],0))&amp;"","")</f>
        <v/>
      </c>
      <c r="E248" s="190"/>
      <c r="F248" s="191"/>
      <c r="G248" s="190"/>
      <c r="H248" s="191"/>
      <c r="I248" s="190"/>
      <c r="J248" s="191"/>
      <c r="K248" s="190"/>
      <c r="L248" s="191"/>
      <c r="M248" s="190"/>
      <c r="N248" s="191"/>
      <c r="O248" s="190"/>
      <c r="P248" s="191"/>
      <c r="Q248" s="190"/>
      <c r="R248" s="191"/>
      <c r="S248" s="190"/>
      <c r="T248" s="191"/>
      <c r="U248" s="190"/>
      <c r="V248" s="191"/>
      <c r="W248" s="190"/>
      <c r="X248" s="191"/>
      <c r="Y248" s="190"/>
      <c r="Z248" s="191"/>
      <c r="AA248" s="190"/>
      <c r="AB248" s="191"/>
      <c r="AC248" s="190"/>
      <c r="AD248" s="191"/>
      <c r="AE248" s="190"/>
      <c r="AF248" s="191"/>
      <c r="AG248" s="190"/>
      <c r="AH248" s="191"/>
      <c r="AI248" s="190"/>
      <c r="AJ248" s="191"/>
      <c r="AK248" s="190"/>
      <c r="AL248" s="191"/>
      <c r="AM248" s="190"/>
      <c r="AN248" s="191"/>
      <c r="AO248" s="190"/>
      <c r="AP248" s="191"/>
      <c r="AQ248" s="190"/>
      <c r="AR248" s="191"/>
      <c r="AS248" s="190"/>
      <c r="AT248" s="191"/>
      <c r="AU248" s="190"/>
      <c r="AV248" s="191"/>
      <c r="AW248" s="190"/>
      <c r="AX248" s="191"/>
      <c r="AY248" s="190"/>
      <c r="AZ248" s="191"/>
      <c r="BA248" s="145" t="str">
        <f>IFERROR(INDEX($E$4:$AZ$4,SUMPRODUCT(MAX(COLUMN(Tbl_PDSAData[[#This Row],[D1]:[M24]])*(ListLookup!$G$3=Tbl_PDSAData[[#This Row],[D1]:[M24]]))-4)),"")</f>
        <v/>
      </c>
      <c r="BB248" s="145" t="str">
        <f>IFERROR(INDEX($E$4:$AZ$4,SUMPRODUCT(MAX(COLUMN(Tbl_PDSAData[[#This Row],[D1]:[M24]])*(ListLookup!$H$3=Tbl_PDSAData[[#This Row],[D1]:[M24]]))-4)),"")</f>
        <v/>
      </c>
    </row>
    <row r="249" spans="1:54" s="74" customFormat="1" x14ac:dyDescent="0.25">
      <c r="A249" s="189"/>
      <c r="B249" s="134" t="str">
        <f>IFERROR(INDEX(Tbl_ResidentData[Physician],MATCH(Tbl_PDSAData[[#This Row],[Resident Name (last, first)]],Tbl_ResidentData[Resident Name '[last, first']],0))&amp;"","")</f>
        <v/>
      </c>
      <c r="C249" s="135" t="str">
        <f>IFERROR(INDEX(Tbl_ResidentData[Diagnosis (RAI)],MATCH(Tbl_PDSAData[[#This Row],[Resident Name (last, first)]],Tbl_ResidentData[Resident Name '[last, first']],0))&amp;"","")</f>
        <v/>
      </c>
      <c r="D249" s="144" t="str">
        <f>IFERROR(INDEX(Tbl_ResidentData[Clinical Notes
'[free text']],MATCH(Tbl_PDSAData[[#This Row],[Resident Name (last, first)]],Tbl_ResidentData[Resident Name '[last, first']],0))&amp;"","")</f>
        <v/>
      </c>
      <c r="E249" s="190"/>
      <c r="F249" s="191"/>
      <c r="G249" s="190"/>
      <c r="H249" s="191"/>
      <c r="I249" s="190"/>
      <c r="J249" s="191"/>
      <c r="K249" s="190"/>
      <c r="L249" s="191"/>
      <c r="M249" s="190"/>
      <c r="N249" s="191"/>
      <c r="O249" s="190"/>
      <c r="P249" s="191"/>
      <c r="Q249" s="190"/>
      <c r="R249" s="191"/>
      <c r="S249" s="190"/>
      <c r="T249" s="191"/>
      <c r="U249" s="190"/>
      <c r="V249" s="191"/>
      <c r="W249" s="190"/>
      <c r="X249" s="191"/>
      <c r="Y249" s="190"/>
      <c r="Z249" s="191"/>
      <c r="AA249" s="190"/>
      <c r="AB249" s="191"/>
      <c r="AC249" s="190"/>
      <c r="AD249" s="191"/>
      <c r="AE249" s="190"/>
      <c r="AF249" s="191"/>
      <c r="AG249" s="190"/>
      <c r="AH249" s="191"/>
      <c r="AI249" s="190"/>
      <c r="AJ249" s="191"/>
      <c r="AK249" s="190"/>
      <c r="AL249" s="191"/>
      <c r="AM249" s="190"/>
      <c r="AN249" s="191"/>
      <c r="AO249" s="190"/>
      <c r="AP249" s="191"/>
      <c r="AQ249" s="190"/>
      <c r="AR249" s="191"/>
      <c r="AS249" s="190"/>
      <c r="AT249" s="191"/>
      <c r="AU249" s="190"/>
      <c r="AV249" s="191"/>
      <c r="AW249" s="190"/>
      <c r="AX249" s="191"/>
      <c r="AY249" s="190"/>
      <c r="AZ249" s="191"/>
      <c r="BA249" s="145" t="str">
        <f>IFERROR(INDEX($E$4:$AZ$4,SUMPRODUCT(MAX(COLUMN(Tbl_PDSAData[[#This Row],[D1]:[M24]])*(ListLookup!$G$3=Tbl_PDSAData[[#This Row],[D1]:[M24]]))-4)),"")</f>
        <v/>
      </c>
      <c r="BB249" s="145" t="str">
        <f>IFERROR(INDEX($E$4:$AZ$4,SUMPRODUCT(MAX(COLUMN(Tbl_PDSAData[[#This Row],[D1]:[M24]])*(ListLookup!$H$3=Tbl_PDSAData[[#This Row],[D1]:[M24]]))-4)),"")</f>
        <v/>
      </c>
    </row>
    <row r="250" spans="1:54" s="74" customFormat="1" x14ac:dyDescent="0.25">
      <c r="A250" s="189"/>
      <c r="B250" s="134" t="str">
        <f>IFERROR(INDEX(Tbl_ResidentData[Physician],MATCH(Tbl_PDSAData[[#This Row],[Resident Name (last, first)]],Tbl_ResidentData[Resident Name '[last, first']],0))&amp;"","")</f>
        <v/>
      </c>
      <c r="C250" s="135" t="str">
        <f>IFERROR(INDEX(Tbl_ResidentData[Diagnosis (RAI)],MATCH(Tbl_PDSAData[[#This Row],[Resident Name (last, first)]],Tbl_ResidentData[Resident Name '[last, first']],0))&amp;"","")</f>
        <v/>
      </c>
      <c r="D250" s="144" t="str">
        <f>IFERROR(INDEX(Tbl_ResidentData[Clinical Notes
'[free text']],MATCH(Tbl_PDSAData[[#This Row],[Resident Name (last, first)]],Tbl_ResidentData[Resident Name '[last, first']],0))&amp;"","")</f>
        <v/>
      </c>
      <c r="E250" s="190"/>
      <c r="F250" s="191"/>
      <c r="G250" s="190"/>
      <c r="H250" s="191"/>
      <c r="I250" s="190"/>
      <c r="J250" s="191"/>
      <c r="K250" s="190"/>
      <c r="L250" s="191"/>
      <c r="M250" s="190"/>
      <c r="N250" s="191"/>
      <c r="O250" s="190"/>
      <c r="P250" s="191"/>
      <c r="Q250" s="190"/>
      <c r="R250" s="191"/>
      <c r="S250" s="190"/>
      <c r="T250" s="191"/>
      <c r="U250" s="190"/>
      <c r="V250" s="191"/>
      <c r="W250" s="190"/>
      <c r="X250" s="191"/>
      <c r="Y250" s="190"/>
      <c r="Z250" s="191"/>
      <c r="AA250" s="190"/>
      <c r="AB250" s="191"/>
      <c r="AC250" s="190"/>
      <c r="AD250" s="191"/>
      <c r="AE250" s="190"/>
      <c r="AF250" s="191"/>
      <c r="AG250" s="190"/>
      <c r="AH250" s="191"/>
      <c r="AI250" s="190"/>
      <c r="AJ250" s="191"/>
      <c r="AK250" s="190"/>
      <c r="AL250" s="191"/>
      <c r="AM250" s="190"/>
      <c r="AN250" s="191"/>
      <c r="AO250" s="190"/>
      <c r="AP250" s="191"/>
      <c r="AQ250" s="190"/>
      <c r="AR250" s="191"/>
      <c r="AS250" s="190"/>
      <c r="AT250" s="191"/>
      <c r="AU250" s="190"/>
      <c r="AV250" s="191"/>
      <c r="AW250" s="190"/>
      <c r="AX250" s="191"/>
      <c r="AY250" s="190"/>
      <c r="AZ250" s="191"/>
      <c r="BA250" s="145" t="str">
        <f>IFERROR(INDEX($E$4:$AZ$4,SUMPRODUCT(MAX(COLUMN(Tbl_PDSAData[[#This Row],[D1]:[M24]])*(ListLookup!$G$3=Tbl_PDSAData[[#This Row],[D1]:[M24]]))-4)),"")</f>
        <v/>
      </c>
      <c r="BB250" s="145" t="str">
        <f>IFERROR(INDEX($E$4:$AZ$4,SUMPRODUCT(MAX(COLUMN(Tbl_PDSAData[[#This Row],[D1]:[M24]])*(ListLookup!$H$3=Tbl_PDSAData[[#This Row],[D1]:[M24]]))-4)),"")</f>
        <v/>
      </c>
    </row>
    <row r="251" spans="1:54" s="74" customFormat="1" x14ac:dyDescent="0.25">
      <c r="A251" s="189"/>
      <c r="B251" s="134" t="str">
        <f>IFERROR(INDEX(Tbl_ResidentData[Physician],MATCH(Tbl_PDSAData[[#This Row],[Resident Name (last, first)]],Tbl_ResidentData[Resident Name '[last, first']],0))&amp;"","")</f>
        <v/>
      </c>
      <c r="C251" s="135" t="str">
        <f>IFERROR(INDEX(Tbl_ResidentData[Diagnosis (RAI)],MATCH(Tbl_PDSAData[[#This Row],[Resident Name (last, first)]],Tbl_ResidentData[Resident Name '[last, first']],0))&amp;"","")</f>
        <v/>
      </c>
      <c r="D251" s="144" t="str">
        <f>IFERROR(INDEX(Tbl_ResidentData[Clinical Notes
'[free text']],MATCH(Tbl_PDSAData[[#This Row],[Resident Name (last, first)]],Tbl_ResidentData[Resident Name '[last, first']],0))&amp;"","")</f>
        <v/>
      </c>
      <c r="E251" s="190"/>
      <c r="F251" s="191"/>
      <c r="G251" s="190"/>
      <c r="H251" s="191"/>
      <c r="I251" s="190"/>
      <c r="J251" s="191"/>
      <c r="K251" s="190"/>
      <c r="L251" s="191"/>
      <c r="M251" s="190"/>
      <c r="N251" s="191"/>
      <c r="O251" s="190"/>
      <c r="P251" s="191"/>
      <c r="Q251" s="190"/>
      <c r="R251" s="191"/>
      <c r="S251" s="190"/>
      <c r="T251" s="191"/>
      <c r="U251" s="190"/>
      <c r="V251" s="191"/>
      <c r="W251" s="190"/>
      <c r="X251" s="191"/>
      <c r="Y251" s="190"/>
      <c r="Z251" s="191"/>
      <c r="AA251" s="190"/>
      <c r="AB251" s="191"/>
      <c r="AC251" s="190"/>
      <c r="AD251" s="191"/>
      <c r="AE251" s="190"/>
      <c r="AF251" s="191"/>
      <c r="AG251" s="190"/>
      <c r="AH251" s="191"/>
      <c r="AI251" s="190"/>
      <c r="AJ251" s="191"/>
      <c r="AK251" s="190"/>
      <c r="AL251" s="191"/>
      <c r="AM251" s="190"/>
      <c r="AN251" s="191"/>
      <c r="AO251" s="190"/>
      <c r="AP251" s="191"/>
      <c r="AQ251" s="190"/>
      <c r="AR251" s="191"/>
      <c r="AS251" s="190"/>
      <c r="AT251" s="191"/>
      <c r="AU251" s="190"/>
      <c r="AV251" s="191"/>
      <c r="AW251" s="190"/>
      <c r="AX251" s="191"/>
      <c r="AY251" s="190"/>
      <c r="AZ251" s="191"/>
      <c r="BA251" s="145" t="str">
        <f>IFERROR(INDEX($E$4:$AZ$4,SUMPRODUCT(MAX(COLUMN(Tbl_PDSAData[[#This Row],[D1]:[M24]])*(ListLookup!$G$3=Tbl_PDSAData[[#This Row],[D1]:[M24]]))-4)),"")</f>
        <v/>
      </c>
      <c r="BB251" s="145" t="str">
        <f>IFERROR(INDEX($E$4:$AZ$4,SUMPRODUCT(MAX(COLUMN(Tbl_PDSAData[[#This Row],[D1]:[M24]])*(ListLookup!$H$3=Tbl_PDSAData[[#This Row],[D1]:[M24]]))-4)),"")</f>
        <v/>
      </c>
    </row>
    <row r="252" spans="1:54" s="74" customFormat="1" x14ac:dyDescent="0.25">
      <c r="A252" s="189"/>
      <c r="B252" s="134" t="str">
        <f>IFERROR(INDEX(Tbl_ResidentData[Physician],MATCH(Tbl_PDSAData[[#This Row],[Resident Name (last, first)]],Tbl_ResidentData[Resident Name '[last, first']],0))&amp;"","")</f>
        <v/>
      </c>
      <c r="C252" s="135" t="str">
        <f>IFERROR(INDEX(Tbl_ResidentData[Diagnosis (RAI)],MATCH(Tbl_PDSAData[[#This Row],[Resident Name (last, first)]],Tbl_ResidentData[Resident Name '[last, first']],0))&amp;"","")</f>
        <v/>
      </c>
      <c r="D252" s="144" t="str">
        <f>IFERROR(INDEX(Tbl_ResidentData[Clinical Notes
'[free text']],MATCH(Tbl_PDSAData[[#This Row],[Resident Name (last, first)]],Tbl_ResidentData[Resident Name '[last, first']],0))&amp;"","")</f>
        <v/>
      </c>
      <c r="E252" s="190"/>
      <c r="F252" s="191"/>
      <c r="G252" s="190"/>
      <c r="H252" s="191"/>
      <c r="I252" s="190"/>
      <c r="J252" s="191"/>
      <c r="K252" s="190"/>
      <c r="L252" s="191"/>
      <c r="M252" s="190"/>
      <c r="N252" s="191"/>
      <c r="O252" s="190"/>
      <c r="P252" s="191"/>
      <c r="Q252" s="190"/>
      <c r="R252" s="191"/>
      <c r="S252" s="190"/>
      <c r="T252" s="191"/>
      <c r="U252" s="190"/>
      <c r="V252" s="191"/>
      <c r="W252" s="190"/>
      <c r="X252" s="191"/>
      <c r="Y252" s="190"/>
      <c r="Z252" s="191"/>
      <c r="AA252" s="190"/>
      <c r="AB252" s="191"/>
      <c r="AC252" s="190"/>
      <c r="AD252" s="191"/>
      <c r="AE252" s="190"/>
      <c r="AF252" s="191"/>
      <c r="AG252" s="190"/>
      <c r="AH252" s="191"/>
      <c r="AI252" s="190"/>
      <c r="AJ252" s="191"/>
      <c r="AK252" s="190"/>
      <c r="AL252" s="191"/>
      <c r="AM252" s="190"/>
      <c r="AN252" s="191"/>
      <c r="AO252" s="190"/>
      <c r="AP252" s="191"/>
      <c r="AQ252" s="190"/>
      <c r="AR252" s="191"/>
      <c r="AS252" s="190"/>
      <c r="AT252" s="191"/>
      <c r="AU252" s="190"/>
      <c r="AV252" s="191"/>
      <c r="AW252" s="190"/>
      <c r="AX252" s="191"/>
      <c r="AY252" s="190"/>
      <c r="AZ252" s="191"/>
      <c r="BA252" s="145" t="str">
        <f>IFERROR(INDEX($E$4:$AZ$4,SUMPRODUCT(MAX(COLUMN(Tbl_PDSAData[[#This Row],[D1]:[M24]])*(ListLookup!$G$3=Tbl_PDSAData[[#This Row],[D1]:[M24]]))-4)),"")</f>
        <v/>
      </c>
      <c r="BB252" s="145" t="str">
        <f>IFERROR(INDEX($E$4:$AZ$4,SUMPRODUCT(MAX(COLUMN(Tbl_PDSAData[[#This Row],[D1]:[M24]])*(ListLookup!$H$3=Tbl_PDSAData[[#This Row],[D1]:[M24]]))-4)),"")</f>
        <v/>
      </c>
    </row>
    <row r="253" spans="1:54" s="74" customFormat="1" x14ac:dyDescent="0.25">
      <c r="A253" s="189"/>
      <c r="B253" s="134" t="str">
        <f>IFERROR(INDEX(Tbl_ResidentData[Physician],MATCH(Tbl_PDSAData[[#This Row],[Resident Name (last, first)]],Tbl_ResidentData[Resident Name '[last, first']],0))&amp;"","")</f>
        <v/>
      </c>
      <c r="C253" s="135" t="str">
        <f>IFERROR(INDEX(Tbl_ResidentData[Diagnosis (RAI)],MATCH(Tbl_PDSAData[[#This Row],[Resident Name (last, first)]],Tbl_ResidentData[Resident Name '[last, first']],0))&amp;"","")</f>
        <v/>
      </c>
      <c r="D253" s="144" t="str">
        <f>IFERROR(INDEX(Tbl_ResidentData[Clinical Notes
'[free text']],MATCH(Tbl_PDSAData[[#This Row],[Resident Name (last, first)]],Tbl_ResidentData[Resident Name '[last, first']],0))&amp;"","")</f>
        <v/>
      </c>
      <c r="E253" s="190"/>
      <c r="F253" s="191"/>
      <c r="G253" s="190"/>
      <c r="H253" s="191"/>
      <c r="I253" s="190"/>
      <c r="J253" s="191"/>
      <c r="K253" s="190"/>
      <c r="L253" s="191"/>
      <c r="M253" s="190"/>
      <c r="N253" s="191"/>
      <c r="O253" s="190"/>
      <c r="P253" s="191"/>
      <c r="Q253" s="190"/>
      <c r="R253" s="191"/>
      <c r="S253" s="190"/>
      <c r="T253" s="191"/>
      <c r="U253" s="190"/>
      <c r="V253" s="191"/>
      <c r="W253" s="190"/>
      <c r="X253" s="191"/>
      <c r="Y253" s="190"/>
      <c r="Z253" s="191"/>
      <c r="AA253" s="190"/>
      <c r="AB253" s="191"/>
      <c r="AC253" s="190"/>
      <c r="AD253" s="191"/>
      <c r="AE253" s="190"/>
      <c r="AF253" s="191"/>
      <c r="AG253" s="190"/>
      <c r="AH253" s="191"/>
      <c r="AI253" s="190"/>
      <c r="AJ253" s="191"/>
      <c r="AK253" s="190"/>
      <c r="AL253" s="191"/>
      <c r="AM253" s="190"/>
      <c r="AN253" s="191"/>
      <c r="AO253" s="190"/>
      <c r="AP253" s="191"/>
      <c r="AQ253" s="190"/>
      <c r="AR253" s="191"/>
      <c r="AS253" s="190"/>
      <c r="AT253" s="191"/>
      <c r="AU253" s="190"/>
      <c r="AV253" s="191"/>
      <c r="AW253" s="190"/>
      <c r="AX253" s="191"/>
      <c r="AY253" s="190"/>
      <c r="AZ253" s="191"/>
      <c r="BA253" s="145" t="str">
        <f>IFERROR(INDEX($E$4:$AZ$4,SUMPRODUCT(MAX(COLUMN(Tbl_PDSAData[[#This Row],[D1]:[M24]])*(ListLookup!$G$3=Tbl_PDSAData[[#This Row],[D1]:[M24]]))-4)),"")</f>
        <v/>
      </c>
      <c r="BB253" s="145" t="str">
        <f>IFERROR(INDEX($E$4:$AZ$4,SUMPRODUCT(MAX(COLUMN(Tbl_PDSAData[[#This Row],[D1]:[M24]])*(ListLookup!$H$3=Tbl_PDSAData[[#This Row],[D1]:[M24]]))-4)),"")</f>
        <v/>
      </c>
    </row>
    <row r="254" spans="1:54" s="74" customFormat="1" x14ac:dyDescent="0.25">
      <c r="A254" s="189"/>
      <c r="B254" s="134" t="str">
        <f>IFERROR(INDEX(Tbl_ResidentData[Physician],MATCH(Tbl_PDSAData[[#This Row],[Resident Name (last, first)]],Tbl_ResidentData[Resident Name '[last, first']],0))&amp;"","")</f>
        <v/>
      </c>
      <c r="C254" s="135" t="str">
        <f>IFERROR(INDEX(Tbl_ResidentData[Diagnosis (RAI)],MATCH(Tbl_PDSAData[[#This Row],[Resident Name (last, first)]],Tbl_ResidentData[Resident Name '[last, first']],0))&amp;"","")</f>
        <v/>
      </c>
      <c r="D254" s="144" t="str">
        <f>IFERROR(INDEX(Tbl_ResidentData[Clinical Notes
'[free text']],MATCH(Tbl_PDSAData[[#This Row],[Resident Name (last, first)]],Tbl_ResidentData[Resident Name '[last, first']],0))&amp;"","")</f>
        <v/>
      </c>
      <c r="E254" s="190"/>
      <c r="F254" s="191"/>
      <c r="G254" s="190"/>
      <c r="H254" s="191"/>
      <c r="I254" s="190"/>
      <c r="J254" s="191"/>
      <c r="K254" s="190"/>
      <c r="L254" s="191"/>
      <c r="M254" s="190"/>
      <c r="N254" s="191"/>
      <c r="O254" s="190"/>
      <c r="P254" s="191"/>
      <c r="Q254" s="190"/>
      <c r="R254" s="191"/>
      <c r="S254" s="190"/>
      <c r="T254" s="191"/>
      <c r="U254" s="190"/>
      <c r="V254" s="191"/>
      <c r="W254" s="190"/>
      <c r="X254" s="191"/>
      <c r="Y254" s="190"/>
      <c r="Z254" s="191"/>
      <c r="AA254" s="190"/>
      <c r="AB254" s="191"/>
      <c r="AC254" s="190"/>
      <c r="AD254" s="191"/>
      <c r="AE254" s="190"/>
      <c r="AF254" s="191"/>
      <c r="AG254" s="190"/>
      <c r="AH254" s="191"/>
      <c r="AI254" s="190"/>
      <c r="AJ254" s="191"/>
      <c r="AK254" s="190"/>
      <c r="AL254" s="191"/>
      <c r="AM254" s="190"/>
      <c r="AN254" s="191"/>
      <c r="AO254" s="190"/>
      <c r="AP254" s="191"/>
      <c r="AQ254" s="190"/>
      <c r="AR254" s="191"/>
      <c r="AS254" s="190"/>
      <c r="AT254" s="191"/>
      <c r="AU254" s="190"/>
      <c r="AV254" s="191"/>
      <c r="AW254" s="190"/>
      <c r="AX254" s="191"/>
      <c r="AY254" s="190"/>
      <c r="AZ254" s="191"/>
      <c r="BA254" s="145" t="str">
        <f>IFERROR(INDEX($E$4:$AZ$4,SUMPRODUCT(MAX(COLUMN(Tbl_PDSAData[[#This Row],[D1]:[M24]])*(ListLookup!$G$3=Tbl_PDSAData[[#This Row],[D1]:[M24]]))-4)),"")</f>
        <v/>
      </c>
      <c r="BB254" s="145" t="str">
        <f>IFERROR(INDEX($E$4:$AZ$4,SUMPRODUCT(MAX(COLUMN(Tbl_PDSAData[[#This Row],[D1]:[M24]])*(ListLookup!$H$3=Tbl_PDSAData[[#This Row],[D1]:[M24]]))-4)),"")</f>
        <v/>
      </c>
    </row>
    <row r="255" spans="1:54" s="74" customFormat="1" x14ac:dyDescent="0.25">
      <c r="A255" s="189"/>
      <c r="B255" s="134" t="str">
        <f>IFERROR(INDEX(Tbl_ResidentData[Physician],MATCH(Tbl_PDSAData[[#This Row],[Resident Name (last, first)]],Tbl_ResidentData[Resident Name '[last, first']],0))&amp;"","")</f>
        <v/>
      </c>
      <c r="C255" s="135" t="str">
        <f>IFERROR(INDEX(Tbl_ResidentData[Diagnosis (RAI)],MATCH(Tbl_PDSAData[[#This Row],[Resident Name (last, first)]],Tbl_ResidentData[Resident Name '[last, first']],0))&amp;"","")</f>
        <v/>
      </c>
      <c r="D255" s="144" t="str">
        <f>IFERROR(INDEX(Tbl_ResidentData[Clinical Notes
'[free text']],MATCH(Tbl_PDSAData[[#This Row],[Resident Name (last, first)]],Tbl_ResidentData[Resident Name '[last, first']],0))&amp;"","")</f>
        <v/>
      </c>
      <c r="E255" s="190"/>
      <c r="F255" s="191"/>
      <c r="G255" s="190"/>
      <c r="H255" s="191"/>
      <c r="I255" s="190"/>
      <c r="J255" s="191"/>
      <c r="K255" s="190"/>
      <c r="L255" s="191"/>
      <c r="M255" s="190"/>
      <c r="N255" s="191"/>
      <c r="O255" s="190"/>
      <c r="P255" s="191"/>
      <c r="Q255" s="190"/>
      <c r="R255" s="191"/>
      <c r="S255" s="190"/>
      <c r="T255" s="191"/>
      <c r="U255" s="190"/>
      <c r="V255" s="191"/>
      <c r="W255" s="190"/>
      <c r="X255" s="191"/>
      <c r="Y255" s="190"/>
      <c r="Z255" s="191"/>
      <c r="AA255" s="190"/>
      <c r="AB255" s="191"/>
      <c r="AC255" s="190"/>
      <c r="AD255" s="191"/>
      <c r="AE255" s="190"/>
      <c r="AF255" s="191"/>
      <c r="AG255" s="190"/>
      <c r="AH255" s="191"/>
      <c r="AI255" s="190"/>
      <c r="AJ255" s="191"/>
      <c r="AK255" s="190"/>
      <c r="AL255" s="191"/>
      <c r="AM255" s="190"/>
      <c r="AN255" s="191"/>
      <c r="AO255" s="190"/>
      <c r="AP255" s="191"/>
      <c r="AQ255" s="190"/>
      <c r="AR255" s="191"/>
      <c r="AS255" s="190"/>
      <c r="AT255" s="191"/>
      <c r="AU255" s="190"/>
      <c r="AV255" s="191"/>
      <c r="AW255" s="190"/>
      <c r="AX255" s="191"/>
      <c r="AY255" s="190"/>
      <c r="AZ255" s="191"/>
      <c r="BA255" s="145" t="str">
        <f>IFERROR(INDEX($E$4:$AZ$4,SUMPRODUCT(MAX(COLUMN(Tbl_PDSAData[[#This Row],[D1]:[M24]])*(ListLookup!$G$3=Tbl_PDSAData[[#This Row],[D1]:[M24]]))-4)),"")</f>
        <v/>
      </c>
      <c r="BB255" s="145" t="str">
        <f>IFERROR(INDEX($E$4:$AZ$4,SUMPRODUCT(MAX(COLUMN(Tbl_PDSAData[[#This Row],[D1]:[M24]])*(ListLookup!$H$3=Tbl_PDSAData[[#This Row],[D1]:[M24]]))-4)),"")</f>
        <v/>
      </c>
    </row>
    <row r="256" spans="1:54" s="74" customFormat="1" x14ac:dyDescent="0.25">
      <c r="A256" s="189"/>
      <c r="B256" s="134" t="str">
        <f>IFERROR(INDEX(Tbl_ResidentData[Physician],MATCH(Tbl_PDSAData[[#This Row],[Resident Name (last, first)]],Tbl_ResidentData[Resident Name '[last, first']],0))&amp;"","")</f>
        <v/>
      </c>
      <c r="C256" s="135" t="str">
        <f>IFERROR(INDEX(Tbl_ResidentData[Diagnosis (RAI)],MATCH(Tbl_PDSAData[[#This Row],[Resident Name (last, first)]],Tbl_ResidentData[Resident Name '[last, first']],0))&amp;"","")</f>
        <v/>
      </c>
      <c r="D256" s="144" t="str">
        <f>IFERROR(INDEX(Tbl_ResidentData[Clinical Notes
'[free text']],MATCH(Tbl_PDSAData[[#This Row],[Resident Name (last, first)]],Tbl_ResidentData[Resident Name '[last, first']],0))&amp;"","")</f>
        <v/>
      </c>
      <c r="E256" s="190"/>
      <c r="F256" s="191"/>
      <c r="G256" s="190"/>
      <c r="H256" s="191"/>
      <c r="I256" s="190"/>
      <c r="J256" s="191"/>
      <c r="K256" s="190"/>
      <c r="L256" s="191"/>
      <c r="M256" s="190"/>
      <c r="N256" s="191"/>
      <c r="O256" s="190"/>
      <c r="P256" s="191"/>
      <c r="Q256" s="190"/>
      <c r="R256" s="191"/>
      <c r="S256" s="190"/>
      <c r="T256" s="191"/>
      <c r="U256" s="190"/>
      <c r="V256" s="191"/>
      <c r="W256" s="190"/>
      <c r="X256" s="191"/>
      <c r="Y256" s="190"/>
      <c r="Z256" s="191"/>
      <c r="AA256" s="190"/>
      <c r="AB256" s="191"/>
      <c r="AC256" s="190"/>
      <c r="AD256" s="191"/>
      <c r="AE256" s="190"/>
      <c r="AF256" s="191"/>
      <c r="AG256" s="190"/>
      <c r="AH256" s="191"/>
      <c r="AI256" s="190"/>
      <c r="AJ256" s="191"/>
      <c r="AK256" s="190"/>
      <c r="AL256" s="191"/>
      <c r="AM256" s="190"/>
      <c r="AN256" s="191"/>
      <c r="AO256" s="190"/>
      <c r="AP256" s="191"/>
      <c r="AQ256" s="190"/>
      <c r="AR256" s="191"/>
      <c r="AS256" s="190"/>
      <c r="AT256" s="191"/>
      <c r="AU256" s="190"/>
      <c r="AV256" s="191"/>
      <c r="AW256" s="190"/>
      <c r="AX256" s="191"/>
      <c r="AY256" s="190"/>
      <c r="AZ256" s="191"/>
      <c r="BA256" s="145" t="str">
        <f>IFERROR(INDEX($E$4:$AZ$4,SUMPRODUCT(MAX(COLUMN(Tbl_PDSAData[[#This Row],[D1]:[M24]])*(ListLookup!$G$3=Tbl_PDSAData[[#This Row],[D1]:[M24]]))-4)),"")</f>
        <v/>
      </c>
      <c r="BB256" s="145" t="str">
        <f>IFERROR(INDEX($E$4:$AZ$4,SUMPRODUCT(MAX(COLUMN(Tbl_PDSAData[[#This Row],[D1]:[M24]])*(ListLookup!$H$3=Tbl_PDSAData[[#This Row],[D1]:[M24]]))-4)),"")</f>
        <v/>
      </c>
    </row>
    <row r="257" spans="1:54" s="74" customFormat="1" x14ac:dyDescent="0.25">
      <c r="A257" s="189"/>
      <c r="B257" s="134" t="str">
        <f>IFERROR(INDEX(Tbl_ResidentData[Physician],MATCH(Tbl_PDSAData[[#This Row],[Resident Name (last, first)]],Tbl_ResidentData[Resident Name '[last, first']],0))&amp;"","")</f>
        <v/>
      </c>
      <c r="C257" s="135" t="str">
        <f>IFERROR(INDEX(Tbl_ResidentData[Diagnosis (RAI)],MATCH(Tbl_PDSAData[[#This Row],[Resident Name (last, first)]],Tbl_ResidentData[Resident Name '[last, first']],0))&amp;"","")</f>
        <v/>
      </c>
      <c r="D257" s="144" t="str">
        <f>IFERROR(INDEX(Tbl_ResidentData[Clinical Notes
'[free text']],MATCH(Tbl_PDSAData[[#This Row],[Resident Name (last, first)]],Tbl_ResidentData[Resident Name '[last, first']],0))&amp;"","")</f>
        <v/>
      </c>
      <c r="E257" s="190"/>
      <c r="F257" s="191"/>
      <c r="G257" s="190"/>
      <c r="H257" s="191"/>
      <c r="I257" s="190"/>
      <c r="J257" s="191"/>
      <c r="K257" s="190"/>
      <c r="L257" s="191"/>
      <c r="M257" s="190"/>
      <c r="N257" s="191"/>
      <c r="O257" s="190"/>
      <c r="P257" s="191"/>
      <c r="Q257" s="190"/>
      <c r="R257" s="191"/>
      <c r="S257" s="190"/>
      <c r="T257" s="191"/>
      <c r="U257" s="190"/>
      <c r="V257" s="191"/>
      <c r="W257" s="190"/>
      <c r="X257" s="191"/>
      <c r="Y257" s="190"/>
      <c r="Z257" s="191"/>
      <c r="AA257" s="190"/>
      <c r="AB257" s="191"/>
      <c r="AC257" s="190"/>
      <c r="AD257" s="191"/>
      <c r="AE257" s="190"/>
      <c r="AF257" s="191"/>
      <c r="AG257" s="190"/>
      <c r="AH257" s="191"/>
      <c r="AI257" s="190"/>
      <c r="AJ257" s="191"/>
      <c r="AK257" s="190"/>
      <c r="AL257" s="191"/>
      <c r="AM257" s="190"/>
      <c r="AN257" s="191"/>
      <c r="AO257" s="190"/>
      <c r="AP257" s="191"/>
      <c r="AQ257" s="190"/>
      <c r="AR257" s="191"/>
      <c r="AS257" s="190"/>
      <c r="AT257" s="191"/>
      <c r="AU257" s="190"/>
      <c r="AV257" s="191"/>
      <c r="AW257" s="190"/>
      <c r="AX257" s="191"/>
      <c r="AY257" s="190"/>
      <c r="AZ257" s="191"/>
      <c r="BA257" s="145" t="str">
        <f>IFERROR(INDEX($E$4:$AZ$4,SUMPRODUCT(MAX(COLUMN(Tbl_PDSAData[[#This Row],[D1]:[M24]])*(ListLookup!$G$3=Tbl_PDSAData[[#This Row],[D1]:[M24]]))-4)),"")</f>
        <v/>
      </c>
      <c r="BB257" s="145" t="str">
        <f>IFERROR(INDEX($E$4:$AZ$4,SUMPRODUCT(MAX(COLUMN(Tbl_PDSAData[[#This Row],[D1]:[M24]])*(ListLookup!$H$3=Tbl_PDSAData[[#This Row],[D1]:[M24]]))-4)),"")</f>
        <v/>
      </c>
    </row>
    <row r="258" spans="1:54" s="74" customFormat="1" x14ac:dyDescent="0.25">
      <c r="A258" s="189"/>
      <c r="B258" s="134" t="str">
        <f>IFERROR(INDEX(Tbl_ResidentData[Physician],MATCH(Tbl_PDSAData[[#This Row],[Resident Name (last, first)]],Tbl_ResidentData[Resident Name '[last, first']],0))&amp;"","")</f>
        <v/>
      </c>
      <c r="C258" s="135" t="str">
        <f>IFERROR(INDEX(Tbl_ResidentData[Diagnosis (RAI)],MATCH(Tbl_PDSAData[[#This Row],[Resident Name (last, first)]],Tbl_ResidentData[Resident Name '[last, first']],0))&amp;"","")</f>
        <v/>
      </c>
      <c r="D258" s="144" t="str">
        <f>IFERROR(INDEX(Tbl_ResidentData[Clinical Notes
'[free text']],MATCH(Tbl_PDSAData[[#This Row],[Resident Name (last, first)]],Tbl_ResidentData[Resident Name '[last, first']],0))&amp;"","")</f>
        <v/>
      </c>
      <c r="E258" s="190"/>
      <c r="F258" s="191"/>
      <c r="G258" s="190"/>
      <c r="H258" s="191"/>
      <c r="I258" s="190"/>
      <c r="J258" s="191"/>
      <c r="K258" s="190"/>
      <c r="L258" s="191"/>
      <c r="M258" s="190"/>
      <c r="N258" s="191"/>
      <c r="O258" s="190"/>
      <c r="P258" s="191"/>
      <c r="Q258" s="190"/>
      <c r="R258" s="191"/>
      <c r="S258" s="190"/>
      <c r="T258" s="191"/>
      <c r="U258" s="190"/>
      <c r="V258" s="191"/>
      <c r="W258" s="190"/>
      <c r="X258" s="191"/>
      <c r="Y258" s="190"/>
      <c r="Z258" s="191"/>
      <c r="AA258" s="190"/>
      <c r="AB258" s="191"/>
      <c r="AC258" s="190"/>
      <c r="AD258" s="191"/>
      <c r="AE258" s="190"/>
      <c r="AF258" s="191"/>
      <c r="AG258" s="190"/>
      <c r="AH258" s="191"/>
      <c r="AI258" s="190"/>
      <c r="AJ258" s="191"/>
      <c r="AK258" s="190"/>
      <c r="AL258" s="191"/>
      <c r="AM258" s="190"/>
      <c r="AN258" s="191"/>
      <c r="AO258" s="190"/>
      <c r="AP258" s="191"/>
      <c r="AQ258" s="190"/>
      <c r="AR258" s="191"/>
      <c r="AS258" s="190"/>
      <c r="AT258" s="191"/>
      <c r="AU258" s="190"/>
      <c r="AV258" s="191"/>
      <c r="AW258" s="190"/>
      <c r="AX258" s="191"/>
      <c r="AY258" s="190"/>
      <c r="AZ258" s="191"/>
      <c r="BA258" s="145" t="str">
        <f>IFERROR(INDEX($E$4:$AZ$4,SUMPRODUCT(MAX(COLUMN(Tbl_PDSAData[[#This Row],[D1]:[M24]])*(ListLookup!$G$3=Tbl_PDSAData[[#This Row],[D1]:[M24]]))-4)),"")</f>
        <v/>
      </c>
      <c r="BB258" s="145" t="str">
        <f>IFERROR(INDEX($E$4:$AZ$4,SUMPRODUCT(MAX(COLUMN(Tbl_PDSAData[[#This Row],[D1]:[M24]])*(ListLookup!$H$3=Tbl_PDSAData[[#This Row],[D1]:[M24]]))-4)),"")</f>
        <v/>
      </c>
    </row>
    <row r="259" spans="1:54" s="74" customFormat="1" x14ac:dyDescent="0.25">
      <c r="A259" s="189"/>
      <c r="B259" s="134" t="str">
        <f>IFERROR(INDEX(Tbl_ResidentData[Physician],MATCH(Tbl_PDSAData[[#This Row],[Resident Name (last, first)]],Tbl_ResidentData[Resident Name '[last, first']],0))&amp;"","")</f>
        <v/>
      </c>
      <c r="C259" s="135" t="str">
        <f>IFERROR(INDEX(Tbl_ResidentData[Diagnosis (RAI)],MATCH(Tbl_PDSAData[[#This Row],[Resident Name (last, first)]],Tbl_ResidentData[Resident Name '[last, first']],0))&amp;"","")</f>
        <v/>
      </c>
      <c r="D259" s="144" t="str">
        <f>IFERROR(INDEX(Tbl_ResidentData[Clinical Notes
'[free text']],MATCH(Tbl_PDSAData[[#This Row],[Resident Name (last, first)]],Tbl_ResidentData[Resident Name '[last, first']],0))&amp;"","")</f>
        <v/>
      </c>
      <c r="E259" s="190"/>
      <c r="F259" s="191"/>
      <c r="G259" s="190"/>
      <c r="H259" s="191"/>
      <c r="I259" s="190"/>
      <c r="J259" s="191"/>
      <c r="K259" s="190"/>
      <c r="L259" s="191"/>
      <c r="M259" s="190"/>
      <c r="N259" s="191"/>
      <c r="O259" s="190"/>
      <c r="P259" s="191"/>
      <c r="Q259" s="190"/>
      <c r="R259" s="191"/>
      <c r="S259" s="190"/>
      <c r="T259" s="191"/>
      <c r="U259" s="190"/>
      <c r="V259" s="191"/>
      <c r="W259" s="190"/>
      <c r="X259" s="191"/>
      <c r="Y259" s="190"/>
      <c r="Z259" s="191"/>
      <c r="AA259" s="190"/>
      <c r="AB259" s="191"/>
      <c r="AC259" s="190"/>
      <c r="AD259" s="191"/>
      <c r="AE259" s="190"/>
      <c r="AF259" s="191"/>
      <c r="AG259" s="190"/>
      <c r="AH259" s="191"/>
      <c r="AI259" s="190"/>
      <c r="AJ259" s="191"/>
      <c r="AK259" s="190"/>
      <c r="AL259" s="191"/>
      <c r="AM259" s="190"/>
      <c r="AN259" s="191"/>
      <c r="AO259" s="190"/>
      <c r="AP259" s="191"/>
      <c r="AQ259" s="190"/>
      <c r="AR259" s="191"/>
      <c r="AS259" s="190"/>
      <c r="AT259" s="191"/>
      <c r="AU259" s="190"/>
      <c r="AV259" s="191"/>
      <c r="AW259" s="190"/>
      <c r="AX259" s="191"/>
      <c r="AY259" s="190"/>
      <c r="AZ259" s="191"/>
      <c r="BA259" s="145" t="str">
        <f>IFERROR(INDEX($E$4:$AZ$4,SUMPRODUCT(MAX(COLUMN(Tbl_PDSAData[[#This Row],[D1]:[M24]])*(ListLookup!$G$3=Tbl_PDSAData[[#This Row],[D1]:[M24]]))-4)),"")</f>
        <v/>
      </c>
      <c r="BB259" s="145" t="str">
        <f>IFERROR(INDEX($E$4:$AZ$4,SUMPRODUCT(MAX(COLUMN(Tbl_PDSAData[[#This Row],[D1]:[M24]])*(ListLookup!$H$3=Tbl_PDSAData[[#This Row],[D1]:[M24]]))-4)),"")</f>
        <v/>
      </c>
    </row>
    <row r="260" spans="1:54" s="74" customFormat="1" x14ac:dyDescent="0.25">
      <c r="A260" s="189"/>
      <c r="B260" s="134" t="str">
        <f>IFERROR(INDEX(Tbl_ResidentData[Physician],MATCH(Tbl_PDSAData[[#This Row],[Resident Name (last, first)]],Tbl_ResidentData[Resident Name '[last, first']],0))&amp;"","")</f>
        <v/>
      </c>
      <c r="C260" s="135" t="str">
        <f>IFERROR(INDEX(Tbl_ResidentData[Diagnosis (RAI)],MATCH(Tbl_PDSAData[[#This Row],[Resident Name (last, first)]],Tbl_ResidentData[Resident Name '[last, first']],0))&amp;"","")</f>
        <v/>
      </c>
      <c r="D260" s="144" t="str">
        <f>IFERROR(INDEX(Tbl_ResidentData[Clinical Notes
'[free text']],MATCH(Tbl_PDSAData[[#This Row],[Resident Name (last, first)]],Tbl_ResidentData[Resident Name '[last, first']],0))&amp;"","")</f>
        <v/>
      </c>
      <c r="E260" s="190"/>
      <c r="F260" s="191"/>
      <c r="G260" s="190"/>
      <c r="H260" s="191"/>
      <c r="I260" s="190"/>
      <c r="J260" s="191"/>
      <c r="K260" s="190"/>
      <c r="L260" s="191"/>
      <c r="M260" s="190"/>
      <c r="N260" s="191"/>
      <c r="O260" s="190"/>
      <c r="P260" s="191"/>
      <c r="Q260" s="190"/>
      <c r="R260" s="191"/>
      <c r="S260" s="190"/>
      <c r="T260" s="191"/>
      <c r="U260" s="190"/>
      <c r="V260" s="191"/>
      <c r="W260" s="190"/>
      <c r="X260" s="191"/>
      <c r="Y260" s="190"/>
      <c r="Z260" s="191"/>
      <c r="AA260" s="190"/>
      <c r="AB260" s="191"/>
      <c r="AC260" s="190"/>
      <c r="AD260" s="191"/>
      <c r="AE260" s="190"/>
      <c r="AF260" s="191"/>
      <c r="AG260" s="190"/>
      <c r="AH260" s="191"/>
      <c r="AI260" s="190"/>
      <c r="AJ260" s="191"/>
      <c r="AK260" s="190"/>
      <c r="AL260" s="191"/>
      <c r="AM260" s="190"/>
      <c r="AN260" s="191"/>
      <c r="AO260" s="190"/>
      <c r="AP260" s="191"/>
      <c r="AQ260" s="190"/>
      <c r="AR260" s="191"/>
      <c r="AS260" s="190"/>
      <c r="AT260" s="191"/>
      <c r="AU260" s="190"/>
      <c r="AV260" s="191"/>
      <c r="AW260" s="190"/>
      <c r="AX260" s="191"/>
      <c r="AY260" s="190"/>
      <c r="AZ260" s="191"/>
      <c r="BA260" s="145" t="str">
        <f>IFERROR(INDEX($E$4:$AZ$4,SUMPRODUCT(MAX(COLUMN(Tbl_PDSAData[[#This Row],[D1]:[M24]])*(ListLookup!$G$3=Tbl_PDSAData[[#This Row],[D1]:[M24]]))-4)),"")</f>
        <v/>
      </c>
      <c r="BB260" s="145" t="str">
        <f>IFERROR(INDEX($E$4:$AZ$4,SUMPRODUCT(MAX(COLUMN(Tbl_PDSAData[[#This Row],[D1]:[M24]])*(ListLookup!$H$3=Tbl_PDSAData[[#This Row],[D1]:[M24]]))-4)),"")</f>
        <v/>
      </c>
    </row>
    <row r="261" spans="1:54" s="74" customFormat="1" x14ac:dyDescent="0.25">
      <c r="A261" s="189"/>
      <c r="B261" s="134" t="str">
        <f>IFERROR(INDEX(Tbl_ResidentData[Physician],MATCH(Tbl_PDSAData[[#This Row],[Resident Name (last, first)]],Tbl_ResidentData[Resident Name '[last, first']],0))&amp;"","")</f>
        <v/>
      </c>
      <c r="C261" s="135" t="str">
        <f>IFERROR(INDEX(Tbl_ResidentData[Diagnosis (RAI)],MATCH(Tbl_PDSAData[[#This Row],[Resident Name (last, first)]],Tbl_ResidentData[Resident Name '[last, first']],0))&amp;"","")</f>
        <v/>
      </c>
      <c r="D261" s="144" t="str">
        <f>IFERROR(INDEX(Tbl_ResidentData[Clinical Notes
'[free text']],MATCH(Tbl_PDSAData[[#This Row],[Resident Name (last, first)]],Tbl_ResidentData[Resident Name '[last, first']],0))&amp;"","")</f>
        <v/>
      </c>
      <c r="E261" s="190"/>
      <c r="F261" s="191"/>
      <c r="G261" s="190"/>
      <c r="H261" s="191"/>
      <c r="I261" s="190"/>
      <c r="J261" s="191"/>
      <c r="K261" s="190"/>
      <c r="L261" s="191"/>
      <c r="M261" s="190"/>
      <c r="N261" s="191"/>
      <c r="O261" s="190"/>
      <c r="P261" s="191"/>
      <c r="Q261" s="190"/>
      <c r="R261" s="191"/>
      <c r="S261" s="190"/>
      <c r="T261" s="191"/>
      <c r="U261" s="190"/>
      <c r="V261" s="191"/>
      <c r="W261" s="190"/>
      <c r="X261" s="191"/>
      <c r="Y261" s="190"/>
      <c r="Z261" s="191"/>
      <c r="AA261" s="190"/>
      <c r="AB261" s="191"/>
      <c r="AC261" s="190"/>
      <c r="AD261" s="191"/>
      <c r="AE261" s="190"/>
      <c r="AF261" s="191"/>
      <c r="AG261" s="190"/>
      <c r="AH261" s="191"/>
      <c r="AI261" s="190"/>
      <c r="AJ261" s="191"/>
      <c r="AK261" s="190"/>
      <c r="AL261" s="191"/>
      <c r="AM261" s="190"/>
      <c r="AN261" s="191"/>
      <c r="AO261" s="190"/>
      <c r="AP261" s="191"/>
      <c r="AQ261" s="190"/>
      <c r="AR261" s="191"/>
      <c r="AS261" s="190"/>
      <c r="AT261" s="191"/>
      <c r="AU261" s="190"/>
      <c r="AV261" s="191"/>
      <c r="AW261" s="190"/>
      <c r="AX261" s="191"/>
      <c r="AY261" s="190"/>
      <c r="AZ261" s="191"/>
      <c r="BA261" s="145" t="str">
        <f>IFERROR(INDEX($E$4:$AZ$4,SUMPRODUCT(MAX(COLUMN(Tbl_PDSAData[[#This Row],[D1]:[M24]])*(ListLookup!$G$3=Tbl_PDSAData[[#This Row],[D1]:[M24]]))-4)),"")</f>
        <v/>
      </c>
      <c r="BB261" s="145" t="str">
        <f>IFERROR(INDEX($E$4:$AZ$4,SUMPRODUCT(MAX(COLUMN(Tbl_PDSAData[[#This Row],[D1]:[M24]])*(ListLookup!$H$3=Tbl_PDSAData[[#This Row],[D1]:[M24]]))-4)),"")</f>
        <v/>
      </c>
    </row>
    <row r="262" spans="1:54" s="74" customFormat="1" x14ac:dyDescent="0.25">
      <c r="A262" s="189"/>
      <c r="B262" s="134" t="str">
        <f>IFERROR(INDEX(Tbl_ResidentData[Physician],MATCH(Tbl_PDSAData[[#This Row],[Resident Name (last, first)]],Tbl_ResidentData[Resident Name '[last, first']],0))&amp;"","")</f>
        <v/>
      </c>
      <c r="C262" s="135" t="str">
        <f>IFERROR(INDEX(Tbl_ResidentData[Diagnosis (RAI)],MATCH(Tbl_PDSAData[[#This Row],[Resident Name (last, first)]],Tbl_ResidentData[Resident Name '[last, first']],0))&amp;"","")</f>
        <v/>
      </c>
      <c r="D262" s="144" t="str">
        <f>IFERROR(INDEX(Tbl_ResidentData[Clinical Notes
'[free text']],MATCH(Tbl_PDSAData[[#This Row],[Resident Name (last, first)]],Tbl_ResidentData[Resident Name '[last, first']],0))&amp;"","")</f>
        <v/>
      </c>
      <c r="E262" s="190"/>
      <c r="F262" s="191"/>
      <c r="G262" s="190"/>
      <c r="H262" s="191"/>
      <c r="I262" s="190"/>
      <c r="J262" s="191"/>
      <c r="K262" s="190"/>
      <c r="L262" s="191"/>
      <c r="M262" s="190"/>
      <c r="N262" s="191"/>
      <c r="O262" s="190"/>
      <c r="P262" s="191"/>
      <c r="Q262" s="190"/>
      <c r="R262" s="191"/>
      <c r="S262" s="190"/>
      <c r="T262" s="191"/>
      <c r="U262" s="190"/>
      <c r="V262" s="191"/>
      <c r="W262" s="190"/>
      <c r="X262" s="191"/>
      <c r="Y262" s="190"/>
      <c r="Z262" s="191"/>
      <c r="AA262" s="190"/>
      <c r="AB262" s="191"/>
      <c r="AC262" s="190"/>
      <c r="AD262" s="191"/>
      <c r="AE262" s="190"/>
      <c r="AF262" s="191"/>
      <c r="AG262" s="190"/>
      <c r="AH262" s="191"/>
      <c r="AI262" s="190"/>
      <c r="AJ262" s="191"/>
      <c r="AK262" s="190"/>
      <c r="AL262" s="191"/>
      <c r="AM262" s="190"/>
      <c r="AN262" s="191"/>
      <c r="AO262" s="190"/>
      <c r="AP262" s="191"/>
      <c r="AQ262" s="190"/>
      <c r="AR262" s="191"/>
      <c r="AS262" s="190"/>
      <c r="AT262" s="191"/>
      <c r="AU262" s="190"/>
      <c r="AV262" s="191"/>
      <c r="AW262" s="190"/>
      <c r="AX262" s="191"/>
      <c r="AY262" s="190"/>
      <c r="AZ262" s="191"/>
      <c r="BA262" s="145" t="str">
        <f>IFERROR(INDEX($E$4:$AZ$4,SUMPRODUCT(MAX(COLUMN(Tbl_PDSAData[[#This Row],[D1]:[M24]])*(ListLookup!$G$3=Tbl_PDSAData[[#This Row],[D1]:[M24]]))-4)),"")</f>
        <v/>
      </c>
      <c r="BB262" s="145" t="str">
        <f>IFERROR(INDEX($E$4:$AZ$4,SUMPRODUCT(MAX(COLUMN(Tbl_PDSAData[[#This Row],[D1]:[M24]])*(ListLookup!$H$3=Tbl_PDSAData[[#This Row],[D1]:[M24]]))-4)),"")</f>
        <v/>
      </c>
    </row>
    <row r="263" spans="1:54" s="74" customFormat="1" x14ac:dyDescent="0.25">
      <c r="A263" s="189"/>
      <c r="B263" s="134" t="str">
        <f>IFERROR(INDEX(Tbl_ResidentData[Physician],MATCH(Tbl_PDSAData[[#This Row],[Resident Name (last, first)]],Tbl_ResidentData[Resident Name '[last, first']],0))&amp;"","")</f>
        <v/>
      </c>
      <c r="C263" s="135" t="str">
        <f>IFERROR(INDEX(Tbl_ResidentData[Diagnosis (RAI)],MATCH(Tbl_PDSAData[[#This Row],[Resident Name (last, first)]],Tbl_ResidentData[Resident Name '[last, first']],0))&amp;"","")</f>
        <v/>
      </c>
      <c r="D263" s="144" t="str">
        <f>IFERROR(INDEX(Tbl_ResidentData[Clinical Notes
'[free text']],MATCH(Tbl_PDSAData[[#This Row],[Resident Name (last, first)]],Tbl_ResidentData[Resident Name '[last, first']],0))&amp;"","")</f>
        <v/>
      </c>
      <c r="E263" s="190"/>
      <c r="F263" s="191"/>
      <c r="G263" s="190"/>
      <c r="H263" s="191"/>
      <c r="I263" s="190"/>
      <c r="J263" s="191"/>
      <c r="K263" s="190"/>
      <c r="L263" s="191"/>
      <c r="M263" s="190"/>
      <c r="N263" s="191"/>
      <c r="O263" s="190"/>
      <c r="P263" s="191"/>
      <c r="Q263" s="190"/>
      <c r="R263" s="191"/>
      <c r="S263" s="190"/>
      <c r="T263" s="191"/>
      <c r="U263" s="190"/>
      <c r="V263" s="191"/>
      <c r="W263" s="190"/>
      <c r="X263" s="191"/>
      <c r="Y263" s="190"/>
      <c r="Z263" s="191"/>
      <c r="AA263" s="190"/>
      <c r="AB263" s="191"/>
      <c r="AC263" s="190"/>
      <c r="AD263" s="191"/>
      <c r="AE263" s="190"/>
      <c r="AF263" s="191"/>
      <c r="AG263" s="190"/>
      <c r="AH263" s="191"/>
      <c r="AI263" s="190"/>
      <c r="AJ263" s="191"/>
      <c r="AK263" s="190"/>
      <c r="AL263" s="191"/>
      <c r="AM263" s="190"/>
      <c r="AN263" s="191"/>
      <c r="AO263" s="190"/>
      <c r="AP263" s="191"/>
      <c r="AQ263" s="190"/>
      <c r="AR263" s="191"/>
      <c r="AS263" s="190"/>
      <c r="AT263" s="191"/>
      <c r="AU263" s="190"/>
      <c r="AV263" s="191"/>
      <c r="AW263" s="190"/>
      <c r="AX263" s="191"/>
      <c r="AY263" s="190"/>
      <c r="AZ263" s="191"/>
      <c r="BA263" s="145" t="str">
        <f>IFERROR(INDEX($E$4:$AZ$4,SUMPRODUCT(MAX(COLUMN(Tbl_PDSAData[[#This Row],[D1]:[M24]])*(ListLookup!$G$3=Tbl_PDSAData[[#This Row],[D1]:[M24]]))-4)),"")</f>
        <v/>
      </c>
      <c r="BB263" s="145" t="str">
        <f>IFERROR(INDEX($E$4:$AZ$4,SUMPRODUCT(MAX(COLUMN(Tbl_PDSAData[[#This Row],[D1]:[M24]])*(ListLookup!$H$3=Tbl_PDSAData[[#This Row],[D1]:[M24]]))-4)),"")</f>
        <v/>
      </c>
    </row>
    <row r="264" spans="1:54" s="74" customFormat="1" x14ac:dyDescent="0.25">
      <c r="A264" s="189"/>
      <c r="B264" s="134" t="str">
        <f>IFERROR(INDEX(Tbl_ResidentData[Physician],MATCH(Tbl_PDSAData[[#This Row],[Resident Name (last, first)]],Tbl_ResidentData[Resident Name '[last, first']],0))&amp;"","")</f>
        <v/>
      </c>
      <c r="C264" s="135" t="str">
        <f>IFERROR(INDEX(Tbl_ResidentData[Diagnosis (RAI)],MATCH(Tbl_PDSAData[[#This Row],[Resident Name (last, first)]],Tbl_ResidentData[Resident Name '[last, first']],0))&amp;"","")</f>
        <v/>
      </c>
      <c r="D264" s="144" t="str">
        <f>IFERROR(INDEX(Tbl_ResidentData[Clinical Notes
'[free text']],MATCH(Tbl_PDSAData[[#This Row],[Resident Name (last, first)]],Tbl_ResidentData[Resident Name '[last, first']],0))&amp;"","")</f>
        <v/>
      </c>
      <c r="E264" s="190"/>
      <c r="F264" s="191"/>
      <c r="G264" s="190"/>
      <c r="H264" s="191"/>
      <c r="I264" s="190"/>
      <c r="J264" s="191"/>
      <c r="K264" s="190"/>
      <c r="L264" s="191"/>
      <c r="M264" s="190"/>
      <c r="N264" s="191"/>
      <c r="O264" s="190"/>
      <c r="P264" s="191"/>
      <c r="Q264" s="190"/>
      <c r="R264" s="191"/>
      <c r="S264" s="190"/>
      <c r="T264" s="191"/>
      <c r="U264" s="190"/>
      <c r="V264" s="191"/>
      <c r="W264" s="190"/>
      <c r="X264" s="191"/>
      <c r="Y264" s="190"/>
      <c r="Z264" s="191"/>
      <c r="AA264" s="190"/>
      <c r="AB264" s="191"/>
      <c r="AC264" s="190"/>
      <c r="AD264" s="191"/>
      <c r="AE264" s="190"/>
      <c r="AF264" s="191"/>
      <c r="AG264" s="190"/>
      <c r="AH264" s="191"/>
      <c r="AI264" s="190"/>
      <c r="AJ264" s="191"/>
      <c r="AK264" s="190"/>
      <c r="AL264" s="191"/>
      <c r="AM264" s="190"/>
      <c r="AN264" s="191"/>
      <c r="AO264" s="190"/>
      <c r="AP264" s="191"/>
      <c r="AQ264" s="190"/>
      <c r="AR264" s="191"/>
      <c r="AS264" s="190"/>
      <c r="AT264" s="191"/>
      <c r="AU264" s="190"/>
      <c r="AV264" s="191"/>
      <c r="AW264" s="190"/>
      <c r="AX264" s="191"/>
      <c r="AY264" s="190"/>
      <c r="AZ264" s="191"/>
      <c r="BA264" s="145" t="str">
        <f>IFERROR(INDEX($E$4:$AZ$4,SUMPRODUCT(MAX(COLUMN(Tbl_PDSAData[[#This Row],[D1]:[M24]])*(ListLookup!$G$3=Tbl_PDSAData[[#This Row],[D1]:[M24]]))-4)),"")</f>
        <v/>
      </c>
      <c r="BB264" s="145" t="str">
        <f>IFERROR(INDEX($E$4:$AZ$4,SUMPRODUCT(MAX(COLUMN(Tbl_PDSAData[[#This Row],[D1]:[M24]])*(ListLookup!$H$3=Tbl_PDSAData[[#This Row],[D1]:[M24]]))-4)),"")</f>
        <v/>
      </c>
    </row>
    <row r="265" spans="1:54" s="74" customFormat="1" x14ac:dyDescent="0.25">
      <c r="A265" s="189"/>
      <c r="B265" s="134" t="str">
        <f>IFERROR(INDEX(Tbl_ResidentData[Physician],MATCH(Tbl_PDSAData[[#This Row],[Resident Name (last, first)]],Tbl_ResidentData[Resident Name '[last, first']],0))&amp;"","")</f>
        <v/>
      </c>
      <c r="C265" s="135" t="str">
        <f>IFERROR(INDEX(Tbl_ResidentData[Diagnosis (RAI)],MATCH(Tbl_PDSAData[[#This Row],[Resident Name (last, first)]],Tbl_ResidentData[Resident Name '[last, first']],0))&amp;"","")</f>
        <v/>
      </c>
      <c r="D265" s="144" t="str">
        <f>IFERROR(INDEX(Tbl_ResidentData[Clinical Notes
'[free text']],MATCH(Tbl_PDSAData[[#This Row],[Resident Name (last, first)]],Tbl_ResidentData[Resident Name '[last, first']],0))&amp;"","")</f>
        <v/>
      </c>
      <c r="E265" s="190"/>
      <c r="F265" s="191"/>
      <c r="G265" s="190"/>
      <c r="H265" s="191"/>
      <c r="I265" s="190"/>
      <c r="J265" s="191"/>
      <c r="K265" s="190"/>
      <c r="L265" s="191"/>
      <c r="M265" s="190"/>
      <c r="N265" s="191"/>
      <c r="O265" s="190"/>
      <c r="P265" s="191"/>
      <c r="Q265" s="190"/>
      <c r="R265" s="191"/>
      <c r="S265" s="190"/>
      <c r="T265" s="191"/>
      <c r="U265" s="190"/>
      <c r="V265" s="191"/>
      <c r="W265" s="190"/>
      <c r="X265" s="191"/>
      <c r="Y265" s="190"/>
      <c r="Z265" s="191"/>
      <c r="AA265" s="190"/>
      <c r="AB265" s="191"/>
      <c r="AC265" s="190"/>
      <c r="AD265" s="191"/>
      <c r="AE265" s="190"/>
      <c r="AF265" s="191"/>
      <c r="AG265" s="190"/>
      <c r="AH265" s="191"/>
      <c r="AI265" s="190"/>
      <c r="AJ265" s="191"/>
      <c r="AK265" s="190"/>
      <c r="AL265" s="191"/>
      <c r="AM265" s="190"/>
      <c r="AN265" s="191"/>
      <c r="AO265" s="190"/>
      <c r="AP265" s="191"/>
      <c r="AQ265" s="190"/>
      <c r="AR265" s="191"/>
      <c r="AS265" s="190"/>
      <c r="AT265" s="191"/>
      <c r="AU265" s="190"/>
      <c r="AV265" s="191"/>
      <c r="AW265" s="190"/>
      <c r="AX265" s="191"/>
      <c r="AY265" s="190"/>
      <c r="AZ265" s="191"/>
      <c r="BA265" s="145" t="str">
        <f>IFERROR(INDEX($E$4:$AZ$4,SUMPRODUCT(MAX(COLUMN(Tbl_PDSAData[[#This Row],[D1]:[M24]])*(ListLookup!$G$3=Tbl_PDSAData[[#This Row],[D1]:[M24]]))-4)),"")</f>
        <v/>
      </c>
      <c r="BB265" s="145" t="str">
        <f>IFERROR(INDEX($E$4:$AZ$4,SUMPRODUCT(MAX(COLUMN(Tbl_PDSAData[[#This Row],[D1]:[M24]])*(ListLookup!$H$3=Tbl_PDSAData[[#This Row],[D1]:[M24]]))-4)),"")</f>
        <v/>
      </c>
    </row>
    <row r="266" spans="1:54" s="74" customFormat="1" x14ac:dyDescent="0.25">
      <c r="A266" s="189"/>
      <c r="B266" s="134" t="str">
        <f>IFERROR(INDEX(Tbl_ResidentData[Physician],MATCH(Tbl_PDSAData[[#This Row],[Resident Name (last, first)]],Tbl_ResidentData[Resident Name '[last, first']],0))&amp;"","")</f>
        <v/>
      </c>
      <c r="C266" s="135" t="str">
        <f>IFERROR(INDEX(Tbl_ResidentData[Diagnosis (RAI)],MATCH(Tbl_PDSAData[[#This Row],[Resident Name (last, first)]],Tbl_ResidentData[Resident Name '[last, first']],0))&amp;"","")</f>
        <v/>
      </c>
      <c r="D266" s="144" t="str">
        <f>IFERROR(INDEX(Tbl_ResidentData[Clinical Notes
'[free text']],MATCH(Tbl_PDSAData[[#This Row],[Resident Name (last, first)]],Tbl_ResidentData[Resident Name '[last, first']],0))&amp;"","")</f>
        <v/>
      </c>
      <c r="E266" s="190"/>
      <c r="F266" s="191"/>
      <c r="G266" s="190"/>
      <c r="H266" s="191"/>
      <c r="I266" s="190"/>
      <c r="J266" s="191"/>
      <c r="K266" s="190"/>
      <c r="L266" s="191"/>
      <c r="M266" s="190"/>
      <c r="N266" s="191"/>
      <c r="O266" s="190"/>
      <c r="P266" s="191"/>
      <c r="Q266" s="190"/>
      <c r="R266" s="191"/>
      <c r="S266" s="190"/>
      <c r="T266" s="191"/>
      <c r="U266" s="190"/>
      <c r="V266" s="191"/>
      <c r="W266" s="190"/>
      <c r="X266" s="191"/>
      <c r="Y266" s="190"/>
      <c r="Z266" s="191"/>
      <c r="AA266" s="190"/>
      <c r="AB266" s="191"/>
      <c r="AC266" s="190"/>
      <c r="AD266" s="191"/>
      <c r="AE266" s="190"/>
      <c r="AF266" s="191"/>
      <c r="AG266" s="190"/>
      <c r="AH266" s="191"/>
      <c r="AI266" s="190"/>
      <c r="AJ266" s="191"/>
      <c r="AK266" s="190"/>
      <c r="AL266" s="191"/>
      <c r="AM266" s="190"/>
      <c r="AN266" s="191"/>
      <c r="AO266" s="190"/>
      <c r="AP266" s="191"/>
      <c r="AQ266" s="190"/>
      <c r="AR266" s="191"/>
      <c r="AS266" s="190"/>
      <c r="AT266" s="191"/>
      <c r="AU266" s="190"/>
      <c r="AV266" s="191"/>
      <c r="AW266" s="190"/>
      <c r="AX266" s="191"/>
      <c r="AY266" s="190"/>
      <c r="AZ266" s="191"/>
      <c r="BA266" s="145" t="str">
        <f>IFERROR(INDEX($E$4:$AZ$4,SUMPRODUCT(MAX(COLUMN(Tbl_PDSAData[[#This Row],[D1]:[M24]])*(ListLookup!$G$3=Tbl_PDSAData[[#This Row],[D1]:[M24]]))-4)),"")</f>
        <v/>
      </c>
      <c r="BB266" s="145" t="str">
        <f>IFERROR(INDEX($E$4:$AZ$4,SUMPRODUCT(MAX(COLUMN(Tbl_PDSAData[[#This Row],[D1]:[M24]])*(ListLookup!$H$3=Tbl_PDSAData[[#This Row],[D1]:[M24]]))-4)),"")</f>
        <v/>
      </c>
    </row>
    <row r="267" spans="1:54" s="74" customFormat="1" x14ac:dyDescent="0.25">
      <c r="A267" s="189"/>
      <c r="B267" s="134" t="str">
        <f>IFERROR(INDEX(Tbl_ResidentData[Physician],MATCH(Tbl_PDSAData[[#This Row],[Resident Name (last, first)]],Tbl_ResidentData[Resident Name '[last, first']],0))&amp;"","")</f>
        <v/>
      </c>
      <c r="C267" s="135" t="str">
        <f>IFERROR(INDEX(Tbl_ResidentData[Diagnosis (RAI)],MATCH(Tbl_PDSAData[[#This Row],[Resident Name (last, first)]],Tbl_ResidentData[Resident Name '[last, first']],0))&amp;"","")</f>
        <v/>
      </c>
      <c r="D267" s="144" t="str">
        <f>IFERROR(INDEX(Tbl_ResidentData[Clinical Notes
'[free text']],MATCH(Tbl_PDSAData[[#This Row],[Resident Name (last, first)]],Tbl_ResidentData[Resident Name '[last, first']],0))&amp;"","")</f>
        <v/>
      </c>
      <c r="E267" s="190"/>
      <c r="F267" s="191"/>
      <c r="G267" s="190"/>
      <c r="H267" s="191"/>
      <c r="I267" s="190"/>
      <c r="J267" s="191"/>
      <c r="K267" s="190"/>
      <c r="L267" s="191"/>
      <c r="M267" s="190"/>
      <c r="N267" s="191"/>
      <c r="O267" s="190"/>
      <c r="P267" s="191"/>
      <c r="Q267" s="190"/>
      <c r="R267" s="191"/>
      <c r="S267" s="190"/>
      <c r="T267" s="191"/>
      <c r="U267" s="190"/>
      <c r="V267" s="191"/>
      <c r="W267" s="190"/>
      <c r="X267" s="191"/>
      <c r="Y267" s="190"/>
      <c r="Z267" s="191"/>
      <c r="AA267" s="190"/>
      <c r="AB267" s="191"/>
      <c r="AC267" s="190"/>
      <c r="AD267" s="191"/>
      <c r="AE267" s="190"/>
      <c r="AF267" s="191"/>
      <c r="AG267" s="190"/>
      <c r="AH267" s="191"/>
      <c r="AI267" s="190"/>
      <c r="AJ267" s="191"/>
      <c r="AK267" s="190"/>
      <c r="AL267" s="191"/>
      <c r="AM267" s="190"/>
      <c r="AN267" s="191"/>
      <c r="AO267" s="190"/>
      <c r="AP267" s="191"/>
      <c r="AQ267" s="190"/>
      <c r="AR267" s="191"/>
      <c r="AS267" s="190"/>
      <c r="AT267" s="191"/>
      <c r="AU267" s="190"/>
      <c r="AV267" s="191"/>
      <c r="AW267" s="190"/>
      <c r="AX267" s="191"/>
      <c r="AY267" s="190"/>
      <c r="AZ267" s="191"/>
      <c r="BA267" s="145" t="str">
        <f>IFERROR(INDEX($E$4:$AZ$4,SUMPRODUCT(MAX(COLUMN(Tbl_PDSAData[[#This Row],[D1]:[M24]])*(ListLookup!$G$3=Tbl_PDSAData[[#This Row],[D1]:[M24]]))-4)),"")</f>
        <v/>
      </c>
      <c r="BB267" s="145" t="str">
        <f>IFERROR(INDEX($E$4:$AZ$4,SUMPRODUCT(MAX(COLUMN(Tbl_PDSAData[[#This Row],[D1]:[M24]])*(ListLookup!$H$3=Tbl_PDSAData[[#This Row],[D1]:[M24]]))-4)),"")</f>
        <v/>
      </c>
    </row>
    <row r="268" spans="1:54" s="74" customFormat="1" x14ac:dyDescent="0.25">
      <c r="A268" s="189"/>
      <c r="B268" s="134" t="str">
        <f>IFERROR(INDEX(Tbl_ResidentData[Physician],MATCH(Tbl_PDSAData[[#This Row],[Resident Name (last, first)]],Tbl_ResidentData[Resident Name '[last, first']],0))&amp;"","")</f>
        <v/>
      </c>
      <c r="C268" s="135" t="str">
        <f>IFERROR(INDEX(Tbl_ResidentData[Diagnosis (RAI)],MATCH(Tbl_PDSAData[[#This Row],[Resident Name (last, first)]],Tbl_ResidentData[Resident Name '[last, first']],0))&amp;"","")</f>
        <v/>
      </c>
      <c r="D268" s="144" t="str">
        <f>IFERROR(INDEX(Tbl_ResidentData[Clinical Notes
'[free text']],MATCH(Tbl_PDSAData[[#This Row],[Resident Name (last, first)]],Tbl_ResidentData[Resident Name '[last, first']],0))&amp;"","")</f>
        <v/>
      </c>
      <c r="E268" s="190"/>
      <c r="F268" s="191"/>
      <c r="G268" s="190"/>
      <c r="H268" s="191"/>
      <c r="I268" s="190"/>
      <c r="J268" s="191"/>
      <c r="K268" s="190"/>
      <c r="L268" s="191"/>
      <c r="M268" s="190"/>
      <c r="N268" s="191"/>
      <c r="O268" s="190"/>
      <c r="P268" s="191"/>
      <c r="Q268" s="190"/>
      <c r="R268" s="191"/>
      <c r="S268" s="190"/>
      <c r="T268" s="191"/>
      <c r="U268" s="190"/>
      <c r="V268" s="191"/>
      <c r="W268" s="190"/>
      <c r="X268" s="191"/>
      <c r="Y268" s="190"/>
      <c r="Z268" s="191"/>
      <c r="AA268" s="190"/>
      <c r="AB268" s="191"/>
      <c r="AC268" s="190"/>
      <c r="AD268" s="191"/>
      <c r="AE268" s="190"/>
      <c r="AF268" s="191"/>
      <c r="AG268" s="190"/>
      <c r="AH268" s="191"/>
      <c r="AI268" s="190"/>
      <c r="AJ268" s="191"/>
      <c r="AK268" s="190"/>
      <c r="AL268" s="191"/>
      <c r="AM268" s="190"/>
      <c r="AN268" s="191"/>
      <c r="AO268" s="190"/>
      <c r="AP268" s="191"/>
      <c r="AQ268" s="190"/>
      <c r="AR268" s="191"/>
      <c r="AS268" s="190"/>
      <c r="AT268" s="191"/>
      <c r="AU268" s="190"/>
      <c r="AV268" s="191"/>
      <c r="AW268" s="190"/>
      <c r="AX268" s="191"/>
      <c r="AY268" s="190"/>
      <c r="AZ268" s="191"/>
      <c r="BA268" s="145" t="str">
        <f>IFERROR(INDEX($E$4:$AZ$4,SUMPRODUCT(MAX(COLUMN(Tbl_PDSAData[[#This Row],[D1]:[M24]])*(ListLookup!$G$3=Tbl_PDSAData[[#This Row],[D1]:[M24]]))-4)),"")</f>
        <v/>
      </c>
      <c r="BB268" s="145" t="str">
        <f>IFERROR(INDEX($E$4:$AZ$4,SUMPRODUCT(MAX(COLUMN(Tbl_PDSAData[[#This Row],[D1]:[M24]])*(ListLookup!$H$3=Tbl_PDSAData[[#This Row],[D1]:[M24]]))-4)),"")</f>
        <v/>
      </c>
    </row>
    <row r="269" spans="1:54" s="74" customFormat="1" x14ac:dyDescent="0.25">
      <c r="A269" s="189"/>
      <c r="B269" s="134" t="str">
        <f>IFERROR(INDEX(Tbl_ResidentData[Physician],MATCH(Tbl_PDSAData[[#This Row],[Resident Name (last, first)]],Tbl_ResidentData[Resident Name '[last, first']],0))&amp;"","")</f>
        <v/>
      </c>
      <c r="C269" s="135" t="str">
        <f>IFERROR(INDEX(Tbl_ResidentData[Diagnosis (RAI)],MATCH(Tbl_PDSAData[[#This Row],[Resident Name (last, first)]],Tbl_ResidentData[Resident Name '[last, first']],0))&amp;"","")</f>
        <v/>
      </c>
      <c r="D269" s="144" t="str">
        <f>IFERROR(INDEX(Tbl_ResidentData[Clinical Notes
'[free text']],MATCH(Tbl_PDSAData[[#This Row],[Resident Name (last, first)]],Tbl_ResidentData[Resident Name '[last, first']],0))&amp;"","")</f>
        <v/>
      </c>
      <c r="E269" s="190"/>
      <c r="F269" s="191"/>
      <c r="G269" s="190"/>
      <c r="H269" s="191"/>
      <c r="I269" s="190"/>
      <c r="J269" s="191"/>
      <c r="K269" s="190"/>
      <c r="L269" s="191"/>
      <c r="M269" s="190"/>
      <c r="N269" s="191"/>
      <c r="O269" s="190"/>
      <c r="P269" s="191"/>
      <c r="Q269" s="190"/>
      <c r="R269" s="191"/>
      <c r="S269" s="190"/>
      <c r="T269" s="191"/>
      <c r="U269" s="190"/>
      <c r="V269" s="191"/>
      <c r="W269" s="190"/>
      <c r="X269" s="191"/>
      <c r="Y269" s="190"/>
      <c r="Z269" s="191"/>
      <c r="AA269" s="190"/>
      <c r="AB269" s="191"/>
      <c r="AC269" s="190"/>
      <c r="AD269" s="191"/>
      <c r="AE269" s="190"/>
      <c r="AF269" s="191"/>
      <c r="AG269" s="190"/>
      <c r="AH269" s="191"/>
      <c r="AI269" s="190"/>
      <c r="AJ269" s="191"/>
      <c r="AK269" s="190"/>
      <c r="AL269" s="191"/>
      <c r="AM269" s="190"/>
      <c r="AN269" s="191"/>
      <c r="AO269" s="190"/>
      <c r="AP269" s="191"/>
      <c r="AQ269" s="190"/>
      <c r="AR269" s="191"/>
      <c r="AS269" s="190"/>
      <c r="AT269" s="191"/>
      <c r="AU269" s="190"/>
      <c r="AV269" s="191"/>
      <c r="AW269" s="190"/>
      <c r="AX269" s="191"/>
      <c r="AY269" s="190"/>
      <c r="AZ269" s="191"/>
      <c r="BA269" s="145" t="str">
        <f>IFERROR(INDEX($E$4:$AZ$4,SUMPRODUCT(MAX(COLUMN(Tbl_PDSAData[[#This Row],[D1]:[M24]])*(ListLookup!$G$3=Tbl_PDSAData[[#This Row],[D1]:[M24]]))-4)),"")</f>
        <v/>
      </c>
      <c r="BB269" s="145" t="str">
        <f>IFERROR(INDEX($E$4:$AZ$4,SUMPRODUCT(MAX(COLUMN(Tbl_PDSAData[[#This Row],[D1]:[M24]])*(ListLookup!$H$3=Tbl_PDSAData[[#This Row],[D1]:[M24]]))-4)),"")</f>
        <v/>
      </c>
    </row>
    <row r="270" spans="1:54" s="74" customFormat="1" x14ac:dyDescent="0.25">
      <c r="A270" s="189"/>
      <c r="B270" s="134" t="str">
        <f>IFERROR(INDEX(Tbl_ResidentData[Physician],MATCH(Tbl_PDSAData[[#This Row],[Resident Name (last, first)]],Tbl_ResidentData[Resident Name '[last, first']],0))&amp;"","")</f>
        <v/>
      </c>
      <c r="C270" s="135" t="str">
        <f>IFERROR(INDEX(Tbl_ResidentData[Diagnosis (RAI)],MATCH(Tbl_PDSAData[[#This Row],[Resident Name (last, first)]],Tbl_ResidentData[Resident Name '[last, first']],0))&amp;"","")</f>
        <v/>
      </c>
      <c r="D270" s="144" t="str">
        <f>IFERROR(INDEX(Tbl_ResidentData[Clinical Notes
'[free text']],MATCH(Tbl_PDSAData[[#This Row],[Resident Name (last, first)]],Tbl_ResidentData[Resident Name '[last, first']],0))&amp;"","")</f>
        <v/>
      </c>
      <c r="E270" s="190"/>
      <c r="F270" s="191"/>
      <c r="G270" s="190"/>
      <c r="H270" s="191"/>
      <c r="I270" s="190"/>
      <c r="J270" s="191"/>
      <c r="K270" s="190"/>
      <c r="L270" s="191"/>
      <c r="M270" s="190"/>
      <c r="N270" s="191"/>
      <c r="O270" s="190"/>
      <c r="P270" s="191"/>
      <c r="Q270" s="190"/>
      <c r="R270" s="191"/>
      <c r="S270" s="190"/>
      <c r="T270" s="191"/>
      <c r="U270" s="190"/>
      <c r="V270" s="191"/>
      <c r="W270" s="190"/>
      <c r="X270" s="191"/>
      <c r="Y270" s="190"/>
      <c r="Z270" s="191"/>
      <c r="AA270" s="190"/>
      <c r="AB270" s="191"/>
      <c r="AC270" s="190"/>
      <c r="AD270" s="191"/>
      <c r="AE270" s="190"/>
      <c r="AF270" s="191"/>
      <c r="AG270" s="190"/>
      <c r="AH270" s="191"/>
      <c r="AI270" s="190"/>
      <c r="AJ270" s="191"/>
      <c r="AK270" s="190"/>
      <c r="AL270" s="191"/>
      <c r="AM270" s="190"/>
      <c r="AN270" s="191"/>
      <c r="AO270" s="190"/>
      <c r="AP270" s="191"/>
      <c r="AQ270" s="190"/>
      <c r="AR270" s="191"/>
      <c r="AS270" s="190"/>
      <c r="AT270" s="191"/>
      <c r="AU270" s="190"/>
      <c r="AV270" s="191"/>
      <c r="AW270" s="190"/>
      <c r="AX270" s="191"/>
      <c r="AY270" s="190"/>
      <c r="AZ270" s="191"/>
      <c r="BA270" s="145" t="str">
        <f>IFERROR(INDEX($E$4:$AZ$4,SUMPRODUCT(MAX(COLUMN(Tbl_PDSAData[[#This Row],[D1]:[M24]])*(ListLookup!$G$3=Tbl_PDSAData[[#This Row],[D1]:[M24]]))-4)),"")</f>
        <v/>
      </c>
      <c r="BB270" s="145" t="str">
        <f>IFERROR(INDEX($E$4:$AZ$4,SUMPRODUCT(MAX(COLUMN(Tbl_PDSAData[[#This Row],[D1]:[M24]])*(ListLookup!$H$3=Tbl_PDSAData[[#This Row],[D1]:[M24]]))-4)),"")</f>
        <v/>
      </c>
    </row>
    <row r="271" spans="1:54" s="74" customFormat="1" x14ac:dyDescent="0.25">
      <c r="A271" s="189"/>
      <c r="B271" s="134" t="str">
        <f>IFERROR(INDEX(Tbl_ResidentData[Physician],MATCH(Tbl_PDSAData[[#This Row],[Resident Name (last, first)]],Tbl_ResidentData[Resident Name '[last, first']],0))&amp;"","")</f>
        <v/>
      </c>
      <c r="C271" s="135" t="str">
        <f>IFERROR(INDEX(Tbl_ResidentData[Diagnosis (RAI)],MATCH(Tbl_PDSAData[[#This Row],[Resident Name (last, first)]],Tbl_ResidentData[Resident Name '[last, first']],0))&amp;"","")</f>
        <v/>
      </c>
      <c r="D271" s="144" t="str">
        <f>IFERROR(INDEX(Tbl_ResidentData[Clinical Notes
'[free text']],MATCH(Tbl_PDSAData[[#This Row],[Resident Name (last, first)]],Tbl_ResidentData[Resident Name '[last, first']],0))&amp;"","")</f>
        <v/>
      </c>
      <c r="E271" s="190"/>
      <c r="F271" s="191"/>
      <c r="G271" s="190"/>
      <c r="H271" s="191"/>
      <c r="I271" s="190"/>
      <c r="J271" s="191"/>
      <c r="K271" s="190"/>
      <c r="L271" s="191"/>
      <c r="M271" s="190"/>
      <c r="N271" s="191"/>
      <c r="O271" s="190"/>
      <c r="P271" s="191"/>
      <c r="Q271" s="190"/>
      <c r="R271" s="191"/>
      <c r="S271" s="190"/>
      <c r="T271" s="191"/>
      <c r="U271" s="190"/>
      <c r="V271" s="191"/>
      <c r="W271" s="190"/>
      <c r="X271" s="191"/>
      <c r="Y271" s="190"/>
      <c r="Z271" s="191"/>
      <c r="AA271" s="190"/>
      <c r="AB271" s="191"/>
      <c r="AC271" s="190"/>
      <c r="AD271" s="191"/>
      <c r="AE271" s="190"/>
      <c r="AF271" s="191"/>
      <c r="AG271" s="190"/>
      <c r="AH271" s="191"/>
      <c r="AI271" s="190"/>
      <c r="AJ271" s="191"/>
      <c r="AK271" s="190"/>
      <c r="AL271" s="191"/>
      <c r="AM271" s="190"/>
      <c r="AN271" s="191"/>
      <c r="AO271" s="190"/>
      <c r="AP271" s="191"/>
      <c r="AQ271" s="190"/>
      <c r="AR271" s="191"/>
      <c r="AS271" s="190"/>
      <c r="AT271" s="191"/>
      <c r="AU271" s="190"/>
      <c r="AV271" s="191"/>
      <c r="AW271" s="190"/>
      <c r="AX271" s="191"/>
      <c r="AY271" s="190"/>
      <c r="AZ271" s="191"/>
      <c r="BA271" s="145" t="str">
        <f>IFERROR(INDEX($E$4:$AZ$4,SUMPRODUCT(MAX(COLUMN(Tbl_PDSAData[[#This Row],[D1]:[M24]])*(ListLookup!$G$3=Tbl_PDSAData[[#This Row],[D1]:[M24]]))-4)),"")</f>
        <v/>
      </c>
      <c r="BB271" s="145" t="str">
        <f>IFERROR(INDEX($E$4:$AZ$4,SUMPRODUCT(MAX(COLUMN(Tbl_PDSAData[[#This Row],[D1]:[M24]])*(ListLookup!$H$3=Tbl_PDSAData[[#This Row],[D1]:[M24]]))-4)),"")</f>
        <v/>
      </c>
    </row>
    <row r="272" spans="1:54" s="74" customFormat="1" x14ac:dyDescent="0.25">
      <c r="A272" s="189"/>
      <c r="B272" s="134" t="str">
        <f>IFERROR(INDEX(Tbl_ResidentData[Physician],MATCH(Tbl_PDSAData[[#This Row],[Resident Name (last, first)]],Tbl_ResidentData[Resident Name '[last, first']],0))&amp;"","")</f>
        <v/>
      </c>
      <c r="C272" s="135" t="str">
        <f>IFERROR(INDEX(Tbl_ResidentData[Diagnosis (RAI)],MATCH(Tbl_PDSAData[[#This Row],[Resident Name (last, first)]],Tbl_ResidentData[Resident Name '[last, first']],0))&amp;"","")</f>
        <v/>
      </c>
      <c r="D272" s="144" t="str">
        <f>IFERROR(INDEX(Tbl_ResidentData[Clinical Notes
'[free text']],MATCH(Tbl_PDSAData[[#This Row],[Resident Name (last, first)]],Tbl_ResidentData[Resident Name '[last, first']],0))&amp;"","")</f>
        <v/>
      </c>
      <c r="E272" s="190"/>
      <c r="F272" s="191"/>
      <c r="G272" s="190"/>
      <c r="H272" s="191"/>
      <c r="I272" s="190"/>
      <c r="J272" s="191"/>
      <c r="K272" s="190"/>
      <c r="L272" s="191"/>
      <c r="M272" s="190"/>
      <c r="N272" s="191"/>
      <c r="O272" s="190"/>
      <c r="P272" s="191"/>
      <c r="Q272" s="190"/>
      <c r="R272" s="191"/>
      <c r="S272" s="190"/>
      <c r="T272" s="191"/>
      <c r="U272" s="190"/>
      <c r="V272" s="191"/>
      <c r="W272" s="190"/>
      <c r="X272" s="191"/>
      <c r="Y272" s="190"/>
      <c r="Z272" s="191"/>
      <c r="AA272" s="190"/>
      <c r="AB272" s="191"/>
      <c r="AC272" s="190"/>
      <c r="AD272" s="191"/>
      <c r="AE272" s="190"/>
      <c r="AF272" s="191"/>
      <c r="AG272" s="190"/>
      <c r="AH272" s="191"/>
      <c r="AI272" s="190"/>
      <c r="AJ272" s="191"/>
      <c r="AK272" s="190"/>
      <c r="AL272" s="191"/>
      <c r="AM272" s="190"/>
      <c r="AN272" s="191"/>
      <c r="AO272" s="190"/>
      <c r="AP272" s="191"/>
      <c r="AQ272" s="190"/>
      <c r="AR272" s="191"/>
      <c r="AS272" s="190"/>
      <c r="AT272" s="191"/>
      <c r="AU272" s="190"/>
      <c r="AV272" s="191"/>
      <c r="AW272" s="190"/>
      <c r="AX272" s="191"/>
      <c r="AY272" s="190"/>
      <c r="AZ272" s="191"/>
      <c r="BA272" s="145" t="str">
        <f>IFERROR(INDEX($E$4:$AZ$4,SUMPRODUCT(MAX(COLUMN(Tbl_PDSAData[[#This Row],[D1]:[M24]])*(ListLookup!$G$3=Tbl_PDSAData[[#This Row],[D1]:[M24]]))-4)),"")</f>
        <v/>
      </c>
      <c r="BB272" s="145" t="str">
        <f>IFERROR(INDEX($E$4:$AZ$4,SUMPRODUCT(MAX(COLUMN(Tbl_PDSAData[[#This Row],[D1]:[M24]])*(ListLookup!$H$3=Tbl_PDSAData[[#This Row],[D1]:[M24]]))-4)),"")</f>
        <v/>
      </c>
    </row>
    <row r="273" spans="1:54" s="74" customFormat="1" x14ac:dyDescent="0.25">
      <c r="A273" s="189"/>
      <c r="B273" s="134" t="str">
        <f>IFERROR(INDEX(Tbl_ResidentData[Physician],MATCH(Tbl_PDSAData[[#This Row],[Resident Name (last, first)]],Tbl_ResidentData[Resident Name '[last, first']],0))&amp;"","")</f>
        <v/>
      </c>
      <c r="C273" s="135" t="str">
        <f>IFERROR(INDEX(Tbl_ResidentData[Diagnosis (RAI)],MATCH(Tbl_PDSAData[[#This Row],[Resident Name (last, first)]],Tbl_ResidentData[Resident Name '[last, first']],0))&amp;"","")</f>
        <v/>
      </c>
      <c r="D273" s="144" t="str">
        <f>IFERROR(INDEX(Tbl_ResidentData[Clinical Notes
'[free text']],MATCH(Tbl_PDSAData[[#This Row],[Resident Name (last, first)]],Tbl_ResidentData[Resident Name '[last, first']],0))&amp;"","")</f>
        <v/>
      </c>
      <c r="E273" s="190"/>
      <c r="F273" s="191"/>
      <c r="G273" s="190"/>
      <c r="H273" s="191"/>
      <c r="I273" s="190"/>
      <c r="J273" s="191"/>
      <c r="K273" s="190"/>
      <c r="L273" s="191"/>
      <c r="M273" s="190"/>
      <c r="N273" s="191"/>
      <c r="O273" s="190"/>
      <c r="P273" s="191"/>
      <c r="Q273" s="190"/>
      <c r="R273" s="191"/>
      <c r="S273" s="190"/>
      <c r="T273" s="191"/>
      <c r="U273" s="190"/>
      <c r="V273" s="191"/>
      <c r="W273" s="190"/>
      <c r="X273" s="191"/>
      <c r="Y273" s="190"/>
      <c r="Z273" s="191"/>
      <c r="AA273" s="190"/>
      <c r="AB273" s="191"/>
      <c r="AC273" s="190"/>
      <c r="AD273" s="191"/>
      <c r="AE273" s="190"/>
      <c r="AF273" s="191"/>
      <c r="AG273" s="190"/>
      <c r="AH273" s="191"/>
      <c r="AI273" s="190"/>
      <c r="AJ273" s="191"/>
      <c r="AK273" s="190"/>
      <c r="AL273" s="191"/>
      <c r="AM273" s="190"/>
      <c r="AN273" s="191"/>
      <c r="AO273" s="190"/>
      <c r="AP273" s="191"/>
      <c r="AQ273" s="190"/>
      <c r="AR273" s="191"/>
      <c r="AS273" s="190"/>
      <c r="AT273" s="191"/>
      <c r="AU273" s="190"/>
      <c r="AV273" s="191"/>
      <c r="AW273" s="190"/>
      <c r="AX273" s="191"/>
      <c r="AY273" s="190"/>
      <c r="AZ273" s="191"/>
      <c r="BA273" s="145" t="str">
        <f>IFERROR(INDEX($E$4:$AZ$4,SUMPRODUCT(MAX(COLUMN(Tbl_PDSAData[[#This Row],[D1]:[M24]])*(ListLookup!$G$3=Tbl_PDSAData[[#This Row],[D1]:[M24]]))-4)),"")</f>
        <v/>
      </c>
      <c r="BB273" s="145" t="str">
        <f>IFERROR(INDEX($E$4:$AZ$4,SUMPRODUCT(MAX(COLUMN(Tbl_PDSAData[[#This Row],[D1]:[M24]])*(ListLookup!$H$3=Tbl_PDSAData[[#This Row],[D1]:[M24]]))-4)),"")</f>
        <v/>
      </c>
    </row>
    <row r="274" spans="1:54" s="74" customFormat="1" x14ac:dyDescent="0.25">
      <c r="A274" s="189"/>
      <c r="B274" s="134" t="str">
        <f>IFERROR(INDEX(Tbl_ResidentData[Physician],MATCH(Tbl_PDSAData[[#This Row],[Resident Name (last, first)]],Tbl_ResidentData[Resident Name '[last, first']],0))&amp;"","")</f>
        <v/>
      </c>
      <c r="C274" s="135" t="str">
        <f>IFERROR(INDEX(Tbl_ResidentData[Diagnosis (RAI)],MATCH(Tbl_PDSAData[[#This Row],[Resident Name (last, first)]],Tbl_ResidentData[Resident Name '[last, first']],0))&amp;"","")</f>
        <v/>
      </c>
      <c r="D274" s="144" t="str">
        <f>IFERROR(INDEX(Tbl_ResidentData[Clinical Notes
'[free text']],MATCH(Tbl_PDSAData[[#This Row],[Resident Name (last, first)]],Tbl_ResidentData[Resident Name '[last, first']],0))&amp;"","")</f>
        <v/>
      </c>
      <c r="E274" s="190"/>
      <c r="F274" s="191"/>
      <c r="G274" s="190"/>
      <c r="H274" s="191"/>
      <c r="I274" s="190"/>
      <c r="J274" s="191"/>
      <c r="K274" s="190"/>
      <c r="L274" s="191"/>
      <c r="M274" s="190"/>
      <c r="N274" s="191"/>
      <c r="O274" s="190"/>
      <c r="P274" s="191"/>
      <c r="Q274" s="190"/>
      <c r="R274" s="191"/>
      <c r="S274" s="190"/>
      <c r="T274" s="191"/>
      <c r="U274" s="190"/>
      <c r="V274" s="191"/>
      <c r="W274" s="190"/>
      <c r="X274" s="191"/>
      <c r="Y274" s="190"/>
      <c r="Z274" s="191"/>
      <c r="AA274" s="190"/>
      <c r="AB274" s="191"/>
      <c r="AC274" s="190"/>
      <c r="AD274" s="191"/>
      <c r="AE274" s="190"/>
      <c r="AF274" s="191"/>
      <c r="AG274" s="190"/>
      <c r="AH274" s="191"/>
      <c r="AI274" s="190"/>
      <c r="AJ274" s="191"/>
      <c r="AK274" s="190"/>
      <c r="AL274" s="191"/>
      <c r="AM274" s="190"/>
      <c r="AN274" s="191"/>
      <c r="AO274" s="190"/>
      <c r="AP274" s="191"/>
      <c r="AQ274" s="190"/>
      <c r="AR274" s="191"/>
      <c r="AS274" s="190"/>
      <c r="AT274" s="191"/>
      <c r="AU274" s="190"/>
      <c r="AV274" s="191"/>
      <c r="AW274" s="190"/>
      <c r="AX274" s="191"/>
      <c r="AY274" s="190"/>
      <c r="AZ274" s="191"/>
      <c r="BA274" s="145" t="str">
        <f>IFERROR(INDEX($E$4:$AZ$4,SUMPRODUCT(MAX(COLUMN(Tbl_PDSAData[[#This Row],[D1]:[M24]])*(ListLookup!$G$3=Tbl_PDSAData[[#This Row],[D1]:[M24]]))-4)),"")</f>
        <v/>
      </c>
      <c r="BB274" s="145" t="str">
        <f>IFERROR(INDEX($E$4:$AZ$4,SUMPRODUCT(MAX(COLUMN(Tbl_PDSAData[[#This Row],[D1]:[M24]])*(ListLookup!$H$3=Tbl_PDSAData[[#This Row],[D1]:[M24]]))-4)),"")</f>
        <v/>
      </c>
    </row>
    <row r="275" spans="1:54" s="74" customFormat="1" x14ac:dyDescent="0.25">
      <c r="A275" s="189"/>
      <c r="B275" s="134" t="str">
        <f>IFERROR(INDEX(Tbl_ResidentData[Physician],MATCH(Tbl_PDSAData[[#This Row],[Resident Name (last, first)]],Tbl_ResidentData[Resident Name '[last, first']],0))&amp;"","")</f>
        <v/>
      </c>
      <c r="C275" s="135" t="str">
        <f>IFERROR(INDEX(Tbl_ResidentData[Diagnosis (RAI)],MATCH(Tbl_PDSAData[[#This Row],[Resident Name (last, first)]],Tbl_ResidentData[Resident Name '[last, first']],0))&amp;"","")</f>
        <v/>
      </c>
      <c r="D275" s="144" t="str">
        <f>IFERROR(INDEX(Tbl_ResidentData[Clinical Notes
'[free text']],MATCH(Tbl_PDSAData[[#This Row],[Resident Name (last, first)]],Tbl_ResidentData[Resident Name '[last, first']],0))&amp;"","")</f>
        <v/>
      </c>
      <c r="E275" s="190"/>
      <c r="F275" s="191"/>
      <c r="G275" s="190"/>
      <c r="H275" s="191"/>
      <c r="I275" s="190"/>
      <c r="J275" s="191"/>
      <c r="K275" s="190"/>
      <c r="L275" s="191"/>
      <c r="M275" s="190"/>
      <c r="N275" s="191"/>
      <c r="O275" s="190"/>
      <c r="P275" s="191"/>
      <c r="Q275" s="190"/>
      <c r="R275" s="191"/>
      <c r="S275" s="190"/>
      <c r="T275" s="191"/>
      <c r="U275" s="190"/>
      <c r="V275" s="191"/>
      <c r="W275" s="190"/>
      <c r="X275" s="191"/>
      <c r="Y275" s="190"/>
      <c r="Z275" s="191"/>
      <c r="AA275" s="190"/>
      <c r="AB275" s="191"/>
      <c r="AC275" s="190"/>
      <c r="AD275" s="191"/>
      <c r="AE275" s="190"/>
      <c r="AF275" s="191"/>
      <c r="AG275" s="190"/>
      <c r="AH275" s="191"/>
      <c r="AI275" s="190"/>
      <c r="AJ275" s="191"/>
      <c r="AK275" s="190"/>
      <c r="AL275" s="191"/>
      <c r="AM275" s="190"/>
      <c r="AN275" s="191"/>
      <c r="AO275" s="190"/>
      <c r="AP275" s="191"/>
      <c r="AQ275" s="190"/>
      <c r="AR275" s="191"/>
      <c r="AS275" s="190"/>
      <c r="AT275" s="191"/>
      <c r="AU275" s="190"/>
      <c r="AV275" s="191"/>
      <c r="AW275" s="190"/>
      <c r="AX275" s="191"/>
      <c r="AY275" s="190"/>
      <c r="AZ275" s="191"/>
      <c r="BA275" s="145" t="str">
        <f>IFERROR(INDEX($E$4:$AZ$4,SUMPRODUCT(MAX(COLUMN(Tbl_PDSAData[[#This Row],[D1]:[M24]])*(ListLookup!$G$3=Tbl_PDSAData[[#This Row],[D1]:[M24]]))-4)),"")</f>
        <v/>
      </c>
      <c r="BB275" s="145" t="str">
        <f>IFERROR(INDEX($E$4:$AZ$4,SUMPRODUCT(MAX(COLUMN(Tbl_PDSAData[[#This Row],[D1]:[M24]])*(ListLookup!$H$3=Tbl_PDSAData[[#This Row],[D1]:[M24]]))-4)),"")</f>
        <v/>
      </c>
    </row>
    <row r="276" spans="1:54" s="74" customFormat="1" x14ac:dyDescent="0.25">
      <c r="A276" s="189"/>
      <c r="B276" s="134" t="str">
        <f>IFERROR(INDEX(Tbl_ResidentData[Physician],MATCH(Tbl_PDSAData[[#This Row],[Resident Name (last, first)]],Tbl_ResidentData[Resident Name '[last, first']],0))&amp;"","")</f>
        <v/>
      </c>
      <c r="C276" s="135" t="str">
        <f>IFERROR(INDEX(Tbl_ResidentData[Diagnosis (RAI)],MATCH(Tbl_PDSAData[[#This Row],[Resident Name (last, first)]],Tbl_ResidentData[Resident Name '[last, first']],0))&amp;"","")</f>
        <v/>
      </c>
      <c r="D276" s="144" t="str">
        <f>IFERROR(INDEX(Tbl_ResidentData[Clinical Notes
'[free text']],MATCH(Tbl_PDSAData[[#This Row],[Resident Name (last, first)]],Tbl_ResidentData[Resident Name '[last, first']],0))&amp;"","")</f>
        <v/>
      </c>
      <c r="E276" s="190"/>
      <c r="F276" s="191"/>
      <c r="G276" s="190"/>
      <c r="H276" s="191"/>
      <c r="I276" s="190"/>
      <c r="J276" s="191"/>
      <c r="K276" s="190"/>
      <c r="L276" s="191"/>
      <c r="M276" s="190"/>
      <c r="N276" s="191"/>
      <c r="O276" s="190"/>
      <c r="P276" s="191"/>
      <c r="Q276" s="190"/>
      <c r="R276" s="191"/>
      <c r="S276" s="190"/>
      <c r="T276" s="191"/>
      <c r="U276" s="190"/>
      <c r="V276" s="191"/>
      <c r="W276" s="190"/>
      <c r="X276" s="191"/>
      <c r="Y276" s="190"/>
      <c r="Z276" s="191"/>
      <c r="AA276" s="190"/>
      <c r="AB276" s="191"/>
      <c r="AC276" s="190"/>
      <c r="AD276" s="191"/>
      <c r="AE276" s="190"/>
      <c r="AF276" s="191"/>
      <c r="AG276" s="190"/>
      <c r="AH276" s="191"/>
      <c r="AI276" s="190"/>
      <c r="AJ276" s="191"/>
      <c r="AK276" s="190"/>
      <c r="AL276" s="191"/>
      <c r="AM276" s="190"/>
      <c r="AN276" s="191"/>
      <c r="AO276" s="190"/>
      <c r="AP276" s="191"/>
      <c r="AQ276" s="190"/>
      <c r="AR276" s="191"/>
      <c r="AS276" s="190"/>
      <c r="AT276" s="191"/>
      <c r="AU276" s="190"/>
      <c r="AV276" s="191"/>
      <c r="AW276" s="190"/>
      <c r="AX276" s="191"/>
      <c r="AY276" s="190"/>
      <c r="AZ276" s="191"/>
      <c r="BA276" s="145" t="str">
        <f>IFERROR(INDEX($E$4:$AZ$4,SUMPRODUCT(MAX(COLUMN(Tbl_PDSAData[[#This Row],[D1]:[M24]])*(ListLookup!$G$3=Tbl_PDSAData[[#This Row],[D1]:[M24]]))-4)),"")</f>
        <v/>
      </c>
      <c r="BB276" s="145" t="str">
        <f>IFERROR(INDEX($E$4:$AZ$4,SUMPRODUCT(MAX(COLUMN(Tbl_PDSAData[[#This Row],[D1]:[M24]])*(ListLookup!$H$3=Tbl_PDSAData[[#This Row],[D1]:[M24]]))-4)),"")</f>
        <v/>
      </c>
    </row>
    <row r="277" spans="1:54" s="74" customFormat="1" x14ac:dyDescent="0.25">
      <c r="A277" s="189"/>
      <c r="B277" s="134" t="str">
        <f>IFERROR(INDEX(Tbl_ResidentData[Physician],MATCH(Tbl_PDSAData[[#This Row],[Resident Name (last, first)]],Tbl_ResidentData[Resident Name '[last, first']],0))&amp;"","")</f>
        <v/>
      </c>
      <c r="C277" s="135" t="str">
        <f>IFERROR(INDEX(Tbl_ResidentData[Diagnosis (RAI)],MATCH(Tbl_PDSAData[[#This Row],[Resident Name (last, first)]],Tbl_ResidentData[Resident Name '[last, first']],0))&amp;"","")</f>
        <v/>
      </c>
      <c r="D277" s="144" t="str">
        <f>IFERROR(INDEX(Tbl_ResidentData[Clinical Notes
'[free text']],MATCH(Tbl_PDSAData[[#This Row],[Resident Name (last, first)]],Tbl_ResidentData[Resident Name '[last, first']],0))&amp;"","")</f>
        <v/>
      </c>
      <c r="E277" s="190"/>
      <c r="F277" s="191"/>
      <c r="G277" s="190"/>
      <c r="H277" s="191"/>
      <c r="I277" s="190"/>
      <c r="J277" s="191"/>
      <c r="K277" s="190"/>
      <c r="L277" s="191"/>
      <c r="M277" s="190"/>
      <c r="N277" s="191"/>
      <c r="O277" s="190"/>
      <c r="P277" s="191"/>
      <c r="Q277" s="190"/>
      <c r="R277" s="191"/>
      <c r="S277" s="190"/>
      <c r="T277" s="191"/>
      <c r="U277" s="190"/>
      <c r="V277" s="191"/>
      <c r="W277" s="190"/>
      <c r="X277" s="191"/>
      <c r="Y277" s="190"/>
      <c r="Z277" s="191"/>
      <c r="AA277" s="190"/>
      <c r="AB277" s="191"/>
      <c r="AC277" s="190"/>
      <c r="AD277" s="191"/>
      <c r="AE277" s="190"/>
      <c r="AF277" s="191"/>
      <c r="AG277" s="190"/>
      <c r="AH277" s="191"/>
      <c r="AI277" s="190"/>
      <c r="AJ277" s="191"/>
      <c r="AK277" s="190"/>
      <c r="AL277" s="191"/>
      <c r="AM277" s="190"/>
      <c r="AN277" s="191"/>
      <c r="AO277" s="190"/>
      <c r="AP277" s="191"/>
      <c r="AQ277" s="190"/>
      <c r="AR277" s="191"/>
      <c r="AS277" s="190"/>
      <c r="AT277" s="191"/>
      <c r="AU277" s="190"/>
      <c r="AV277" s="191"/>
      <c r="AW277" s="190"/>
      <c r="AX277" s="191"/>
      <c r="AY277" s="190"/>
      <c r="AZ277" s="191"/>
      <c r="BA277" s="145" t="str">
        <f>IFERROR(INDEX($E$4:$AZ$4,SUMPRODUCT(MAX(COLUMN(Tbl_PDSAData[[#This Row],[D1]:[M24]])*(ListLookup!$G$3=Tbl_PDSAData[[#This Row],[D1]:[M24]]))-4)),"")</f>
        <v/>
      </c>
      <c r="BB277" s="145" t="str">
        <f>IFERROR(INDEX($E$4:$AZ$4,SUMPRODUCT(MAX(COLUMN(Tbl_PDSAData[[#This Row],[D1]:[M24]])*(ListLookup!$H$3=Tbl_PDSAData[[#This Row],[D1]:[M24]]))-4)),"")</f>
        <v/>
      </c>
    </row>
    <row r="278" spans="1:54" s="74" customFormat="1" x14ac:dyDescent="0.25">
      <c r="A278" s="189"/>
      <c r="B278" s="134" t="str">
        <f>IFERROR(INDEX(Tbl_ResidentData[Physician],MATCH(Tbl_PDSAData[[#This Row],[Resident Name (last, first)]],Tbl_ResidentData[Resident Name '[last, first']],0))&amp;"","")</f>
        <v/>
      </c>
      <c r="C278" s="135" t="str">
        <f>IFERROR(INDEX(Tbl_ResidentData[Diagnosis (RAI)],MATCH(Tbl_PDSAData[[#This Row],[Resident Name (last, first)]],Tbl_ResidentData[Resident Name '[last, first']],0))&amp;"","")</f>
        <v/>
      </c>
      <c r="D278" s="144" t="str">
        <f>IFERROR(INDEX(Tbl_ResidentData[Clinical Notes
'[free text']],MATCH(Tbl_PDSAData[[#This Row],[Resident Name (last, first)]],Tbl_ResidentData[Resident Name '[last, first']],0))&amp;"","")</f>
        <v/>
      </c>
      <c r="E278" s="190"/>
      <c r="F278" s="191"/>
      <c r="G278" s="190"/>
      <c r="H278" s="191"/>
      <c r="I278" s="190"/>
      <c r="J278" s="191"/>
      <c r="K278" s="190"/>
      <c r="L278" s="191"/>
      <c r="M278" s="190"/>
      <c r="N278" s="191"/>
      <c r="O278" s="190"/>
      <c r="P278" s="191"/>
      <c r="Q278" s="190"/>
      <c r="R278" s="191"/>
      <c r="S278" s="190"/>
      <c r="T278" s="191"/>
      <c r="U278" s="190"/>
      <c r="V278" s="191"/>
      <c r="W278" s="190"/>
      <c r="X278" s="191"/>
      <c r="Y278" s="190"/>
      <c r="Z278" s="191"/>
      <c r="AA278" s="190"/>
      <c r="AB278" s="191"/>
      <c r="AC278" s="190"/>
      <c r="AD278" s="191"/>
      <c r="AE278" s="190"/>
      <c r="AF278" s="191"/>
      <c r="AG278" s="190"/>
      <c r="AH278" s="191"/>
      <c r="AI278" s="190"/>
      <c r="AJ278" s="191"/>
      <c r="AK278" s="190"/>
      <c r="AL278" s="191"/>
      <c r="AM278" s="190"/>
      <c r="AN278" s="191"/>
      <c r="AO278" s="190"/>
      <c r="AP278" s="191"/>
      <c r="AQ278" s="190"/>
      <c r="AR278" s="191"/>
      <c r="AS278" s="190"/>
      <c r="AT278" s="191"/>
      <c r="AU278" s="190"/>
      <c r="AV278" s="191"/>
      <c r="AW278" s="190"/>
      <c r="AX278" s="191"/>
      <c r="AY278" s="190"/>
      <c r="AZ278" s="191"/>
      <c r="BA278" s="145" t="str">
        <f>IFERROR(INDEX($E$4:$AZ$4,SUMPRODUCT(MAX(COLUMN(Tbl_PDSAData[[#This Row],[D1]:[M24]])*(ListLookup!$G$3=Tbl_PDSAData[[#This Row],[D1]:[M24]]))-4)),"")</f>
        <v/>
      </c>
      <c r="BB278" s="145" t="str">
        <f>IFERROR(INDEX($E$4:$AZ$4,SUMPRODUCT(MAX(COLUMN(Tbl_PDSAData[[#This Row],[D1]:[M24]])*(ListLookup!$H$3=Tbl_PDSAData[[#This Row],[D1]:[M24]]))-4)),"")</f>
        <v/>
      </c>
    </row>
    <row r="279" spans="1:54" s="74" customFormat="1" x14ac:dyDescent="0.25">
      <c r="A279" s="189"/>
      <c r="B279" s="134" t="str">
        <f>IFERROR(INDEX(Tbl_ResidentData[Physician],MATCH(Tbl_PDSAData[[#This Row],[Resident Name (last, first)]],Tbl_ResidentData[Resident Name '[last, first']],0))&amp;"","")</f>
        <v/>
      </c>
      <c r="C279" s="135" t="str">
        <f>IFERROR(INDEX(Tbl_ResidentData[Diagnosis (RAI)],MATCH(Tbl_PDSAData[[#This Row],[Resident Name (last, first)]],Tbl_ResidentData[Resident Name '[last, first']],0))&amp;"","")</f>
        <v/>
      </c>
      <c r="D279" s="144" t="str">
        <f>IFERROR(INDEX(Tbl_ResidentData[Clinical Notes
'[free text']],MATCH(Tbl_PDSAData[[#This Row],[Resident Name (last, first)]],Tbl_ResidentData[Resident Name '[last, first']],0))&amp;"","")</f>
        <v/>
      </c>
      <c r="E279" s="190"/>
      <c r="F279" s="191"/>
      <c r="G279" s="190"/>
      <c r="H279" s="191"/>
      <c r="I279" s="190"/>
      <c r="J279" s="191"/>
      <c r="K279" s="190"/>
      <c r="L279" s="191"/>
      <c r="M279" s="190"/>
      <c r="N279" s="191"/>
      <c r="O279" s="190"/>
      <c r="P279" s="191"/>
      <c r="Q279" s="190"/>
      <c r="R279" s="191"/>
      <c r="S279" s="190"/>
      <c r="T279" s="191"/>
      <c r="U279" s="190"/>
      <c r="V279" s="191"/>
      <c r="W279" s="190"/>
      <c r="X279" s="191"/>
      <c r="Y279" s="190"/>
      <c r="Z279" s="191"/>
      <c r="AA279" s="190"/>
      <c r="AB279" s="191"/>
      <c r="AC279" s="190"/>
      <c r="AD279" s="191"/>
      <c r="AE279" s="190"/>
      <c r="AF279" s="191"/>
      <c r="AG279" s="190"/>
      <c r="AH279" s="191"/>
      <c r="AI279" s="190"/>
      <c r="AJ279" s="191"/>
      <c r="AK279" s="190"/>
      <c r="AL279" s="191"/>
      <c r="AM279" s="190"/>
      <c r="AN279" s="191"/>
      <c r="AO279" s="190"/>
      <c r="AP279" s="191"/>
      <c r="AQ279" s="190"/>
      <c r="AR279" s="191"/>
      <c r="AS279" s="190"/>
      <c r="AT279" s="191"/>
      <c r="AU279" s="190"/>
      <c r="AV279" s="191"/>
      <c r="AW279" s="190"/>
      <c r="AX279" s="191"/>
      <c r="AY279" s="190"/>
      <c r="AZ279" s="191"/>
      <c r="BA279" s="145" t="str">
        <f>IFERROR(INDEX($E$4:$AZ$4,SUMPRODUCT(MAX(COLUMN(Tbl_PDSAData[[#This Row],[D1]:[M24]])*(ListLookup!$G$3=Tbl_PDSAData[[#This Row],[D1]:[M24]]))-4)),"")</f>
        <v/>
      </c>
      <c r="BB279" s="145" t="str">
        <f>IFERROR(INDEX($E$4:$AZ$4,SUMPRODUCT(MAX(COLUMN(Tbl_PDSAData[[#This Row],[D1]:[M24]])*(ListLookup!$H$3=Tbl_PDSAData[[#This Row],[D1]:[M24]]))-4)),"")</f>
        <v/>
      </c>
    </row>
    <row r="280" spans="1:54" s="74" customFormat="1" x14ac:dyDescent="0.25">
      <c r="A280" s="189"/>
      <c r="B280" s="134" t="str">
        <f>IFERROR(INDEX(Tbl_ResidentData[Physician],MATCH(Tbl_PDSAData[[#This Row],[Resident Name (last, first)]],Tbl_ResidentData[Resident Name '[last, first']],0))&amp;"","")</f>
        <v/>
      </c>
      <c r="C280" s="135" t="str">
        <f>IFERROR(INDEX(Tbl_ResidentData[Diagnosis (RAI)],MATCH(Tbl_PDSAData[[#This Row],[Resident Name (last, first)]],Tbl_ResidentData[Resident Name '[last, first']],0))&amp;"","")</f>
        <v/>
      </c>
      <c r="D280" s="144" t="str">
        <f>IFERROR(INDEX(Tbl_ResidentData[Clinical Notes
'[free text']],MATCH(Tbl_PDSAData[[#This Row],[Resident Name (last, first)]],Tbl_ResidentData[Resident Name '[last, first']],0))&amp;"","")</f>
        <v/>
      </c>
      <c r="E280" s="190"/>
      <c r="F280" s="191"/>
      <c r="G280" s="190"/>
      <c r="H280" s="191"/>
      <c r="I280" s="190"/>
      <c r="J280" s="191"/>
      <c r="K280" s="190"/>
      <c r="L280" s="191"/>
      <c r="M280" s="190"/>
      <c r="N280" s="191"/>
      <c r="O280" s="190"/>
      <c r="P280" s="191"/>
      <c r="Q280" s="190"/>
      <c r="R280" s="191"/>
      <c r="S280" s="190"/>
      <c r="T280" s="191"/>
      <c r="U280" s="190"/>
      <c r="V280" s="191"/>
      <c r="W280" s="190"/>
      <c r="X280" s="191"/>
      <c r="Y280" s="190"/>
      <c r="Z280" s="191"/>
      <c r="AA280" s="190"/>
      <c r="AB280" s="191"/>
      <c r="AC280" s="190"/>
      <c r="AD280" s="191"/>
      <c r="AE280" s="190"/>
      <c r="AF280" s="191"/>
      <c r="AG280" s="190"/>
      <c r="AH280" s="191"/>
      <c r="AI280" s="190"/>
      <c r="AJ280" s="191"/>
      <c r="AK280" s="190"/>
      <c r="AL280" s="191"/>
      <c r="AM280" s="190"/>
      <c r="AN280" s="191"/>
      <c r="AO280" s="190"/>
      <c r="AP280" s="191"/>
      <c r="AQ280" s="190"/>
      <c r="AR280" s="191"/>
      <c r="AS280" s="190"/>
      <c r="AT280" s="191"/>
      <c r="AU280" s="190"/>
      <c r="AV280" s="191"/>
      <c r="AW280" s="190"/>
      <c r="AX280" s="191"/>
      <c r="AY280" s="190"/>
      <c r="AZ280" s="191"/>
      <c r="BA280" s="145" t="str">
        <f>IFERROR(INDEX($E$4:$AZ$4,SUMPRODUCT(MAX(COLUMN(Tbl_PDSAData[[#This Row],[D1]:[M24]])*(ListLookup!$G$3=Tbl_PDSAData[[#This Row],[D1]:[M24]]))-4)),"")</f>
        <v/>
      </c>
      <c r="BB280" s="145" t="str">
        <f>IFERROR(INDEX($E$4:$AZ$4,SUMPRODUCT(MAX(COLUMN(Tbl_PDSAData[[#This Row],[D1]:[M24]])*(ListLookup!$H$3=Tbl_PDSAData[[#This Row],[D1]:[M24]]))-4)),"")</f>
        <v/>
      </c>
    </row>
    <row r="281" spans="1:54" s="74" customFormat="1" x14ac:dyDescent="0.25">
      <c r="A281" s="189"/>
      <c r="B281" s="134" t="str">
        <f>IFERROR(INDEX(Tbl_ResidentData[Physician],MATCH(Tbl_PDSAData[[#This Row],[Resident Name (last, first)]],Tbl_ResidentData[Resident Name '[last, first']],0))&amp;"","")</f>
        <v/>
      </c>
      <c r="C281" s="135" t="str">
        <f>IFERROR(INDEX(Tbl_ResidentData[Diagnosis (RAI)],MATCH(Tbl_PDSAData[[#This Row],[Resident Name (last, first)]],Tbl_ResidentData[Resident Name '[last, first']],0))&amp;"","")</f>
        <v/>
      </c>
      <c r="D281" s="144" t="str">
        <f>IFERROR(INDEX(Tbl_ResidentData[Clinical Notes
'[free text']],MATCH(Tbl_PDSAData[[#This Row],[Resident Name (last, first)]],Tbl_ResidentData[Resident Name '[last, first']],0))&amp;"","")</f>
        <v/>
      </c>
      <c r="E281" s="190"/>
      <c r="F281" s="191"/>
      <c r="G281" s="190"/>
      <c r="H281" s="191"/>
      <c r="I281" s="190"/>
      <c r="J281" s="191"/>
      <c r="K281" s="190"/>
      <c r="L281" s="191"/>
      <c r="M281" s="190"/>
      <c r="N281" s="191"/>
      <c r="O281" s="190"/>
      <c r="P281" s="191"/>
      <c r="Q281" s="190"/>
      <c r="R281" s="191"/>
      <c r="S281" s="190"/>
      <c r="T281" s="191"/>
      <c r="U281" s="190"/>
      <c r="V281" s="191"/>
      <c r="W281" s="190"/>
      <c r="X281" s="191"/>
      <c r="Y281" s="190"/>
      <c r="Z281" s="191"/>
      <c r="AA281" s="190"/>
      <c r="AB281" s="191"/>
      <c r="AC281" s="190"/>
      <c r="AD281" s="191"/>
      <c r="AE281" s="190"/>
      <c r="AF281" s="191"/>
      <c r="AG281" s="190"/>
      <c r="AH281" s="191"/>
      <c r="AI281" s="190"/>
      <c r="AJ281" s="191"/>
      <c r="AK281" s="190"/>
      <c r="AL281" s="191"/>
      <c r="AM281" s="190"/>
      <c r="AN281" s="191"/>
      <c r="AO281" s="190"/>
      <c r="AP281" s="191"/>
      <c r="AQ281" s="190"/>
      <c r="AR281" s="191"/>
      <c r="AS281" s="190"/>
      <c r="AT281" s="191"/>
      <c r="AU281" s="190"/>
      <c r="AV281" s="191"/>
      <c r="AW281" s="190"/>
      <c r="AX281" s="191"/>
      <c r="AY281" s="190"/>
      <c r="AZ281" s="191"/>
      <c r="BA281" s="145" t="str">
        <f>IFERROR(INDEX($E$4:$AZ$4,SUMPRODUCT(MAX(COLUMN(Tbl_PDSAData[[#This Row],[D1]:[M24]])*(ListLookup!$G$3=Tbl_PDSAData[[#This Row],[D1]:[M24]]))-4)),"")</f>
        <v/>
      </c>
      <c r="BB281" s="145" t="str">
        <f>IFERROR(INDEX($E$4:$AZ$4,SUMPRODUCT(MAX(COLUMN(Tbl_PDSAData[[#This Row],[D1]:[M24]])*(ListLookup!$H$3=Tbl_PDSAData[[#This Row],[D1]:[M24]]))-4)),"")</f>
        <v/>
      </c>
    </row>
    <row r="282" spans="1:54" s="74" customFormat="1" x14ac:dyDescent="0.25">
      <c r="A282" s="189"/>
      <c r="B282" s="134" t="str">
        <f>IFERROR(INDEX(Tbl_ResidentData[Physician],MATCH(Tbl_PDSAData[[#This Row],[Resident Name (last, first)]],Tbl_ResidentData[Resident Name '[last, first']],0))&amp;"","")</f>
        <v/>
      </c>
      <c r="C282" s="135" t="str">
        <f>IFERROR(INDEX(Tbl_ResidentData[Diagnosis (RAI)],MATCH(Tbl_PDSAData[[#This Row],[Resident Name (last, first)]],Tbl_ResidentData[Resident Name '[last, first']],0))&amp;"","")</f>
        <v/>
      </c>
      <c r="D282" s="144" t="str">
        <f>IFERROR(INDEX(Tbl_ResidentData[Clinical Notes
'[free text']],MATCH(Tbl_PDSAData[[#This Row],[Resident Name (last, first)]],Tbl_ResidentData[Resident Name '[last, first']],0))&amp;"","")</f>
        <v/>
      </c>
      <c r="E282" s="190"/>
      <c r="F282" s="191"/>
      <c r="G282" s="190"/>
      <c r="H282" s="191"/>
      <c r="I282" s="190"/>
      <c r="J282" s="191"/>
      <c r="K282" s="190"/>
      <c r="L282" s="191"/>
      <c r="M282" s="190"/>
      <c r="N282" s="191"/>
      <c r="O282" s="190"/>
      <c r="P282" s="191"/>
      <c r="Q282" s="190"/>
      <c r="R282" s="191"/>
      <c r="S282" s="190"/>
      <c r="T282" s="191"/>
      <c r="U282" s="190"/>
      <c r="V282" s="191"/>
      <c r="W282" s="190"/>
      <c r="X282" s="191"/>
      <c r="Y282" s="190"/>
      <c r="Z282" s="191"/>
      <c r="AA282" s="190"/>
      <c r="AB282" s="191"/>
      <c r="AC282" s="190"/>
      <c r="AD282" s="191"/>
      <c r="AE282" s="190"/>
      <c r="AF282" s="191"/>
      <c r="AG282" s="190"/>
      <c r="AH282" s="191"/>
      <c r="AI282" s="190"/>
      <c r="AJ282" s="191"/>
      <c r="AK282" s="190"/>
      <c r="AL282" s="191"/>
      <c r="AM282" s="190"/>
      <c r="AN282" s="191"/>
      <c r="AO282" s="190"/>
      <c r="AP282" s="191"/>
      <c r="AQ282" s="190"/>
      <c r="AR282" s="191"/>
      <c r="AS282" s="190"/>
      <c r="AT282" s="191"/>
      <c r="AU282" s="190"/>
      <c r="AV282" s="191"/>
      <c r="AW282" s="190"/>
      <c r="AX282" s="191"/>
      <c r="AY282" s="190"/>
      <c r="AZ282" s="191"/>
      <c r="BA282" s="145" t="str">
        <f>IFERROR(INDEX($E$4:$AZ$4,SUMPRODUCT(MAX(COLUMN(Tbl_PDSAData[[#This Row],[D1]:[M24]])*(ListLookup!$G$3=Tbl_PDSAData[[#This Row],[D1]:[M24]]))-4)),"")</f>
        <v/>
      </c>
      <c r="BB282" s="145" t="str">
        <f>IFERROR(INDEX($E$4:$AZ$4,SUMPRODUCT(MAX(COLUMN(Tbl_PDSAData[[#This Row],[D1]:[M24]])*(ListLookup!$H$3=Tbl_PDSAData[[#This Row],[D1]:[M24]]))-4)),"")</f>
        <v/>
      </c>
    </row>
    <row r="283" spans="1:54" s="74" customFormat="1" x14ac:dyDescent="0.25">
      <c r="A283" s="189"/>
      <c r="B283" s="134" t="str">
        <f>IFERROR(INDEX(Tbl_ResidentData[Physician],MATCH(Tbl_PDSAData[[#This Row],[Resident Name (last, first)]],Tbl_ResidentData[Resident Name '[last, first']],0))&amp;"","")</f>
        <v/>
      </c>
      <c r="C283" s="135" t="str">
        <f>IFERROR(INDEX(Tbl_ResidentData[Diagnosis (RAI)],MATCH(Tbl_PDSAData[[#This Row],[Resident Name (last, first)]],Tbl_ResidentData[Resident Name '[last, first']],0))&amp;"","")</f>
        <v/>
      </c>
      <c r="D283" s="144" t="str">
        <f>IFERROR(INDEX(Tbl_ResidentData[Clinical Notes
'[free text']],MATCH(Tbl_PDSAData[[#This Row],[Resident Name (last, first)]],Tbl_ResidentData[Resident Name '[last, first']],0))&amp;"","")</f>
        <v/>
      </c>
      <c r="E283" s="190"/>
      <c r="F283" s="191"/>
      <c r="G283" s="190"/>
      <c r="H283" s="191"/>
      <c r="I283" s="190"/>
      <c r="J283" s="191"/>
      <c r="K283" s="190"/>
      <c r="L283" s="191"/>
      <c r="M283" s="190"/>
      <c r="N283" s="191"/>
      <c r="O283" s="190"/>
      <c r="P283" s="191"/>
      <c r="Q283" s="190"/>
      <c r="R283" s="191"/>
      <c r="S283" s="190"/>
      <c r="T283" s="191"/>
      <c r="U283" s="190"/>
      <c r="V283" s="191"/>
      <c r="W283" s="190"/>
      <c r="X283" s="191"/>
      <c r="Y283" s="190"/>
      <c r="Z283" s="191"/>
      <c r="AA283" s="190"/>
      <c r="AB283" s="191"/>
      <c r="AC283" s="190"/>
      <c r="AD283" s="191"/>
      <c r="AE283" s="190"/>
      <c r="AF283" s="191"/>
      <c r="AG283" s="190"/>
      <c r="AH283" s="191"/>
      <c r="AI283" s="190"/>
      <c r="AJ283" s="191"/>
      <c r="AK283" s="190"/>
      <c r="AL283" s="191"/>
      <c r="AM283" s="190"/>
      <c r="AN283" s="191"/>
      <c r="AO283" s="190"/>
      <c r="AP283" s="191"/>
      <c r="AQ283" s="190"/>
      <c r="AR283" s="191"/>
      <c r="AS283" s="190"/>
      <c r="AT283" s="191"/>
      <c r="AU283" s="190"/>
      <c r="AV283" s="191"/>
      <c r="AW283" s="190"/>
      <c r="AX283" s="191"/>
      <c r="AY283" s="190"/>
      <c r="AZ283" s="191"/>
      <c r="BA283" s="145" t="str">
        <f>IFERROR(INDEX($E$4:$AZ$4,SUMPRODUCT(MAX(COLUMN(Tbl_PDSAData[[#This Row],[D1]:[M24]])*(ListLookup!$G$3=Tbl_PDSAData[[#This Row],[D1]:[M24]]))-4)),"")</f>
        <v/>
      </c>
      <c r="BB283" s="145" t="str">
        <f>IFERROR(INDEX($E$4:$AZ$4,SUMPRODUCT(MAX(COLUMN(Tbl_PDSAData[[#This Row],[D1]:[M24]])*(ListLookup!$H$3=Tbl_PDSAData[[#This Row],[D1]:[M24]]))-4)),"")</f>
        <v/>
      </c>
    </row>
    <row r="284" spans="1:54" s="74" customFormat="1" x14ac:dyDescent="0.25">
      <c r="A284" s="189"/>
      <c r="B284" s="134" t="str">
        <f>IFERROR(INDEX(Tbl_ResidentData[Physician],MATCH(Tbl_PDSAData[[#This Row],[Resident Name (last, first)]],Tbl_ResidentData[Resident Name '[last, first']],0))&amp;"","")</f>
        <v/>
      </c>
      <c r="C284" s="135" t="str">
        <f>IFERROR(INDEX(Tbl_ResidentData[Diagnosis (RAI)],MATCH(Tbl_PDSAData[[#This Row],[Resident Name (last, first)]],Tbl_ResidentData[Resident Name '[last, first']],0))&amp;"","")</f>
        <v/>
      </c>
      <c r="D284" s="144" t="str">
        <f>IFERROR(INDEX(Tbl_ResidentData[Clinical Notes
'[free text']],MATCH(Tbl_PDSAData[[#This Row],[Resident Name (last, first)]],Tbl_ResidentData[Resident Name '[last, first']],0))&amp;"","")</f>
        <v/>
      </c>
      <c r="E284" s="190"/>
      <c r="F284" s="191"/>
      <c r="G284" s="190"/>
      <c r="H284" s="191"/>
      <c r="I284" s="190"/>
      <c r="J284" s="191"/>
      <c r="K284" s="190"/>
      <c r="L284" s="191"/>
      <c r="M284" s="190"/>
      <c r="N284" s="191"/>
      <c r="O284" s="190"/>
      <c r="P284" s="191"/>
      <c r="Q284" s="190"/>
      <c r="R284" s="191"/>
      <c r="S284" s="190"/>
      <c r="T284" s="191"/>
      <c r="U284" s="190"/>
      <c r="V284" s="191"/>
      <c r="W284" s="190"/>
      <c r="X284" s="191"/>
      <c r="Y284" s="190"/>
      <c r="Z284" s="191"/>
      <c r="AA284" s="190"/>
      <c r="AB284" s="191"/>
      <c r="AC284" s="190"/>
      <c r="AD284" s="191"/>
      <c r="AE284" s="190"/>
      <c r="AF284" s="191"/>
      <c r="AG284" s="190"/>
      <c r="AH284" s="191"/>
      <c r="AI284" s="190"/>
      <c r="AJ284" s="191"/>
      <c r="AK284" s="190"/>
      <c r="AL284" s="191"/>
      <c r="AM284" s="190"/>
      <c r="AN284" s="191"/>
      <c r="AO284" s="190"/>
      <c r="AP284" s="191"/>
      <c r="AQ284" s="190"/>
      <c r="AR284" s="191"/>
      <c r="AS284" s="190"/>
      <c r="AT284" s="191"/>
      <c r="AU284" s="190"/>
      <c r="AV284" s="191"/>
      <c r="AW284" s="190"/>
      <c r="AX284" s="191"/>
      <c r="AY284" s="190"/>
      <c r="AZ284" s="191"/>
      <c r="BA284" s="145" t="str">
        <f>IFERROR(INDEX($E$4:$AZ$4,SUMPRODUCT(MAX(COLUMN(Tbl_PDSAData[[#This Row],[D1]:[M24]])*(ListLookup!$G$3=Tbl_PDSAData[[#This Row],[D1]:[M24]]))-4)),"")</f>
        <v/>
      </c>
      <c r="BB284" s="145" t="str">
        <f>IFERROR(INDEX($E$4:$AZ$4,SUMPRODUCT(MAX(COLUMN(Tbl_PDSAData[[#This Row],[D1]:[M24]])*(ListLookup!$H$3=Tbl_PDSAData[[#This Row],[D1]:[M24]]))-4)),"")</f>
        <v/>
      </c>
    </row>
    <row r="285" spans="1:54" s="74" customFormat="1" x14ac:dyDescent="0.25">
      <c r="A285" s="189"/>
      <c r="B285" s="134" t="str">
        <f>IFERROR(INDEX(Tbl_ResidentData[Physician],MATCH(Tbl_PDSAData[[#This Row],[Resident Name (last, first)]],Tbl_ResidentData[Resident Name '[last, first']],0))&amp;"","")</f>
        <v/>
      </c>
      <c r="C285" s="135" t="str">
        <f>IFERROR(INDEX(Tbl_ResidentData[Diagnosis (RAI)],MATCH(Tbl_PDSAData[[#This Row],[Resident Name (last, first)]],Tbl_ResidentData[Resident Name '[last, first']],0))&amp;"","")</f>
        <v/>
      </c>
      <c r="D285" s="144" t="str">
        <f>IFERROR(INDEX(Tbl_ResidentData[Clinical Notes
'[free text']],MATCH(Tbl_PDSAData[[#This Row],[Resident Name (last, first)]],Tbl_ResidentData[Resident Name '[last, first']],0))&amp;"","")</f>
        <v/>
      </c>
      <c r="E285" s="190"/>
      <c r="F285" s="191"/>
      <c r="G285" s="190"/>
      <c r="H285" s="191"/>
      <c r="I285" s="190"/>
      <c r="J285" s="191"/>
      <c r="K285" s="190"/>
      <c r="L285" s="191"/>
      <c r="M285" s="190"/>
      <c r="N285" s="191"/>
      <c r="O285" s="190"/>
      <c r="P285" s="191"/>
      <c r="Q285" s="190"/>
      <c r="R285" s="191"/>
      <c r="S285" s="190"/>
      <c r="T285" s="191"/>
      <c r="U285" s="190"/>
      <c r="V285" s="191"/>
      <c r="W285" s="190"/>
      <c r="X285" s="191"/>
      <c r="Y285" s="190"/>
      <c r="Z285" s="191"/>
      <c r="AA285" s="190"/>
      <c r="AB285" s="191"/>
      <c r="AC285" s="190"/>
      <c r="AD285" s="191"/>
      <c r="AE285" s="190"/>
      <c r="AF285" s="191"/>
      <c r="AG285" s="190"/>
      <c r="AH285" s="191"/>
      <c r="AI285" s="190"/>
      <c r="AJ285" s="191"/>
      <c r="AK285" s="190"/>
      <c r="AL285" s="191"/>
      <c r="AM285" s="190"/>
      <c r="AN285" s="191"/>
      <c r="AO285" s="190"/>
      <c r="AP285" s="191"/>
      <c r="AQ285" s="190"/>
      <c r="AR285" s="191"/>
      <c r="AS285" s="190"/>
      <c r="AT285" s="191"/>
      <c r="AU285" s="190"/>
      <c r="AV285" s="191"/>
      <c r="AW285" s="190"/>
      <c r="AX285" s="191"/>
      <c r="AY285" s="190"/>
      <c r="AZ285" s="191"/>
      <c r="BA285" s="145" t="str">
        <f>IFERROR(INDEX($E$4:$AZ$4,SUMPRODUCT(MAX(COLUMN(Tbl_PDSAData[[#This Row],[D1]:[M24]])*(ListLookup!$G$3=Tbl_PDSAData[[#This Row],[D1]:[M24]]))-4)),"")</f>
        <v/>
      </c>
      <c r="BB285" s="145" t="str">
        <f>IFERROR(INDEX($E$4:$AZ$4,SUMPRODUCT(MAX(COLUMN(Tbl_PDSAData[[#This Row],[D1]:[M24]])*(ListLookup!$H$3=Tbl_PDSAData[[#This Row],[D1]:[M24]]))-4)),"")</f>
        <v/>
      </c>
    </row>
    <row r="286" spans="1:54" s="74" customFormat="1" x14ac:dyDescent="0.25">
      <c r="A286" s="189"/>
      <c r="B286" s="134" t="str">
        <f>IFERROR(INDEX(Tbl_ResidentData[Physician],MATCH(Tbl_PDSAData[[#This Row],[Resident Name (last, first)]],Tbl_ResidentData[Resident Name '[last, first']],0))&amp;"","")</f>
        <v/>
      </c>
      <c r="C286" s="135" t="str">
        <f>IFERROR(INDEX(Tbl_ResidentData[Diagnosis (RAI)],MATCH(Tbl_PDSAData[[#This Row],[Resident Name (last, first)]],Tbl_ResidentData[Resident Name '[last, first']],0))&amp;"","")</f>
        <v/>
      </c>
      <c r="D286" s="144" t="str">
        <f>IFERROR(INDEX(Tbl_ResidentData[Clinical Notes
'[free text']],MATCH(Tbl_PDSAData[[#This Row],[Resident Name (last, first)]],Tbl_ResidentData[Resident Name '[last, first']],0))&amp;"","")</f>
        <v/>
      </c>
      <c r="E286" s="190"/>
      <c r="F286" s="191"/>
      <c r="G286" s="190"/>
      <c r="H286" s="191"/>
      <c r="I286" s="190"/>
      <c r="J286" s="191"/>
      <c r="K286" s="190"/>
      <c r="L286" s="191"/>
      <c r="M286" s="190"/>
      <c r="N286" s="191"/>
      <c r="O286" s="190"/>
      <c r="P286" s="191"/>
      <c r="Q286" s="190"/>
      <c r="R286" s="191"/>
      <c r="S286" s="190"/>
      <c r="T286" s="191"/>
      <c r="U286" s="190"/>
      <c r="V286" s="191"/>
      <c r="W286" s="190"/>
      <c r="X286" s="191"/>
      <c r="Y286" s="190"/>
      <c r="Z286" s="191"/>
      <c r="AA286" s="190"/>
      <c r="AB286" s="191"/>
      <c r="AC286" s="190"/>
      <c r="AD286" s="191"/>
      <c r="AE286" s="190"/>
      <c r="AF286" s="191"/>
      <c r="AG286" s="190"/>
      <c r="AH286" s="191"/>
      <c r="AI286" s="190"/>
      <c r="AJ286" s="191"/>
      <c r="AK286" s="190"/>
      <c r="AL286" s="191"/>
      <c r="AM286" s="190"/>
      <c r="AN286" s="191"/>
      <c r="AO286" s="190"/>
      <c r="AP286" s="191"/>
      <c r="AQ286" s="190"/>
      <c r="AR286" s="191"/>
      <c r="AS286" s="190"/>
      <c r="AT286" s="191"/>
      <c r="AU286" s="190"/>
      <c r="AV286" s="191"/>
      <c r="AW286" s="190"/>
      <c r="AX286" s="191"/>
      <c r="AY286" s="190"/>
      <c r="AZ286" s="191"/>
      <c r="BA286" s="145" t="str">
        <f>IFERROR(INDEX($E$4:$AZ$4,SUMPRODUCT(MAX(COLUMN(Tbl_PDSAData[[#This Row],[D1]:[M24]])*(ListLookup!$G$3=Tbl_PDSAData[[#This Row],[D1]:[M24]]))-4)),"")</f>
        <v/>
      </c>
      <c r="BB286" s="145" t="str">
        <f>IFERROR(INDEX($E$4:$AZ$4,SUMPRODUCT(MAX(COLUMN(Tbl_PDSAData[[#This Row],[D1]:[M24]])*(ListLookup!$H$3=Tbl_PDSAData[[#This Row],[D1]:[M24]]))-4)),"")</f>
        <v/>
      </c>
    </row>
    <row r="287" spans="1:54" s="74" customFormat="1" x14ac:dyDescent="0.25">
      <c r="A287" s="189"/>
      <c r="B287" s="134" t="str">
        <f>IFERROR(INDEX(Tbl_ResidentData[Physician],MATCH(Tbl_PDSAData[[#This Row],[Resident Name (last, first)]],Tbl_ResidentData[Resident Name '[last, first']],0))&amp;"","")</f>
        <v/>
      </c>
      <c r="C287" s="135" t="str">
        <f>IFERROR(INDEX(Tbl_ResidentData[Diagnosis (RAI)],MATCH(Tbl_PDSAData[[#This Row],[Resident Name (last, first)]],Tbl_ResidentData[Resident Name '[last, first']],0))&amp;"","")</f>
        <v/>
      </c>
      <c r="D287" s="144" t="str">
        <f>IFERROR(INDEX(Tbl_ResidentData[Clinical Notes
'[free text']],MATCH(Tbl_PDSAData[[#This Row],[Resident Name (last, first)]],Tbl_ResidentData[Resident Name '[last, first']],0))&amp;"","")</f>
        <v/>
      </c>
      <c r="E287" s="190"/>
      <c r="F287" s="191"/>
      <c r="G287" s="190"/>
      <c r="H287" s="191"/>
      <c r="I287" s="190"/>
      <c r="J287" s="191"/>
      <c r="K287" s="190"/>
      <c r="L287" s="191"/>
      <c r="M287" s="190"/>
      <c r="N287" s="191"/>
      <c r="O287" s="190"/>
      <c r="P287" s="191"/>
      <c r="Q287" s="190"/>
      <c r="R287" s="191"/>
      <c r="S287" s="190"/>
      <c r="T287" s="191"/>
      <c r="U287" s="190"/>
      <c r="V287" s="191"/>
      <c r="W287" s="190"/>
      <c r="X287" s="191"/>
      <c r="Y287" s="190"/>
      <c r="Z287" s="191"/>
      <c r="AA287" s="190"/>
      <c r="AB287" s="191"/>
      <c r="AC287" s="190"/>
      <c r="AD287" s="191"/>
      <c r="AE287" s="190"/>
      <c r="AF287" s="191"/>
      <c r="AG287" s="190"/>
      <c r="AH287" s="191"/>
      <c r="AI287" s="190"/>
      <c r="AJ287" s="191"/>
      <c r="AK287" s="190"/>
      <c r="AL287" s="191"/>
      <c r="AM287" s="190"/>
      <c r="AN287" s="191"/>
      <c r="AO287" s="190"/>
      <c r="AP287" s="191"/>
      <c r="AQ287" s="190"/>
      <c r="AR287" s="191"/>
      <c r="AS287" s="190"/>
      <c r="AT287" s="191"/>
      <c r="AU287" s="190"/>
      <c r="AV287" s="191"/>
      <c r="AW287" s="190"/>
      <c r="AX287" s="191"/>
      <c r="AY287" s="190"/>
      <c r="AZ287" s="191"/>
      <c r="BA287" s="145" t="str">
        <f>IFERROR(INDEX($E$4:$AZ$4,SUMPRODUCT(MAX(COLUMN(Tbl_PDSAData[[#This Row],[D1]:[M24]])*(ListLookup!$G$3=Tbl_PDSAData[[#This Row],[D1]:[M24]]))-4)),"")</f>
        <v/>
      </c>
      <c r="BB287" s="145" t="str">
        <f>IFERROR(INDEX($E$4:$AZ$4,SUMPRODUCT(MAX(COLUMN(Tbl_PDSAData[[#This Row],[D1]:[M24]])*(ListLookup!$H$3=Tbl_PDSAData[[#This Row],[D1]:[M24]]))-4)),"")</f>
        <v/>
      </c>
    </row>
    <row r="288" spans="1:54" s="74" customFormat="1" x14ac:dyDescent="0.25">
      <c r="A288" s="189"/>
      <c r="B288" s="134" t="str">
        <f>IFERROR(INDEX(Tbl_ResidentData[Physician],MATCH(Tbl_PDSAData[[#This Row],[Resident Name (last, first)]],Tbl_ResidentData[Resident Name '[last, first']],0))&amp;"","")</f>
        <v/>
      </c>
      <c r="C288" s="135" t="str">
        <f>IFERROR(INDEX(Tbl_ResidentData[Diagnosis (RAI)],MATCH(Tbl_PDSAData[[#This Row],[Resident Name (last, first)]],Tbl_ResidentData[Resident Name '[last, first']],0))&amp;"","")</f>
        <v/>
      </c>
      <c r="D288" s="144" t="str">
        <f>IFERROR(INDEX(Tbl_ResidentData[Clinical Notes
'[free text']],MATCH(Tbl_PDSAData[[#This Row],[Resident Name (last, first)]],Tbl_ResidentData[Resident Name '[last, first']],0))&amp;"","")</f>
        <v/>
      </c>
      <c r="E288" s="190"/>
      <c r="F288" s="191"/>
      <c r="G288" s="190"/>
      <c r="H288" s="191"/>
      <c r="I288" s="190"/>
      <c r="J288" s="191"/>
      <c r="K288" s="190"/>
      <c r="L288" s="191"/>
      <c r="M288" s="190"/>
      <c r="N288" s="191"/>
      <c r="O288" s="190"/>
      <c r="P288" s="191"/>
      <c r="Q288" s="190"/>
      <c r="R288" s="191"/>
      <c r="S288" s="190"/>
      <c r="T288" s="191"/>
      <c r="U288" s="190"/>
      <c r="V288" s="191"/>
      <c r="W288" s="190"/>
      <c r="X288" s="191"/>
      <c r="Y288" s="190"/>
      <c r="Z288" s="191"/>
      <c r="AA288" s="190"/>
      <c r="AB288" s="191"/>
      <c r="AC288" s="190"/>
      <c r="AD288" s="191"/>
      <c r="AE288" s="190"/>
      <c r="AF288" s="191"/>
      <c r="AG288" s="190"/>
      <c r="AH288" s="191"/>
      <c r="AI288" s="190"/>
      <c r="AJ288" s="191"/>
      <c r="AK288" s="190"/>
      <c r="AL288" s="191"/>
      <c r="AM288" s="190"/>
      <c r="AN288" s="191"/>
      <c r="AO288" s="190"/>
      <c r="AP288" s="191"/>
      <c r="AQ288" s="190"/>
      <c r="AR288" s="191"/>
      <c r="AS288" s="190"/>
      <c r="AT288" s="191"/>
      <c r="AU288" s="190"/>
      <c r="AV288" s="191"/>
      <c r="AW288" s="190"/>
      <c r="AX288" s="191"/>
      <c r="AY288" s="190"/>
      <c r="AZ288" s="191"/>
      <c r="BA288" s="145" t="str">
        <f>IFERROR(INDEX($E$4:$AZ$4,SUMPRODUCT(MAX(COLUMN(Tbl_PDSAData[[#This Row],[D1]:[M24]])*(ListLookup!$G$3=Tbl_PDSAData[[#This Row],[D1]:[M24]]))-4)),"")</f>
        <v/>
      </c>
      <c r="BB288" s="145" t="str">
        <f>IFERROR(INDEX($E$4:$AZ$4,SUMPRODUCT(MAX(COLUMN(Tbl_PDSAData[[#This Row],[D1]:[M24]])*(ListLookup!$H$3=Tbl_PDSAData[[#This Row],[D1]:[M24]]))-4)),"")</f>
        <v/>
      </c>
    </row>
    <row r="289" spans="1:54" s="74" customFormat="1" x14ac:dyDescent="0.25">
      <c r="A289" s="189"/>
      <c r="B289" s="134" t="str">
        <f>IFERROR(INDEX(Tbl_ResidentData[Physician],MATCH(Tbl_PDSAData[[#This Row],[Resident Name (last, first)]],Tbl_ResidentData[Resident Name '[last, first']],0))&amp;"","")</f>
        <v/>
      </c>
      <c r="C289" s="135" t="str">
        <f>IFERROR(INDEX(Tbl_ResidentData[Diagnosis (RAI)],MATCH(Tbl_PDSAData[[#This Row],[Resident Name (last, first)]],Tbl_ResidentData[Resident Name '[last, first']],0))&amp;"","")</f>
        <v/>
      </c>
      <c r="D289" s="144" t="str">
        <f>IFERROR(INDEX(Tbl_ResidentData[Clinical Notes
'[free text']],MATCH(Tbl_PDSAData[[#This Row],[Resident Name (last, first)]],Tbl_ResidentData[Resident Name '[last, first']],0))&amp;"","")</f>
        <v/>
      </c>
      <c r="E289" s="190"/>
      <c r="F289" s="191"/>
      <c r="G289" s="190"/>
      <c r="H289" s="191"/>
      <c r="I289" s="190"/>
      <c r="J289" s="191"/>
      <c r="K289" s="190"/>
      <c r="L289" s="191"/>
      <c r="M289" s="190"/>
      <c r="N289" s="191"/>
      <c r="O289" s="190"/>
      <c r="P289" s="191"/>
      <c r="Q289" s="190"/>
      <c r="R289" s="191"/>
      <c r="S289" s="190"/>
      <c r="T289" s="191"/>
      <c r="U289" s="190"/>
      <c r="V289" s="191"/>
      <c r="W289" s="190"/>
      <c r="X289" s="191"/>
      <c r="Y289" s="190"/>
      <c r="Z289" s="191"/>
      <c r="AA289" s="190"/>
      <c r="AB289" s="191"/>
      <c r="AC289" s="190"/>
      <c r="AD289" s="191"/>
      <c r="AE289" s="190"/>
      <c r="AF289" s="191"/>
      <c r="AG289" s="190"/>
      <c r="AH289" s="191"/>
      <c r="AI289" s="190"/>
      <c r="AJ289" s="191"/>
      <c r="AK289" s="190"/>
      <c r="AL289" s="191"/>
      <c r="AM289" s="190"/>
      <c r="AN289" s="191"/>
      <c r="AO289" s="190"/>
      <c r="AP289" s="191"/>
      <c r="AQ289" s="190"/>
      <c r="AR289" s="191"/>
      <c r="AS289" s="190"/>
      <c r="AT289" s="191"/>
      <c r="AU289" s="190"/>
      <c r="AV289" s="191"/>
      <c r="AW289" s="190"/>
      <c r="AX289" s="191"/>
      <c r="AY289" s="190"/>
      <c r="AZ289" s="191"/>
      <c r="BA289" s="145" t="str">
        <f>IFERROR(INDEX($E$4:$AZ$4,SUMPRODUCT(MAX(COLUMN(Tbl_PDSAData[[#This Row],[D1]:[M24]])*(ListLookup!$G$3=Tbl_PDSAData[[#This Row],[D1]:[M24]]))-4)),"")</f>
        <v/>
      </c>
      <c r="BB289" s="145" t="str">
        <f>IFERROR(INDEX($E$4:$AZ$4,SUMPRODUCT(MAX(COLUMN(Tbl_PDSAData[[#This Row],[D1]:[M24]])*(ListLookup!$H$3=Tbl_PDSAData[[#This Row],[D1]:[M24]]))-4)),"")</f>
        <v/>
      </c>
    </row>
    <row r="290" spans="1:54" s="74" customFormat="1" x14ac:dyDescent="0.25">
      <c r="A290" s="189"/>
      <c r="B290" s="134" t="str">
        <f>IFERROR(INDEX(Tbl_ResidentData[Physician],MATCH(Tbl_PDSAData[[#This Row],[Resident Name (last, first)]],Tbl_ResidentData[Resident Name '[last, first']],0))&amp;"","")</f>
        <v/>
      </c>
      <c r="C290" s="135" t="str">
        <f>IFERROR(INDEX(Tbl_ResidentData[Diagnosis (RAI)],MATCH(Tbl_PDSAData[[#This Row],[Resident Name (last, first)]],Tbl_ResidentData[Resident Name '[last, first']],0))&amp;"","")</f>
        <v/>
      </c>
      <c r="D290" s="144" t="str">
        <f>IFERROR(INDEX(Tbl_ResidentData[Clinical Notes
'[free text']],MATCH(Tbl_PDSAData[[#This Row],[Resident Name (last, first)]],Tbl_ResidentData[Resident Name '[last, first']],0))&amp;"","")</f>
        <v/>
      </c>
      <c r="E290" s="190"/>
      <c r="F290" s="191"/>
      <c r="G290" s="190"/>
      <c r="H290" s="191"/>
      <c r="I290" s="190"/>
      <c r="J290" s="191"/>
      <c r="K290" s="190"/>
      <c r="L290" s="191"/>
      <c r="M290" s="190"/>
      <c r="N290" s="191"/>
      <c r="O290" s="190"/>
      <c r="P290" s="191"/>
      <c r="Q290" s="190"/>
      <c r="R290" s="191"/>
      <c r="S290" s="190"/>
      <c r="T290" s="191"/>
      <c r="U290" s="190"/>
      <c r="V290" s="191"/>
      <c r="W290" s="190"/>
      <c r="X290" s="191"/>
      <c r="Y290" s="190"/>
      <c r="Z290" s="191"/>
      <c r="AA290" s="190"/>
      <c r="AB290" s="191"/>
      <c r="AC290" s="190"/>
      <c r="AD290" s="191"/>
      <c r="AE290" s="190"/>
      <c r="AF290" s="191"/>
      <c r="AG290" s="190"/>
      <c r="AH290" s="191"/>
      <c r="AI290" s="190"/>
      <c r="AJ290" s="191"/>
      <c r="AK290" s="190"/>
      <c r="AL290" s="191"/>
      <c r="AM290" s="190"/>
      <c r="AN290" s="191"/>
      <c r="AO290" s="190"/>
      <c r="AP290" s="191"/>
      <c r="AQ290" s="190"/>
      <c r="AR290" s="191"/>
      <c r="AS290" s="190"/>
      <c r="AT290" s="191"/>
      <c r="AU290" s="190"/>
      <c r="AV290" s="191"/>
      <c r="AW290" s="190"/>
      <c r="AX290" s="191"/>
      <c r="AY290" s="190"/>
      <c r="AZ290" s="191"/>
      <c r="BA290" s="145" t="str">
        <f>IFERROR(INDEX($E$4:$AZ$4,SUMPRODUCT(MAX(COLUMN(Tbl_PDSAData[[#This Row],[D1]:[M24]])*(ListLookup!$G$3=Tbl_PDSAData[[#This Row],[D1]:[M24]]))-4)),"")</f>
        <v/>
      </c>
      <c r="BB290" s="145" t="str">
        <f>IFERROR(INDEX($E$4:$AZ$4,SUMPRODUCT(MAX(COLUMN(Tbl_PDSAData[[#This Row],[D1]:[M24]])*(ListLookup!$H$3=Tbl_PDSAData[[#This Row],[D1]:[M24]]))-4)),"")</f>
        <v/>
      </c>
    </row>
    <row r="291" spans="1:54" s="74" customFormat="1" x14ac:dyDescent="0.25">
      <c r="A291" s="189"/>
      <c r="B291" s="134" t="str">
        <f>IFERROR(INDEX(Tbl_ResidentData[Physician],MATCH(Tbl_PDSAData[[#This Row],[Resident Name (last, first)]],Tbl_ResidentData[Resident Name '[last, first']],0))&amp;"","")</f>
        <v/>
      </c>
      <c r="C291" s="135" t="str">
        <f>IFERROR(INDEX(Tbl_ResidentData[Diagnosis (RAI)],MATCH(Tbl_PDSAData[[#This Row],[Resident Name (last, first)]],Tbl_ResidentData[Resident Name '[last, first']],0))&amp;"","")</f>
        <v/>
      </c>
      <c r="D291" s="144" t="str">
        <f>IFERROR(INDEX(Tbl_ResidentData[Clinical Notes
'[free text']],MATCH(Tbl_PDSAData[[#This Row],[Resident Name (last, first)]],Tbl_ResidentData[Resident Name '[last, first']],0))&amp;"","")</f>
        <v/>
      </c>
      <c r="E291" s="190"/>
      <c r="F291" s="191"/>
      <c r="G291" s="190"/>
      <c r="H291" s="191"/>
      <c r="I291" s="190"/>
      <c r="J291" s="191"/>
      <c r="K291" s="190"/>
      <c r="L291" s="191"/>
      <c r="M291" s="190"/>
      <c r="N291" s="191"/>
      <c r="O291" s="190"/>
      <c r="P291" s="191"/>
      <c r="Q291" s="190"/>
      <c r="R291" s="191"/>
      <c r="S291" s="190"/>
      <c r="T291" s="191"/>
      <c r="U291" s="190"/>
      <c r="V291" s="191"/>
      <c r="W291" s="190"/>
      <c r="X291" s="191"/>
      <c r="Y291" s="190"/>
      <c r="Z291" s="191"/>
      <c r="AA291" s="190"/>
      <c r="AB291" s="191"/>
      <c r="AC291" s="190"/>
      <c r="AD291" s="191"/>
      <c r="AE291" s="190"/>
      <c r="AF291" s="191"/>
      <c r="AG291" s="190"/>
      <c r="AH291" s="191"/>
      <c r="AI291" s="190"/>
      <c r="AJ291" s="191"/>
      <c r="AK291" s="190"/>
      <c r="AL291" s="191"/>
      <c r="AM291" s="190"/>
      <c r="AN291" s="191"/>
      <c r="AO291" s="190"/>
      <c r="AP291" s="191"/>
      <c r="AQ291" s="190"/>
      <c r="AR291" s="191"/>
      <c r="AS291" s="190"/>
      <c r="AT291" s="191"/>
      <c r="AU291" s="190"/>
      <c r="AV291" s="191"/>
      <c r="AW291" s="190"/>
      <c r="AX291" s="191"/>
      <c r="AY291" s="190"/>
      <c r="AZ291" s="191"/>
      <c r="BA291" s="145" t="str">
        <f>IFERROR(INDEX($E$4:$AZ$4,SUMPRODUCT(MAX(COLUMN(Tbl_PDSAData[[#This Row],[D1]:[M24]])*(ListLookup!$G$3=Tbl_PDSAData[[#This Row],[D1]:[M24]]))-4)),"")</f>
        <v/>
      </c>
      <c r="BB291" s="145" t="str">
        <f>IFERROR(INDEX($E$4:$AZ$4,SUMPRODUCT(MAX(COLUMN(Tbl_PDSAData[[#This Row],[D1]:[M24]])*(ListLookup!$H$3=Tbl_PDSAData[[#This Row],[D1]:[M24]]))-4)),"")</f>
        <v/>
      </c>
    </row>
    <row r="292" spans="1:54" s="74" customFormat="1" x14ac:dyDescent="0.25">
      <c r="A292" s="189"/>
      <c r="B292" s="134" t="str">
        <f>IFERROR(INDEX(Tbl_ResidentData[Physician],MATCH(Tbl_PDSAData[[#This Row],[Resident Name (last, first)]],Tbl_ResidentData[Resident Name '[last, first']],0))&amp;"","")</f>
        <v/>
      </c>
      <c r="C292" s="135" t="str">
        <f>IFERROR(INDEX(Tbl_ResidentData[Diagnosis (RAI)],MATCH(Tbl_PDSAData[[#This Row],[Resident Name (last, first)]],Tbl_ResidentData[Resident Name '[last, first']],0))&amp;"","")</f>
        <v/>
      </c>
      <c r="D292" s="144" t="str">
        <f>IFERROR(INDEX(Tbl_ResidentData[Clinical Notes
'[free text']],MATCH(Tbl_PDSAData[[#This Row],[Resident Name (last, first)]],Tbl_ResidentData[Resident Name '[last, first']],0))&amp;"","")</f>
        <v/>
      </c>
      <c r="E292" s="190"/>
      <c r="F292" s="191"/>
      <c r="G292" s="190"/>
      <c r="H292" s="191"/>
      <c r="I292" s="190"/>
      <c r="J292" s="191"/>
      <c r="K292" s="190"/>
      <c r="L292" s="191"/>
      <c r="M292" s="190"/>
      <c r="N292" s="191"/>
      <c r="O292" s="190"/>
      <c r="P292" s="191"/>
      <c r="Q292" s="190"/>
      <c r="R292" s="191"/>
      <c r="S292" s="190"/>
      <c r="T292" s="191"/>
      <c r="U292" s="190"/>
      <c r="V292" s="191"/>
      <c r="W292" s="190"/>
      <c r="X292" s="191"/>
      <c r="Y292" s="190"/>
      <c r="Z292" s="191"/>
      <c r="AA292" s="190"/>
      <c r="AB292" s="191"/>
      <c r="AC292" s="190"/>
      <c r="AD292" s="191"/>
      <c r="AE292" s="190"/>
      <c r="AF292" s="191"/>
      <c r="AG292" s="190"/>
      <c r="AH292" s="191"/>
      <c r="AI292" s="190"/>
      <c r="AJ292" s="191"/>
      <c r="AK292" s="190"/>
      <c r="AL292" s="191"/>
      <c r="AM292" s="190"/>
      <c r="AN292" s="191"/>
      <c r="AO292" s="190"/>
      <c r="AP292" s="191"/>
      <c r="AQ292" s="190"/>
      <c r="AR292" s="191"/>
      <c r="AS292" s="190"/>
      <c r="AT292" s="191"/>
      <c r="AU292" s="190"/>
      <c r="AV292" s="191"/>
      <c r="AW292" s="190"/>
      <c r="AX292" s="191"/>
      <c r="AY292" s="190"/>
      <c r="AZ292" s="191"/>
      <c r="BA292" s="145" t="str">
        <f>IFERROR(INDEX($E$4:$AZ$4,SUMPRODUCT(MAX(COLUMN(Tbl_PDSAData[[#This Row],[D1]:[M24]])*(ListLookup!$G$3=Tbl_PDSAData[[#This Row],[D1]:[M24]]))-4)),"")</f>
        <v/>
      </c>
      <c r="BB292" s="145" t="str">
        <f>IFERROR(INDEX($E$4:$AZ$4,SUMPRODUCT(MAX(COLUMN(Tbl_PDSAData[[#This Row],[D1]:[M24]])*(ListLookup!$H$3=Tbl_PDSAData[[#This Row],[D1]:[M24]]))-4)),"")</f>
        <v/>
      </c>
    </row>
    <row r="293" spans="1:54" s="74" customFormat="1" x14ac:dyDescent="0.25">
      <c r="A293" s="189"/>
      <c r="B293" s="134" t="str">
        <f>IFERROR(INDEX(Tbl_ResidentData[Physician],MATCH(Tbl_PDSAData[[#This Row],[Resident Name (last, first)]],Tbl_ResidentData[Resident Name '[last, first']],0))&amp;"","")</f>
        <v/>
      </c>
      <c r="C293" s="135" t="str">
        <f>IFERROR(INDEX(Tbl_ResidentData[Diagnosis (RAI)],MATCH(Tbl_PDSAData[[#This Row],[Resident Name (last, first)]],Tbl_ResidentData[Resident Name '[last, first']],0))&amp;"","")</f>
        <v/>
      </c>
      <c r="D293" s="144" t="str">
        <f>IFERROR(INDEX(Tbl_ResidentData[Clinical Notes
'[free text']],MATCH(Tbl_PDSAData[[#This Row],[Resident Name (last, first)]],Tbl_ResidentData[Resident Name '[last, first']],0))&amp;"","")</f>
        <v/>
      </c>
      <c r="E293" s="190"/>
      <c r="F293" s="191"/>
      <c r="G293" s="190"/>
      <c r="H293" s="191"/>
      <c r="I293" s="190"/>
      <c r="J293" s="191"/>
      <c r="K293" s="190"/>
      <c r="L293" s="191"/>
      <c r="M293" s="190"/>
      <c r="N293" s="191"/>
      <c r="O293" s="190"/>
      <c r="P293" s="191"/>
      <c r="Q293" s="190"/>
      <c r="R293" s="191"/>
      <c r="S293" s="190"/>
      <c r="T293" s="191"/>
      <c r="U293" s="190"/>
      <c r="V293" s="191"/>
      <c r="W293" s="190"/>
      <c r="X293" s="191"/>
      <c r="Y293" s="190"/>
      <c r="Z293" s="191"/>
      <c r="AA293" s="190"/>
      <c r="AB293" s="191"/>
      <c r="AC293" s="190"/>
      <c r="AD293" s="191"/>
      <c r="AE293" s="190"/>
      <c r="AF293" s="191"/>
      <c r="AG293" s="190"/>
      <c r="AH293" s="191"/>
      <c r="AI293" s="190"/>
      <c r="AJ293" s="191"/>
      <c r="AK293" s="190"/>
      <c r="AL293" s="191"/>
      <c r="AM293" s="190"/>
      <c r="AN293" s="191"/>
      <c r="AO293" s="190"/>
      <c r="AP293" s="191"/>
      <c r="AQ293" s="190"/>
      <c r="AR293" s="191"/>
      <c r="AS293" s="190"/>
      <c r="AT293" s="191"/>
      <c r="AU293" s="190"/>
      <c r="AV293" s="191"/>
      <c r="AW293" s="190"/>
      <c r="AX293" s="191"/>
      <c r="AY293" s="190"/>
      <c r="AZ293" s="191"/>
      <c r="BA293" s="145" t="str">
        <f>IFERROR(INDEX($E$4:$AZ$4,SUMPRODUCT(MAX(COLUMN(Tbl_PDSAData[[#This Row],[D1]:[M24]])*(ListLookup!$G$3=Tbl_PDSAData[[#This Row],[D1]:[M24]]))-4)),"")</f>
        <v/>
      </c>
      <c r="BB293" s="145" t="str">
        <f>IFERROR(INDEX($E$4:$AZ$4,SUMPRODUCT(MAX(COLUMN(Tbl_PDSAData[[#This Row],[D1]:[M24]])*(ListLookup!$H$3=Tbl_PDSAData[[#This Row],[D1]:[M24]]))-4)),"")</f>
        <v/>
      </c>
    </row>
    <row r="294" spans="1:54" s="74" customFormat="1" x14ac:dyDescent="0.25">
      <c r="A294" s="189"/>
      <c r="B294" s="134" t="str">
        <f>IFERROR(INDEX(Tbl_ResidentData[Physician],MATCH(Tbl_PDSAData[[#This Row],[Resident Name (last, first)]],Tbl_ResidentData[Resident Name '[last, first']],0))&amp;"","")</f>
        <v/>
      </c>
      <c r="C294" s="135" t="str">
        <f>IFERROR(INDEX(Tbl_ResidentData[Diagnosis (RAI)],MATCH(Tbl_PDSAData[[#This Row],[Resident Name (last, first)]],Tbl_ResidentData[Resident Name '[last, first']],0))&amp;"","")</f>
        <v/>
      </c>
      <c r="D294" s="144" t="str">
        <f>IFERROR(INDEX(Tbl_ResidentData[Clinical Notes
'[free text']],MATCH(Tbl_PDSAData[[#This Row],[Resident Name (last, first)]],Tbl_ResidentData[Resident Name '[last, first']],0))&amp;"","")</f>
        <v/>
      </c>
      <c r="E294" s="190"/>
      <c r="F294" s="191"/>
      <c r="G294" s="190"/>
      <c r="H294" s="191"/>
      <c r="I294" s="190"/>
      <c r="J294" s="191"/>
      <c r="K294" s="190"/>
      <c r="L294" s="191"/>
      <c r="M294" s="190"/>
      <c r="N294" s="191"/>
      <c r="O294" s="190"/>
      <c r="P294" s="191"/>
      <c r="Q294" s="190"/>
      <c r="R294" s="191"/>
      <c r="S294" s="190"/>
      <c r="T294" s="191"/>
      <c r="U294" s="190"/>
      <c r="V294" s="191"/>
      <c r="W294" s="190"/>
      <c r="X294" s="191"/>
      <c r="Y294" s="190"/>
      <c r="Z294" s="191"/>
      <c r="AA294" s="190"/>
      <c r="AB294" s="191"/>
      <c r="AC294" s="190"/>
      <c r="AD294" s="191"/>
      <c r="AE294" s="190"/>
      <c r="AF294" s="191"/>
      <c r="AG294" s="190"/>
      <c r="AH294" s="191"/>
      <c r="AI294" s="190"/>
      <c r="AJ294" s="191"/>
      <c r="AK294" s="190"/>
      <c r="AL294" s="191"/>
      <c r="AM294" s="190"/>
      <c r="AN294" s="191"/>
      <c r="AO294" s="190"/>
      <c r="AP294" s="191"/>
      <c r="AQ294" s="190"/>
      <c r="AR294" s="191"/>
      <c r="AS294" s="190"/>
      <c r="AT294" s="191"/>
      <c r="AU294" s="190"/>
      <c r="AV294" s="191"/>
      <c r="AW294" s="190"/>
      <c r="AX294" s="191"/>
      <c r="AY294" s="190"/>
      <c r="AZ294" s="191"/>
      <c r="BA294" s="145" t="str">
        <f>IFERROR(INDEX($E$4:$AZ$4,SUMPRODUCT(MAX(COLUMN(Tbl_PDSAData[[#This Row],[D1]:[M24]])*(ListLookup!$G$3=Tbl_PDSAData[[#This Row],[D1]:[M24]]))-4)),"")</f>
        <v/>
      </c>
      <c r="BB294" s="145" t="str">
        <f>IFERROR(INDEX($E$4:$AZ$4,SUMPRODUCT(MAX(COLUMN(Tbl_PDSAData[[#This Row],[D1]:[M24]])*(ListLookup!$H$3=Tbl_PDSAData[[#This Row],[D1]:[M24]]))-4)),"")</f>
        <v/>
      </c>
    </row>
    <row r="295" spans="1:54" s="74" customFormat="1" x14ac:dyDescent="0.25">
      <c r="A295" s="189"/>
      <c r="B295" s="134" t="str">
        <f>IFERROR(INDEX(Tbl_ResidentData[Physician],MATCH(Tbl_PDSAData[[#This Row],[Resident Name (last, first)]],Tbl_ResidentData[Resident Name '[last, first']],0))&amp;"","")</f>
        <v/>
      </c>
      <c r="C295" s="135" t="str">
        <f>IFERROR(INDEX(Tbl_ResidentData[Diagnosis (RAI)],MATCH(Tbl_PDSAData[[#This Row],[Resident Name (last, first)]],Tbl_ResidentData[Resident Name '[last, first']],0))&amp;"","")</f>
        <v/>
      </c>
      <c r="D295" s="144" t="str">
        <f>IFERROR(INDEX(Tbl_ResidentData[Clinical Notes
'[free text']],MATCH(Tbl_PDSAData[[#This Row],[Resident Name (last, first)]],Tbl_ResidentData[Resident Name '[last, first']],0))&amp;"","")</f>
        <v/>
      </c>
      <c r="E295" s="190"/>
      <c r="F295" s="191"/>
      <c r="G295" s="190"/>
      <c r="H295" s="191"/>
      <c r="I295" s="190"/>
      <c r="J295" s="191"/>
      <c r="K295" s="190"/>
      <c r="L295" s="191"/>
      <c r="M295" s="190"/>
      <c r="N295" s="191"/>
      <c r="O295" s="190"/>
      <c r="P295" s="191"/>
      <c r="Q295" s="190"/>
      <c r="R295" s="191"/>
      <c r="S295" s="190"/>
      <c r="T295" s="191"/>
      <c r="U295" s="190"/>
      <c r="V295" s="191"/>
      <c r="W295" s="190"/>
      <c r="X295" s="191"/>
      <c r="Y295" s="190"/>
      <c r="Z295" s="191"/>
      <c r="AA295" s="190"/>
      <c r="AB295" s="191"/>
      <c r="AC295" s="190"/>
      <c r="AD295" s="191"/>
      <c r="AE295" s="190"/>
      <c r="AF295" s="191"/>
      <c r="AG295" s="190"/>
      <c r="AH295" s="191"/>
      <c r="AI295" s="190"/>
      <c r="AJ295" s="191"/>
      <c r="AK295" s="190"/>
      <c r="AL295" s="191"/>
      <c r="AM295" s="190"/>
      <c r="AN295" s="191"/>
      <c r="AO295" s="190"/>
      <c r="AP295" s="191"/>
      <c r="AQ295" s="190"/>
      <c r="AR295" s="191"/>
      <c r="AS295" s="190"/>
      <c r="AT295" s="191"/>
      <c r="AU295" s="190"/>
      <c r="AV295" s="191"/>
      <c r="AW295" s="190"/>
      <c r="AX295" s="191"/>
      <c r="AY295" s="190"/>
      <c r="AZ295" s="191"/>
      <c r="BA295" s="145" t="str">
        <f>IFERROR(INDEX($E$4:$AZ$4,SUMPRODUCT(MAX(COLUMN(Tbl_PDSAData[[#This Row],[D1]:[M24]])*(ListLookup!$G$3=Tbl_PDSAData[[#This Row],[D1]:[M24]]))-4)),"")</f>
        <v/>
      </c>
      <c r="BB295" s="145" t="str">
        <f>IFERROR(INDEX($E$4:$AZ$4,SUMPRODUCT(MAX(COLUMN(Tbl_PDSAData[[#This Row],[D1]:[M24]])*(ListLookup!$H$3=Tbl_PDSAData[[#This Row],[D1]:[M24]]))-4)),"")</f>
        <v/>
      </c>
    </row>
    <row r="296" spans="1:54" s="74" customFormat="1" x14ac:dyDescent="0.25">
      <c r="A296" s="189"/>
      <c r="B296" s="134" t="str">
        <f>IFERROR(INDEX(Tbl_ResidentData[Physician],MATCH(Tbl_PDSAData[[#This Row],[Resident Name (last, first)]],Tbl_ResidentData[Resident Name '[last, first']],0))&amp;"","")</f>
        <v/>
      </c>
      <c r="C296" s="135" t="str">
        <f>IFERROR(INDEX(Tbl_ResidentData[Diagnosis (RAI)],MATCH(Tbl_PDSAData[[#This Row],[Resident Name (last, first)]],Tbl_ResidentData[Resident Name '[last, first']],0))&amp;"","")</f>
        <v/>
      </c>
      <c r="D296" s="144" t="str">
        <f>IFERROR(INDEX(Tbl_ResidentData[Clinical Notes
'[free text']],MATCH(Tbl_PDSAData[[#This Row],[Resident Name (last, first)]],Tbl_ResidentData[Resident Name '[last, first']],0))&amp;"","")</f>
        <v/>
      </c>
      <c r="E296" s="190"/>
      <c r="F296" s="191"/>
      <c r="G296" s="190"/>
      <c r="H296" s="191"/>
      <c r="I296" s="190"/>
      <c r="J296" s="191"/>
      <c r="K296" s="190"/>
      <c r="L296" s="191"/>
      <c r="M296" s="190"/>
      <c r="N296" s="191"/>
      <c r="O296" s="190"/>
      <c r="P296" s="191"/>
      <c r="Q296" s="190"/>
      <c r="R296" s="191"/>
      <c r="S296" s="190"/>
      <c r="T296" s="191"/>
      <c r="U296" s="190"/>
      <c r="V296" s="191"/>
      <c r="W296" s="190"/>
      <c r="X296" s="191"/>
      <c r="Y296" s="190"/>
      <c r="Z296" s="191"/>
      <c r="AA296" s="190"/>
      <c r="AB296" s="191"/>
      <c r="AC296" s="190"/>
      <c r="AD296" s="191"/>
      <c r="AE296" s="190"/>
      <c r="AF296" s="191"/>
      <c r="AG296" s="190"/>
      <c r="AH296" s="191"/>
      <c r="AI296" s="190"/>
      <c r="AJ296" s="191"/>
      <c r="AK296" s="190"/>
      <c r="AL296" s="191"/>
      <c r="AM296" s="190"/>
      <c r="AN296" s="191"/>
      <c r="AO296" s="190"/>
      <c r="AP296" s="191"/>
      <c r="AQ296" s="190"/>
      <c r="AR296" s="191"/>
      <c r="AS296" s="190"/>
      <c r="AT296" s="191"/>
      <c r="AU296" s="190"/>
      <c r="AV296" s="191"/>
      <c r="AW296" s="190"/>
      <c r="AX296" s="191"/>
      <c r="AY296" s="190"/>
      <c r="AZ296" s="191"/>
      <c r="BA296" s="145" t="str">
        <f>IFERROR(INDEX($E$4:$AZ$4,SUMPRODUCT(MAX(COLUMN(Tbl_PDSAData[[#This Row],[D1]:[M24]])*(ListLookup!$G$3=Tbl_PDSAData[[#This Row],[D1]:[M24]]))-4)),"")</f>
        <v/>
      </c>
      <c r="BB296" s="145" t="str">
        <f>IFERROR(INDEX($E$4:$AZ$4,SUMPRODUCT(MAX(COLUMN(Tbl_PDSAData[[#This Row],[D1]:[M24]])*(ListLookup!$H$3=Tbl_PDSAData[[#This Row],[D1]:[M24]]))-4)),"")</f>
        <v/>
      </c>
    </row>
    <row r="297" spans="1:54" s="74" customFormat="1" x14ac:dyDescent="0.25">
      <c r="A297" s="189"/>
      <c r="B297" s="134" t="str">
        <f>IFERROR(INDEX(Tbl_ResidentData[Physician],MATCH(Tbl_PDSAData[[#This Row],[Resident Name (last, first)]],Tbl_ResidentData[Resident Name '[last, first']],0))&amp;"","")</f>
        <v/>
      </c>
      <c r="C297" s="135" t="str">
        <f>IFERROR(INDEX(Tbl_ResidentData[Diagnosis (RAI)],MATCH(Tbl_PDSAData[[#This Row],[Resident Name (last, first)]],Tbl_ResidentData[Resident Name '[last, first']],0))&amp;"","")</f>
        <v/>
      </c>
      <c r="D297" s="144" t="str">
        <f>IFERROR(INDEX(Tbl_ResidentData[Clinical Notes
'[free text']],MATCH(Tbl_PDSAData[[#This Row],[Resident Name (last, first)]],Tbl_ResidentData[Resident Name '[last, first']],0))&amp;"","")</f>
        <v/>
      </c>
      <c r="E297" s="190"/>
      <c r="F297" s="191"/>
      <c r="G297" s="190"/>
      <c r="H297" s="191"/>
      <c r="I297" s="190"/>
      <c r="J297" s="191"/>
      <c r="K297" s="190"/>
      <c r="L297" s="191"/>
      <c r="M297" s="190"/>
      <c r="N297" s="191"/>
      <c r="O297" s="190"/>
      <c r="P297" s="191"/>
      <c r="Q297" s="190"/>
      <c r="R297" s="191"/>
      <c r="S297" s="190"/>
      <c r="T297" s="191"/>
      <c r="U297" s="190"/>
      <c r="V297" s="191"/>
      <c r="W297" s="190"/>
      <c r="X297" s="191"/>
      <c r="Y297" s="190"/>
      <c r="Z297" s="191"/>
      <c r="AA297" s="190"/>
      <c r="AB297" s="191"/>
      <c r="AC297" s="190"/>
      <c r="AD297" s="191"/>
      <c r="AE297" s="190"/>
      <c r="AF297" s="191"/>
      <c r="AG297" s="190"/>
      <c r="AH297" s="191"/>
      <c r="AI297" s="190"/>
      <c r="AJ297" s="191"/>
      <c r="AK297" s="190"/>
      <c r="AL297" s="191"/>
      <c r="AM297" s="190"/>
      <c r="AN297" s="191"/>
      <c r="AO297" s="190"/>
      <c r="AP297" s="191"/>
      <c r="AQ297" s="190"/>
      <c r="AR297" s="191"/>
      <c r="AS297" s="190"/>
      <c r="AT297" s="191"/>
      <c r="AU297" s="190"/>
      <c r="AV297" s="191"/>
      <c r="AW297" s="190"/>
      <c r="AX297" s="191"/>
      <c r="AY297" s="190"/>
      <c r="AZ297" s="191"/>
      <c r="BA297" s="145" t="str">
        <f>IFERROR(INDEX($E$4:$AZ$4,SUMPRODUCT(MAX(COLUMN(Tbl_PDSAData[[#This Row],[D1]:[M24]])*(ListLookup!$G$3=Tbl_PDSAData[[#This Row],[D1]:[M24]]))-4)),"")</f>
        <v/>
      </c>
      <c r="BB297" s="145" t="str">
        <f>IFERROR(INDEX($E$4:$AZ$4,SUMPRODUCT(MAX(COLUMN(Tbl_PDSAData[[#This Row],[D1]:[M24]])*(ListLookup!$H$3=Tbl_PDSAData[[#This Row],[D1]:[M24]]))-4)),"")</f>
        <v/>
      </c>
    </row>
    <row r="298" spans="1:54" s="74" customFormat="1" x14ac:dyDescent="0.25">
      <c r="A298" s="189"/>
      <c r="B298" s="134" t="str">
        <f>IFERROR(INDEX(Tbl_ResidentData[Physician],MATCH(Tbl_PDSAData[[#This Row],[Resident Name (last, first)]],Tbl_ResidentData[Resident Name '[last, first']],0))&amp;"","")</f>
        <v/>
      </c>
      <c r="C298" s="135" t="str">
        <f>IFERROR(INDEX(Tbl_ResidentData[Diagnosis (RAI)],MATCH(Tbl_PDSAData[[#This Row],[Resident Name (last, first)]],Tbl_ResidentData[Resident Name '[last, first']],0))&amp;"","")</f>
        <v/>
      </c>
      <c r="D298" s="144" t="str">
        <f>IFERROR(INDEX(Tbl_ResidentData[Clinical Notes
'[free text']],MATCH(Tbl_PDSAData[[#This Row],[Resident Name (last, first)]],Tbl_ResidentData[Resident Name '[last, first']],0))&amp;"","")</f>
        <v/>
      </c>
      <c r="E298" s="190"/>
      <c r="F298" s="191"/>
      <c r="G298" s="190"/>
      <c r="H298" s="191"/>
      <c r="I298" s="190"/>
      <c r="J298" s="191"/>
      <c r="K298" s="190"/>
      <c r="L298" s="191"/>
      <c r="M298" s="190"/>
      <c r="N298" s="191"/>
      <c r="O298" s="190"/>
      <c r="P298" s="191"/>
      <c r="Q298" s="190"/>
      <c r="R298" s="191"/>
      <c r="S298" s="190"/>
      <c r="T298" s="191"/>
      <c r="U298" s="190"/>
      <c r="V298" s="191"/>
      <c r="W298" s="190"/>
      <c r="X298" s="191"/>
      <c r="Y298" s="190"/>
      <c r="Z298" s="191"/>
      <c r="AA298" s="190"/>
      <c r="AB298" s="191"/>
      <c r="AC298" s="190"/>
      <c r="AD298" s="191"/>
      <c r="AE298" s="190"/>
      <c r="AF298" s="191"/>
      <c r="AG298" s="190"/>
      <c r="AH298" s="191"/>
      <c r="AI298" s="190"/>
      <c r="AJ298" s="191"/>
      <c r="AK298" s="190"/>
      <c r="AL298" s="191"/>
      <c r="AM298" s="190"/>
      <c r="AN298" s="191"/>
      <c r="AO298" s="190"/>
      <c r="AP298" s="191"/>
      <c r="AQ298" s="190"/>
      <c r="AR298" s="191"/>
      <c r="AS298" s="190"/>
      <c r="AT298" s="191"/>
      <c r="AU298" s="190"/>
      <c r="AV298" s="191"/>
      <c r="AW298" s="190"/>
      <c r="AX298" s="191"/>
      <c r="AY298" s="190"/>
      <c r="AZ298" s="191"/>
      <c r="BA298" s="145" t="str">
        <f>IFERROR(INDEX($E$4:$AZ$4,SUMPRODUCT(MAX(COLUMN(Tbl_PDSAData[[#This Row],[D1]:[M24]])*(ListLookup!$G$3=Tbl_PDSAData[[#This Row],[D1]:[M24]]))-4)),"")</f>
        <v/>
      </c>
      <c r="BB298" s="145" t="str">
        <f>IFERROR(INDEX($E$4:$AZ$4,SUMPRODUCT(MAX(COLUMN(Tbl_PDSAData[[#This Row],[D1]:[M24]])*(ListLookup!$H$3=Tbl_PDSAData[[#This Row],[D1]:[M24]]))-4)),"")</f>
        <v/>
      </c>
    </row>
    <row r="299" spans="1:54" s="74" customFormat="1" x14ac:dyDescent="0.25">
      <c r="A299" s="189"/>
      <c r="B299" s="134" t="str">
        <f>IFERROR(INDEX(Tbl_ResidentData[Physician],MATCH(Tbl_PDSAData[[#This Row],[Resident Name (last, first)]],Tbl_ResidentData[Resident Name '[last, first']],0))&amp;"","")</f>
        <v/>
      </c>
      <c r="C299" s="135" t="str">
        <f>IFERROR(INDEX(Tbl_ResidentData[Diagnosis (RAI)],MATCH(Tbl_PDSAData[[#This Row],[Resident Name (last, first)]],Tbl_ResidentData[Resident Name '[last, first']],0))&amp;"","")</f>
        <v/>
      </c>
      <c r="D299" s="144" t="str">
        <f>IFERROR(INDEX(Tbl_ResidentData[Clinical Notes
'[free text']],MATCH(Tbl_PDSAData[[#This Row],[Resident Name (last, first)]],Tbl_ResidentData[Resident Name '[last, first']],0))&amp;"","")</f>
        <v/>
      </c>
      <c r="E299" s="190"/>
      <c r="F299" s="191"/>
      <c r="G299" s="190"/>
      <c r="H299" s="191"/>
      <c r="I299" s="190"/>
      <c r="J299" s="191"/>
      <c r="K299" s="190"/>
      <c r="L299" s="191"/>
      <c r="M299" s="190"/>
      <c r="N299" s="191"/>
      <c r="O299" s="190"/>
      <c r="P299" s="191"/>
      <c r="Q299" s="190"/>
      <c r="R299" s="191"/>
      <c r="S299" s="190"/>
      <c r="T299" s="191"/>
      <c r="U299" s="190"/>
      <c r="V299" s="191"/>
      <c r="W299" s="190"/>
      <c r="X299" s="191"/>
      <c r="Y299" s="190"/>
      <c r="Z299" s="191"/>
      <c r="AA299" s="190"/>
      <c r="AB299" s="191"/>
      <c r="AC299" s="190"/>
      <c r="AD299" s="191"/>
      <c r="AE299" s="190"/>
      <c r="AF299" s="191"/>
      <c r="AG299" s="190"/>
      <c r="AH299" s="191"/>
      <c r="AI299" s="190"/>
      <c r="AJ299" s="191"/>
      <c r="AK299" s="190"/>
      <c r="AL299" s="191"/>
      <c r="AM299" s="190"/>
      <c r="AN299" s="191"/>
      <c r="AO299" s="190"/>
      <c r="AP299" s="191"/>
      <c r="AQ299" s="190"/>
      <c r="AR299" s="191"/>
      <c r="AS299" s="190"/>
      <c r="AT299" s="191"/>
      <c r="AU299" s="190"/>
      <c r="AV299" s="191"/>
      <c r="AW299" s="190"/>
      <c r="AX299" s="191"/>
      <c r="AY299" s="190"/>
      <c r="AZ299" s="191"/>
      <c r="BA299" s="145" t="str">
        <f>IFERROR(INDEX($E$4:$AZ$4,SUMPRODUCT(MAX(COLUMN(Tbl_PDSAData[[#This Row],[D1]:[M24]])*(ListLookup!$G$3=Tbl_PDSAData[[#This Row],[D1]:[M24]]))-4)),"")</f>
        <v/>
      </c>
      <c r="BB299" s="145" t="str">
        <f>IFERROR(INDEX($E$4:$AZ$4,SUMPRODUCT(MAX(COLUMN(Tbl_PDSAData[[#This Row],[D1]:[M24]])*(ListLookup!$H$3=Tbl_PDSAData[[#This Row],[D1]:[M24]]))-4)),"")</f>
        <v/>
      </c>
    </row>
    <row r="300" spans="1:54" s="74" customFormat="1" x14ac:dyDescent="0.25">
      <c r="A300" s="189"/>
      <c r="B300" s="134" t="str">
        <f>IFERROR(INDEX(Tbl_ResidentData[Physician],MATCH(Tbl_PDSAData[[#This Row],[Resident Name (last, first)]],Tbl_ResidentData[Resident Name '[last, first']],0))&amp;"","")</f>
        <v/>
      </c>
      <c r="C300" s="135" t="str">
        <f>IFERROR(INDEX(Tbl_ResidentData[Diagnosis (RAI)],MATCH(Tbl_PDSAData[[#This Row],[Resident Name (last, first)]],Tbl_ResidentData[Resident Name '[last, first']],0))&amp;"","")</f>
        <v/>
      </c>
      <c r="D300" s="144" t="str">
        <f>IFERROR(INDEX(Tbl_ResidentData[Clinical Notes
'[free text']],MATCH(Tbl_PDSAData[[#This Row],[Resident Name (last, first)]],Tbl_ResidentData[Resident Name '[last, first']],0))&amp;"","")</f>
        <v/>
      </c>
      <c r="E300" s="190"/>
      <c r="F300" s="191"/>
      <c r="G300" s="190"/>
      <c r="H300" s="191"/>
      <c r="I300" s="190"/>
      <c r="J300" s="191"/>
      <c r="K300" s="190"/>
      <c r="L300" s="191"/>
      <c r="M300" s="190"/>
      <c r="N300" s="191"/>
      <c r="O300" s="190"/>
      <c r="P300" s="191"/>
      <c r="Q300" s="190"/>
      <c r="R300" s="191"/>
      <c r="S300" s="190"/>
      <c r="T300" s="191"/>
      <c r="U300" s="190"/>
      <c r="V300" s="191"/>
      <c r="W300" s="190"/>
      <c r="X300" s="191"/>
      <c r="Y300" s="190"/>
      <c r="Z300" s="191"/>
      <c r="AA300" s="190"/>
      <c r="AB300" s="191"/>
      <c r="AC300" s="190"/>
      <c r="AD300" s="191"/>
      <c r="AE300" s="190"/>
      <c r="AF300" s="191"/>
      <c r="AG300" s="190"/>
      <c r="AH300" s="191"/>
      <c r="AI300" s="190"/>
      <c r="AJ300" s="191"/>
      <c r="AK300" s="190"/>
      <c r="AL300" s="191"/>
      <c r="AM300" s="190"/>
      <c r="AN300" s="191"/>
      <c r="AO300" s="190"/>
      <c r="AP300" s="191"/>
      <c r="AQ300" s="190"/>
      <c r="AR300" s="191"/>
      <c r="AS300" s="190"/>
      <c r="AT300" s="191"/>
      <c r="AU300" s="190"/>
      <c r="AV300" s="191"/>
      <c r="AW300" s="190"/>
      <c r="AX300" s="191"/>
      <c r="AY300" s="190"/>
      <c r="AZ300" s="191"/>
      <c r="BA300" s="145" t="str">
        <f>IFERROR(INDEX($E$4:$AZ$4,SUMPRODUCT(MAX(COLUMN(Tbl_PDSAData[[#This Row],[D1]:[M24]])*(ListLookup!$G$3=Tbl_PDSAData[[#This Row],[D1]:[M24]]))-4)),"")</f>
        <v/>
      </c>
      <c r="BB300" s="145" t="str">
        <f>IFERROR(INDEX($E$4:$AZ$4,SUMPRODUCT(MAX(COLUMN(Tbl_PDSAData[[#This Row],[D1]:[M24]])*(ListLookup!$H$3=Tbl_PDSAData[[#This Row],[D1]:[M24]]))-4)),"")</f>
        <v/>
      </c>
    </row>
    <row r="301" spans="1:54" s="74" customFormat="1" x14ac:dyDescent="0.25">
      <c r="A301" s="189"/>
      <c r="B301" s="134" t="str">
        <f>IFERROR(INDEX(Tbl_ResidentData[Physician],MATCH(Tbl_PDSAData[[#This Row],[Resident Name (last, first)]],Tbl_ResidentData[Resident Name '[last, first']],0))&amp;"","")</f>
        <v/>
      </c>
      <c r="C301" s="135" t="str">
        <f>IFERROR(INDEX(Tbl_ResidentData[Diagnosis (RAI)],MATCH(Tbl_PDSAData[[#This Row],[Resident Name (last, first)]],Tbl_ResidentData[Resident Name '[last, first']],0))&amp;"","")</f>
        <v/>
      </c>
      <c r="D301" s="144" t="str">
        <f>IFERROR(INDEX(Tbl_ResidentData[Clinical Notes
'[free text']],MATCH(Tbl_PDSAData[[#This Row],[Resident Name (last, first)]],Tbl_ResidentData[Resident Name '[last, first']],0))&amp;"","")</f>
        <v/>
      </c>
      <c r="E301" s="190"/>
      <c r="F301" s="191"/>
      <c r="G301" s="190"/>
      <c r="H301" s="191"/>
      <c r="I301" s="190"/>
      <c r="J301" s="191"/>
      <c r="K301" s="190"/>
      <c r="L301" s="191"/>
      <c r="M301" s="190"/>
      <c r="N301" s="191"/>
      <c r="O301" s="190"/>
      <c r="P301" s="191"/>
      <c r="Q301" s="190"/>
      <c r="R301" s="191"/>
      <c r="S301" s="190"/>
      <c r="T301" s="191"/>
      <c r="U301" s="190"/>
      <c r="V301" s="191"/>
      <c r="W301" s="190"/>
      <c r="X301" s="191"/>
      <c r="Y301" s="190"/>
      <c r="Z301" s="191"/>
      <c r="AA301" s="190"/>
      <c r="AB301" s="191"/>
      <c r="AC301" s="190"/>
      <c r="AD301" s="191"/>
      <c r="AE301" s="190"/>
      <c r="AF301" s="191"/>
      <c r="AG301" s="190"/>
      <c r="AH301" s="191"/>
      <c r="AI301" s="190"/>
      <c r="AJ301" s="191"/>
      <c r="AK301" s="190"/>
      <c r="AL301" s="191"/>
      <c r="AM301" s="190"/>
      <c r="AN301" s="191"/>
      <c r="AO301" s="190"/>
      <c r="AP301" s="191"/>
      <c r="AQ301" s="190"/>
      <c r="AR301" s="191"/>
      <c r="AS301" s="190"/>
      <c r="AT301" s="191"/>
      <c r="AU301" s="190"/>
      <c r="AV301" s="191"/>
      <c r="AW301" s="190"/>
      <c r="AX301" s="191"/>
      <c r="AY301" s="190"/>
      <c r="AZ301" s="191"/>
      <c r="BA301" s="145" t="str">
        <f>IFERROR(INDEX($E$4:$AZ$4,SUMPRODUCT(MAX(COLUMN(Tbl_PDSAData[[#This Row],[D1]:[M24]])*(ListLookup!$G$3=Tbl_PDSAData[[#This Row],[D1]:[M24]]))-4)),"")</f>
        <v/>
      </c>
      <c r="BB301" s="145" t="str">
        <f>IFERROR(INDEX($E$4:$AZ$4,SUMPRODUCT(MAX(COLUMN(Tbl_PDSAData[[#This Row],[D1]:[M24]])*(ListLookup!$H$3=Tbl_PDSAData[[#This Row],[D1]:[M24]]))-4)),"")</f>
        <v/>
      </c>
    </row>
    <row r="302" spans="1:54" s="74" customFormat="1" x14ac:dyDescent="0.25">
      <c r="A302" s="189"/>
      <c r="B302" s="134" t="str">
        <f>IFERROR(INDEX(Tbl_ResidentData[Physician],MATCH(Tbl_PDSAData[[#This Row],[Resident Name (last, first)]],Tbl_ResidentData[Resident Name '[last, first']],0))&amp;"","")</f>
        <v/>
      </c>
      <c r="C302" s="135" t="str">
        <f>IFERROR(INDEX(Tbl_ResidentData[Diagnosis (RAI)],MATCH(Tbl_PDSAData[[#This Row],[Resident Name (last, first)]],Tbl_ResidentData[Resident Name '[last, first']],0))&amp;"","")</f>
        <v/>
      </c>
      <c r="D302" s="144" t="str">
        <f>IFERROR(INDEX(Tbl_ResidentData[Clinical Notes
'[free text']],MATCH(Tbl_PDSAData[[#This Row],[Resident Name (last, first)]],Tbl_ResidentData[Resident Name '[last, first']],0))&amp;"","")</f>
        <v/>
      </c>
      <c r="E302" s="190"/>
      <c r="F302" s="191"/>
      <c r="G302" s="190"/>
      <c r="H302" s="191"/>
      <c r="I302" s="190"/>
      <c r="J302" s="191"/>
      <c r="K302" s="190"/>
      <c r="L302" s="191"/>
      <c r="M302" s="190"/>
      <c r="N302" s="191"/>
      <c r="O302" s="190"/>
      <c r="P302" s="191"/>
      <c r="Q302" s="190"/>
      <c r="R302" s="191"/>
      <c r="S302" s="190"/>
      <c r="T302" s="191"/>
      <c r="U302" s="190"/>
      <c r="V302" s="191"/>
      <c r="W302" s="190"/>
      <c r="X302" s="191"/>
      <c r="Y302" s="190"/>
      <c r="Z302" s="191"/>
      <c r="AA302" s="190"/>
      <c r="AB302" s="191"/>
      <c r="AC302" s="190"/>
      <c r="AD302" s="191"/>
      <c r="AE302" s="190"/>
      <c r="AF302" s="191"/>
      <c r="AG302" s="190"/>
      <c r="AH302" s="191"/>
      <c r="AI302" s="190"/>
      <c r="AJ302" s="191"/>
      <c r="AK302" s="190"/>
      <c r="AL302" s="191"/>
      <c r="AM302" s="190"/>
      <c r="AN302" s="191"/>
      <c r="AO302" s="190"/>
      <c r="AP302" s="191"/>
      <c r="AQ302" s="190"/>
      <c r="AR302" s="191"/>
      <c r="AS302" s="190"/>
      <c r="AT302" s="191"/>
      <c r="AU302" s="190"/>
      <c r="AV302" s="191"/>
      <c r="AW302" s="190"/>
      <c r="AX302" s="191"/>
      <c r="AY302" s="190"/>
      <c r="AZ302" s="191"/>
      <c r="BA302" s="145" t="str">
        <f>IFERROR(INDEX($E$4:$AZ$4,SUMPRODUCT(MAX(COLUMN(Tbl_PDSAData[[#This Row],[D1]:[M24]])*(ListLookup!$G$3=Tbl_PDSAData[[#This Row],[D1]:[M24]]))-4)),"")</f>
        <v/>
      </c>
      <c r="BB302" s="145" t="str">
        <f>IFERROR(INDEX($E$4:$AZ$4,SUMPRODUCT(MAX(COLUMN(Tbl_PDSAData[[#This Row],[D1]:[M24]])*(ListLookup!$H$3=Tbl_PDSAData[[#This Row],[D1]:[M24]]))-4)),"")</f>
        <v/>
      </c>
    </row>
    <row r="303" spans="1:54" s="74" customFormat="1" x14ac:dyDescent="0.25">
      <c r="A303" s="189"/>
      <c r="B303" s="134" t="str">
        <f>IFERROR(INDEX(Tbl_ResidentData[Physician],MATCH(Tbl_PDSAData[[#This Row],[Resident Name (last, first)]],Tbl_ResidentData[Resident Name '[last, first']],0))&amp;"","")</f>
        <v/>
      </c>
      <c r="C303" s="135" t="str">
        <f>IFERROR(INDEX(Tbl_ResidentData[Diagnosis (RAI)],MATCH(Tbl_PDSAData[[#This Row],[Resident Name (last, first)]],Tbl_ResidentData[Resident Name '[last, first']],0))&amp;"","")</f>
        <v/>
      </c>
      <c r="D303" s="144" t="str">
        <f>IFERROR(INDEX(Tbl_ResidentData[Clinical Notes
'[free text']],MATCH(Tbl_PDSAData[[#This Row],[Resident Name (last, first)]],Tbl_ResidentData[Resident Name '[last, first']],0))&amp;"","")</f>
        <v/>
      </c>
      <c r="E303" s="190"/>
      <c r="F303" s="191"/>
      <c r="G303" s="190"/>
      <c r="H303" s="191"/>
      <c r="I303" s="190"/>
      <c r="J303" s="191"/>
      <c r="K303" s="190"/>
      <c r="L303" s="191"/>
      <c r="M303" s="190"/>
      <c r="N303" s="191"/>
      <c r="O303" s="190"/>
      <c r="P303" s="191"/>
      <c r="Q303" s="190"/>
      <c r="R303" s="191"/>
      <c r="S303" s="190"/>
      <c r="T303" s="191"/>
      <c r="U303" s="190"/>
      <c r="V303" s="191"/>
      <c r="W303" s="190"/>
      <c r="X303" s="191"/>
      <c r="Y303" s="190"/>
      <c r="Z303" s="191"/>
      <c r="AA303" s="190"/>
      <c r="AB303" s="191"/>
      <c r="AC303" s="190"/>
      <c r="AD303" s="191"/>
      <c r="AE303" s="190"/>
      <c r="AF303" s="191"/>
      <c r="AG303" s="190"/>
      <c r="AH303" s="191"/>
      <c r="AI303" s="190"/>
      <c r="AJ303" s="191"/>
      <c r="AK303" s="190"/>
      <c r="AL303" s="191"/>
      <c r="AM303" s="190"/>
      <c r="AN303" s="191"/>
      <c r="AO303" s="190"/>
      <c r="AP303" s="191"/>
      <c r="AQ303" s="190"/>
      <c r="AR303" s="191"/>
      <c r="AS303" s="190"/>
      <c r="AT303" s="191"/>
      <c r="AU303" s="190"/>
      <c r="AV303" s="191"/>
      <c r="AW303" s="190"/>
      <c r="AX303" s="191"/>
      <c r="AY303" s="190"/>
      <c r="AZ303" s="191"/>
      <c r="BA303" s="145" t="str">
        <f>IFERROR(INDEX($E$4:$AZ$4,SUMPRODUCT(MAX(COLUMN(Tbl_PDSAData[[#This Row],[D1]:[M24]])*(ListLookup!$G$3=Tbl_PDSAData[[#This Row],[D1]:[M24]]))-4)),"")</f>
        <v/>
      </c>
      <c r="BB303" s="145" t="str">
        <f>IFERROR(INDEX($E$4:$AZ$4,SUMPRODUCT(MAX(COLUMN(Tbl_PDSAData[[#This Row],[D1]:[M24]])*(ListLookup!$H$3=Tbl_PDSAData[[#This Row],[D1]:[M24]]))-4)),"")</f>
        <v/>
      </c>
    </row>
    <row r="304" spans="1:54" s="74" customFormat="1" x14ac:dyDescent="0.25">
      <c r="A304" s="189"/>
      <c r="B304" s="134" t="str">
        <f>IFERROR(INDEX(Tbl_ResidentData[Physician],MATCH(Tbl_PDSAData[[#This Row],[Resident Name (last, first)]],Tbl_ResidentData[Resident Name '[last, first']],0))&amp;"","")</f>
        <v/>
      </c>
      <c r="C304" s="135" t="str">
        <f>IFERROR(INDEX(Tbl_ResidentData[Diagnosis (RAI)],MATCH(Tbl_PDSAData[[#This Row],[Resident Name (last, first)]],Tbl_ResidentData[Resident Name '[last, first']],0))&amp;"","")</f>
        <v/>
      </c>
      <c r="D304" s="144" t="str">
        <f>IFERROR(INDEX(Tbl_ResidentData[Clinical Notes
'[free text']],MATCH(Tbl_PDSAData[[#This Row],[Resident Name (last, first)]],Tbl_ResidentData[Resident Name '[last, first']],0))&amp;"","")</f>
        <v/>
      </c>
      <c r="E304" s="190"/>
      <c r="F304" s="191"/>
      <c r="G304" s="190"/>
      <c r="H304" s="191"/>
      <c r="I304" s="190"/>
      <c r="J304" s="191"/>
      <c r="K304" s="190"/>
      <c r="L304" s="191"/>
      <c r="M304" s="190"/>
      <c r="N304" s="191"/>
      <c r="O304" s="190"/>
      <c r="P304" s="191"/>
      <c r="Q304" s="190"/>
      <c r="R304" s="191"/>
      <c r="S304" s="190"/>
      <c r="T304" s="191"/>
      <c r="U304" s="190"/>
      <c r="V304" s="191"/>
      <c r="W304" s="190"/>
      <c r="X304" s="191"/>
      <c r="Y304" s="190"/>
      <c r="Z304" s="191"/>
      <c r="AA304" s="190"/>
      <c r="AB304" s="191"/>
      <c r="AC304" s="190"/>
      <c r="AD304" s="191"/>
      <c r="AE304" s="190"/>
      <c r="AF304" s="191"/>
      <c r="AG304" s="190"/>
      <c r="AH304" s="191"/>
      <c r="AI304" s="190"/>
      <c r="AJ304" s="191"/>
      <c r="AK304" s="190"/>
      <c r="AL304" s="191"/>
      <c r="AM304" s="190"/>
      <c r="AN304" s="191"/>
      <c r="AO304" s="190"/>
      <c r="AP304" s="191"/>
      <c r="AQ304" s="190"/>
      <c r="AR304" s="191"/>
      <c r="AS304" s="190"/>
      <c r="AT304" s="191"/>
      <c r="AU304" s="190"/>
      <c r="AV304" s="191"/>
      <c r="AW304" s="190"/>
      <c r="AX304" s="191"/>
      <c r="AY304" s="190"/>
      <c r="AZ304" s="191"/>
      <c r="BA304" s="145" t="str">
        <f>IFERROR(INDEX($E$4:$AZ$4,SUMPRODUCT(MAX(COLUMN(Tbl_PDSAData[[#This Row],[D1]:[M24]])*(ListLookup!$G$3=Tbl_PDSAData[[#This Row],[D1]:[M24]]))-4)),"")</f>
        <v/>
      </c>
      <c r="BB304" s="145" t="str">
        <f>IFERROR(INDEX($E$4:$AZ$4,SUMPRODUCT(MAX(COLUMN(Tbl_PDSAData[[#This Row],[D1]:[M24]])*(ListLookup!$H$3=Tbl_PDSAData[[#This Row],[D1]:[M24]]))-4)),"")</f>
        <v/>
      </c>
    </row>
    <row r="305" spans="1:54" s="74" customFormat="1" x14ac:dyDescent="0.25">
      <c r="A305" s="189"/>
      <c r="B305" s="134" t="str">
        <f>IFERROR(INDEX(Tbl_ResidentData[Physician],MATCH(Tbl_PDSAData[[#This Row],[Resident Name (last, first)]],Tbl_ResidentData[Resident Name '[last, first']],0))&amp;"","")</f>
        <v/>
      </c>
      <c r="C305" s="135" t="str">
        <f>IFERROR(INDEX(Tbl_ResidentData[Diagnosis (RAI)],MATCH(Tbl_PDSAData[[#This Row],[Resident Name (last, first)]],Tbl_ResidentData[Resident Name '[last, first']],0))&amp;"","")</f>
        <v/>
      </c>
      <c r="D305" s="144" t="str">
        <f>IFERROR(INDEX(Tbl_ResidentData[Clinical Notes
'[free text']],MATCH(Tbl_PDSAData[[#This Row],[Resident Name (last, first)]],Tbl_ResidentData[Resident Name '[last, first']],0))&amp;"","")</f>
        <v/>
      </c>
      <c r="E305" s="190"/>
      <c r="F305" s="191"/>
      <c r="G305" s="190"/>
      <c r="H305" s="191"/>
      <c r="I305" s="190"/>
      <c r="J305" s="191"/>
      <c r="K305" s="190"/>
      <c r="L305" s="191"/>
      <c r="M305" s="190"/>
      <c r="N305" s="191"/>
      <c r="O305" s="190"/>
      <c r="P305" s="191"/>
      <c r="Q305" s="190"/>
      <c r="R305" s="191"/>
      <c r="S305" s="190"/>
      <c r="T305" s="191"/>
      <c r="U305" s="190"/>
      <c r="V305" s="191"/>
      <c r="W305" s="190"/>
      <c r="X305" s="191"/>
      <c r="Y305" s="190"/>
      <c r="Z305" s="191"/>
      <c r="AA305" s="190"/>
      <c r="AB305" s="191"/>
      <c r="AC305" s="190"/>
      <c r="AD305" s="191"/>
      <c r="AE305" s="190"/>
      <c r="AF305" s="191"/>
      <c r="AG305" s="190"/>
      <c r="AH305" s="191"/>
      <c r="AI305" s="190"/>
      <c r="AJ305" s="191"/>
      <c r="AK305" s="190"/>
      <c r="AL305" s="191"/>
      <c r="AM305" s="190"/>
      <c r="AN305" s="191"/>
      <c r="AO305" s="190"/>
      <c r="AP305" s="191"/>
      <c r="AQ305" s="190"/>
      <c r="AR305" s="191"/>
      <c r="AS305" s="190"/>
      <c r="AT305" s="191"/>
      <c r="AU305" s="190"/>
      <c r="AV305" s="191"/>
      <c r="AW305" s="190"/>
      <c r="AX305" s="191"/>
      <c r="AY305" s="190"/>
      <c r="AZ305" s="191"/>
      <c r="BA305" s="145" t="str">
        <f>IFERROR(INDEX($E$4:$AZ$4,SUMPRODUCT(MAX(COLUMN(Tbl_PDSAData[[#This Row],[D1]:[M24]])*(ListLookup!$G$3=Tbl_PDSAData[[#This Row],[D1]:[M24]]))-4)),"")</f>
        <v/>
      </c>
      <c r="BB305" s="145" t="str">
        <f>IFERROR(INDEX($E$4:$AZ$4,SUMPRODUCT(MAX(COLUMN(Tbl_PDSAData[[#This Row],[D1]:[M24]])*(ListLookup!$H$3=Tbl_PDSAData[[#This Row],[D1]:[M24]]))-4)),"")</f>
        <v/>
      </c>
    </row>
  </sheetData>
  <sheetProtection password="918C" sheet="1" objects="1" scenarios="1"/>
  <mergeCells count="24">
    <mergeCell ref="AY3:AZ3"/>
    <mergeCell ref="AC3:AD3"/>
    <mergeCell ref="AE3:AF3"/>
    <mergeCell ref="AG3:AH3"/>
    <mergeCell ref="AI3:AJ3"/>
    <mergeCell ref="AK3:AL3"/>
    <mergeCell ref="AM3:AN3"/>
    <mergeCell ref="AO3:AP3"/>
    <mergeCell ref="AQ3:AR3"/>
    <mergeCell ref="AS3:AT3"/>
    <mergeCell ref="AU3:AV3"/>
    <mergeCell ref="AW3:AX3"/>
    <mergeCell ref="AA3:AB3"/>
    <mergeCell ref="E3:F3"/>
    <mergeCell ref="G3:H3"/>
    <mergeCell ref="I3:J3"/>
    <mergeCell ref="K3:L3"/>
    <mergeCell ref="M3:N3"/>
    <mergeCell ref="O3:P3"/>
    <mergeCell ref="Q3:R3"/>
    <mergeCell ref="S3:T3"/>
    <mergeCell ref="U3:V3"/>
    <mergeCell ref="W3:X3"/>
    <mergeCell ref="Y3:Z3"/>
  </mergeCells>
  <conditionalFormatting sqref="E6:AZ305">
    <cfRule type="containsText" dxfId="4" priority="1" operator="containsText" text="M">
      <formula>NOT(ISERROR(SEARCH("M",E6)))</formula>
    </cfRule>
    <cfRule type="containsText" dxfId="3" priority="2" operator="containsText" text="D">
      <formula>NOT(ISERROR(SEARCH("D",E6)))</formula>
    </cfRule>
  </conditionalFormatting>
  <dataValidations count="3">
    <dataValidation type="list" allowBlank="1" showInputMessage="1" showErrorMessage="1" sqref="A6:A305">
      <formula1>List_ResidentNamesSorted</formula1>
    </dataValidation>
    <dataValidation type="list" allowBlank="1" showInputMessage="1" showErrorMessage="1" sqref="E6:E305 G6:G305 I6:I305 K6:K305 M6:M305 O6:O305 Q6:Q305 S6:S305 U6:U305 W6:W305 Y6:Y305 AA6:AA305 AC6:AC305 AE6:AE305 AG6:AG305 AI6:AI305 AK6:AK305 AM6:AM305 AO6:AO305 AQ6:AQ305 AS6:AS305 AU6:AU305 AW6:AW305 AY6:AY305">
      <formula1>List_DRTCheck</formula1>
    </dataValidation>
    <dataValidation type="list" allowBlank="1" showInputMessage="1" showErrorMessage="1" sqref="F6:F305 H6:H305 J6:J305 L6:L305 N6:N305 P6:P305 R6:R305 T6:T305 V6:V305 X6:X305 Z6:Z305 AB6:AB305 AD6:AD305 AF6:AF305 AH6:AH305 AJ6:AJ305 AL6:AL305 AN6:AN305 AP6:AP305 AR6:AR305 AT6:AT305 AV6:AV305 AX6:AX305 AZ6:AZ305">
      <formula1>List_MedCheck</formula1>
    </dataValidation>
  </dataValidations>
  <pageMargins left="7.874015748031496E-2" right="7.874015748031496E-2" top="7.874015748031496E-2" bottom="7.874015748031496E-2" header="0" footer="0"/>
  <pageSetup paperSize="5" pageOrder="overThenDown"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6" tint="0.39997558519241921"/>
    <pageSetUpPr fitToPage="1"/>
  </sheetPr>
  <dimension ref="A1:AK150"/>
  <sheetViews>
    <sheetView showGridLines="0" zoomScaleNormal="100" zoomScaleSheetLayoutView="100" workbookViewId="0"/>
  </sheetViews>
  <sheetFormatPr defaultColWidth="11.7109375" defaultRowHeight="15" x14ac:dyDescent="0.25"/>
  <cols>
    <col min="1" max="1" width="2.7109375" style="267" customWidth="1"/>
    <col min="2" max="2" width="4.7109375" style="470" customWidth="1"/>
    <col min="3" max="12" width="4.7109375" style="267" customWidth="1"/>
    <col min="13" max="13" width="4.7109375" style="279" customWidth="1"/>
    <col min="14" max="17" width="4.7109375" style="278" customWidth="1"/>
    <col min="18" max="20" width="4.7109375" style="279" customWidth="1"/>
    <col min="21" max="21" width="4.7109375" style="267" customWidth="1"/>
    <col min="22" max="22" width="4.7109375" style="275" customWidth="1"/>
    <col min="23" max="23" width="4.7109375" style="279" customWidth="1"/>
    <col min="24" max="24" width="4.7109375" style="267" customWidth="1"/>
    <col min="25" max="25" width="4.7109375" style="279" customWidth="1"/>
    <col min="26" max="26" width="4.7109375" style="267" customWidth="1"/>
    <col min="27" max="27" width="4.7109375" style="279" customWidth="1"/>
    <col min="28" max="36" width="4.7109375" style="267" customWidth="1"/>
    <col min="37" max="16384" width="11.7109375" style="267"/>
  </cols>
  <sheetData>
    <row r="1" spans="1:36" s="259" customFormat="1" ht="21" x14ac:dyDescent="0.35">
      <c r="A1" s="258" t="s">
        <v>204</v>
      </c>
      <c r="B1" s="466"/>
      <c r="M1" s="260"/>
      <c r="N1" s="261"/>
      <c r="O1" s="261"/>
      <c r="P1" s="261"/>
      <c r="Q1" s="261"/>
      <c r="R1" s="260"/>
      <c r="S1" s="260"/>
      <c r="T1" s="260"/>
      <c r="V1" s="262"/>
      <c r="W1" s="260"/>
      <c r="Y1" s="260"/>
      <c r="AA1" s="260"/>
    </row>
    <row r="2" spans="1:36" s="272" customFormat="1" ht="18.75" x14ac:dyDescent="0.3">
      <c r="A2" s="284" t="s">
        <v>339</v>
      </c>
      <c r="B2" s="502"/>
      <c r="M2" s="304"/>
      <c r="N2" s="411"/>
      <c r="O2" s="411"/>
      <c r="P2" s="411"/>
      <c r="Q2" s="411"/>
      <c r="R2" s="304"/>
      <c r="S2" s="304"/>
      <c r="T2" s="304"/>
      <c r="V2" s="412"/>
      <c r="W2" s="304"/>
      <c r="Y2" s="304"/>
      <c r="AA2" s="304"/>
    </row>
    <row r="3" spans="1:36" s="264" customFormat="1" hidden="1" x14ac:dyDescent="0.25">
      <c r="B3" s="265" t="s">
        <v>250</v>
      </c>
      <c r="C3" s="265"/>
      <c r="D3" s="265"/>
      <c r="E3" s="265"/>
      <c r="F3" s="265"/>
      <c r="G3" s="265"/>
      <c r="H3" s="265"/>
      <c r="I3" s="265"/>
      <c r="J3" s="265"/>
      <c r="K3" s="265"/>
      <c r="L3" s="264">
        <f>IF(COUNTA($L$7:L$7)&lt;=$L$35,1,0)</f>
        <v>1</v>
      </c>
      <c r="M3" s="264">
        <f>IF(COUNTA($L$7:M$7)&lt;=$L$35,1,0)</f>
        <v>1</v>
      </c>
      <c r="N3" s="264">
        <f>IF(COUNTA($L$7:N$7)&lt;=$L$35,1,0)</f>
        <v>1</v>
      </c>
      <c r="O3" s="264">
        <f>IF(COUNTA($L$7:O$7)&lt;=$L$35,1,0)</f>
        <v>1</v>
      </c>
      <c r="P3" s="264">
        <f>IF(COUNTA($L$7:P$7)&lt;=$L$35,1,0)</f>
        <v>1</v>
      </c>
      <c r="Q3" s="264">
        <f>IF(COUNTA($L$7:Q$7)&lt;=$L$35,1,0)</f>
        <v>1</v>
      </c>
      <c r="R3" s="264">
        <f>IF(COUNTA($L$7:R$7)&lt;=$L$35,1,0)</f>
        <v>1</v>
      </c>
      <c r="S3" s="264">
        <f>IF(COUNTA($L$7:S$7)&lt;=$L$35,1,0)</f>
        <v>1</v>
      </c>
      <c r="T3" s="264">
        <f>IF(COUNTA($L$7:T$7)&lt;=$L$35,1,0)</f>
        <v>1</v>
      </c>
      <c r="U3" s="264">
        <f>IF(COUNTA($L$7:U$7)&lt;=$L$35,1,0)</f>
        <v>1</v>
      </c>
      <c r="V3" s="264">
        <f>IF(COUNTA($L$7:V$7)&lt;=$L$35,1,0)</f>
        <v>1</v>
      </c>
      <c r="W3" s="264">
        <f>IF(COUNTA($L$7:W$7)&lt;=$L$35,1,0)</f>
        <v>1</v>
      </c>
      <c r="X3" s="264">
        <f>IF(COUNTA($L$7:X$7)&lt;=$L$35,1,0)</f>
        <v>1</v>
      </c>
      <c r="Y3" s="264">
        <f>IF(COUNTA($L$7:Y$7)&lt;=$L$35,1,0)</f>
        <v>1</v>
      </c>
      <c r="Z3" s="264">
        <f>IF(COUNTA($L$7:Z$7)&lt;=$L$35,1,0)</f>
        <v>1</v>
      </c>
      <c r="AA3" s="264">
        <f>IF(COUNTA($L$7:AA$7)&lt;=$L$35,1,0)</f>
        <v>0</v>
      </c>
      <c r="AB3" s="264">
        <f>IF(COUNTA($L$7:AB$7)&lt;=$L$35,1,0)</f>
        <v>0</v>
      </c>
      <c r="AC3" s="264">
        <f>IF(COUNTA($L$7:AC$7)&lt;=$L$35,1,0)</f>
        <v>0</v>
      </c>
      <c r="AD3" s="264">
        <f>IF(COUNTA($L$7:AD$7)&lt;=$L$35,1,0)</f>
        <v>0</v>
      </c>
      <c r="AE3" s="264">
        <f>IF(COUNTA($L$7:AE$7)&lt;=$L$35,1,0)</f>
        <v>0</v>
      </c>
      <c r="AF3" s="264">
        <f>IF(COUNTA($L$7:AF$7)&lt;=$L$35,1,0)</f>
        <v>0</v>
      </c>
      <c r="AG3" s="264">
        <f>IF(COUNTA($L$7:AG$7)&lt;=$L$35,1,0)</f>
        <v>0</v>
      </c>
      <c r="AH3" s="264">
        <f>IF(COUNTA($L$7:AH$7)&lt;=$L$35,1,0)</f>
        <v>0</v>
      </c>
      <c r="AI3" s="264">
        <f>IF(COUNTA($L$7:AI$7)&lt;=$L$35,1,0)</f>
        <v>0</v>
      </c>
    </row>
    <row r="4" spans="1:36" s="264" customFormat="1" hidden="1" x14ac:dyDescent="0.25">
      <c r="B4" s="265" t="s">
        <v>252</v>
      </c>
      <c r="C4" s="265"/>
      <c r="D4" s="265"/>
      <c r="E4" s="265"/>
      <c r="F4" s="265"/>
      <c r="G4" s="265"/>
      <c r="H4" s="265"/>
      <c r="I4" s="265"/>
      <c r="J4" s="265"/>
      <c r="K4" s="265"/>
      <c r="L4" s="264">
        <f ca="1">IF(L$7&lt;=TODAY(),1,0)</f>
        <v>1</v>
      </c>
      <c r="M4" s="264">
        <f t="shared" ref="M4:AI4" ca="1" si="0">IF(M$7&lt;=TODAY(),1,0)</f>
        <v>0</v>
      </c>
      <c r="N4" s="264">
        <f t="shared" ca="1" si="0"/>
        <v>0</v>
      </c>
      <c r="O4" s="264">
        <f t="shared" ca="1" si="0"/>
        <v>0</v>
      </c>
      <c r="P4" s="264">
        <f t="shared" ca="1" si="0"/>
        <v>0</v>
      </c>
      <c r="Q4" s="264">
        <f t="shared" ca="1" si="0"/>
        <v>0</v>
      </c>
      <c r="R4" s="264">
        <f t="shared" ca="1" si="0"/>
        <v>0</v>
      </c>
      <c r="S4" s="264">
        <f t="shared" ca="1" si="0"/>
        <v>0</v>
      </c>
      <c r="T4" s="264">
        <f t="shared" ca="1" si="0"/>
        <v>0</v>
      </c>
      <c r="U4" s="264">
        <f t="shared" ca="1" si="0"/>
        <v>0</v>
      </c>
      <c r="V4" s="264">
        <f t="shared" ca="1" si="0"/>
        <v>0</v>
      </c>
      <c r="W4" s="264">
        <f t="shared" ca="1" si="0"/>
        <v>0</v>
      </c>
      <c r="X4" s="264">
        <f t="shared" ca="1" si="0"/>
        <v>0</v>
      </c>
      <c r="Y4" s="264">
        <f t="shared" ca="1" si="0"/>
        <v>0</v>
      </c>
      <c r="Z4" s="264">
        <f t="shared" ca="1" si="0"/>
        <v>0</v>
      </c>
      <c r="AA4" s="264">
        <f t="shared" ca="1" si="0"/>
        <v>0</v>
      </c>
      <c r="AB4" s="264">
        <f t="shared" ca="1" si="0"/>
        <v>0</v>
      </c>
      <c r="AC4" s="264">
        <f t="shared" ca="1" si="0"/>
        <v>0</v>
      </c>
      <c r="AD4" s="264">
        <f t="shared" ca="1" si="0"/>
        <v>0</v>
      </c>
      <c r="AE4" s="264">
        <f t="shared" ca="1" si="0"/>
        <v>0</v>
      </c>
      <c r="AF4" s="264">
        <f t="shared" ca="1" si="0"/>
        <v>0</v>
      </c>
      <c r="AG4" s="264">
        <f t="shared" ca="1" si="0"/>
        <v>0</v>
      </c>
      <c r="AH4" s="264">
        <f t="shared" ca="1" si="0"/>
        <v>0</v>
      </c>
      <c r="AI4" s="264">
        <f t="shared" ca="1" si="0"/>
        <v>0</v>
      </c>
    </row>
    <row r="5" spans="1:36" x14ac:dyDescent="0.25">
      <c r="A5" s="270"/>
      <c r="B5" s="468"/>
      <c r="C5" s="270"/>
      <c r="D5" s="270"/>
      <c r="E5" s="270"/>
      <c r="F5" s="270"/>
      <c r="G5" s="270"/>
      <c r="H5" s="270"/>
      <c r="I5" s="270"/>
      <c r="J5" s="270"/>
      <c r="K5" s="270"/>
      <c r="L5" s="268">
        <f>YEAR(L7)</f>
        <v>2018</v>
      </c>
      <c r="M5" s="268" t="str">
        <f>IF(MONTH(M7)=12,"",IF(MONTH(M7)=1,YEAR(M7),""))</f>
        <v/>
      </c>
      <c r="N5" s="268" t="str">
        <f t="shared" ref="N5:AI5" si="1">IF(MONTH(N7)=12,"",IF(MONTH(N7)=1,YEAR(N7),""))</f>
        <v/>
      </c>
      <c r="O5" s="268" t="str">
        <f t="shared" si="1"/>
        <v/>
      </c>
      <c r="P5" s="268" t="str">
        <f t="shared" si="1"/>
        <v/>
      </c>
      <c r="Q5" s="268" t="str">
        <f t="shared" si="1"/>
        <v/>
      </c>
      <c r="R5" s="268" t="str">
        <f t="shared" si="1"/>
        <v/>
      </c>
      <c r="S5" s="268" t="str">
        <f t="shared" si="1"/>
        <v/>
      </c>
      <c r="T5" s="268" t="str">
        <f t="shared" si="1"/>
        <v/>
      </c>
      <c r="U5" s="268" t="str">
        <f t="shared" si="1"/>
        <v/>
      </c>
      <c r="V5" s="268" t="str">
        <f t="shared" si="1"/>
        <v/>
      </c>
      <c r="W5" s="268">
        <f t="shared" si="1"/>
        <v>2019</v>
      </c>
      <c r="X5" s="268" t="str">
        <f t="shared" si="1"/>
        <v/>
      </c>
      <c r="Y5" s="268" t="str">
        <f t="shared" si="1"/>
        <v/>
      </c>
      <c r="Z5" s="268" t="str">
        <f t="shared" si="1"/>
        <v/>
      </c>
      <c r="AA5" s="268" t="str">
        <f t="shared" si="1"/>
        <v/>
      </c>
      <c r="AB5" s="268" t="str">
        <f t="shared" si="1"/>
        <v/>
      </c>
      <c r="AC5" s="268" t="str">
        <f t="shared" si="1"/>
        <v/>
      </c>
      <c r="AD5" s="268" t="str">
        <f t="shared" si="1"/>
        <v/>
      </c>
      <c r="AE5" s="268" t="str">
        <f t="shared" si="1"/>
        <v/>
      </c>
      <c r="AF5" s="268" t="str">
        <f t="shared" si="1"/>
        <v/>
      </c>
      <c r="AG5" s="268" t="str">
        <f t="shared" si="1"/>
        <v/>
      </c>
      <c r="AH5" s="268" t="str">
        <f t="shared" si="1"/>
        <v/>
      </c>
      <c r="AI5" s="268">
        <f t="shared" si="1"/>
        <v>2020</v>
      </c>
    </row>
    <row r="6" spans="1:36" hidden="1" x14ac:dyDescent="0.25">
      <c r="A6" s="270"/>
      <c r="B6" s="468"/>
      <c r="C6" s="270"/>
      <c r="D6" s="270"/>
      <c r="E6" s="270"/>
      <c r="F6" s="270"/>
      <c r="G6" s="270"/>
      <c r="H6" s="270"/>
      <c r="I6" s="270"/>
      <c r="J6" s="270"/>
      <c r="K6" s="270"/>
      <c r="L6" s="270">
        <v>1</v>
      </c>
      <c r="M6" s="269">
        <v>2</v>
      </c>
      <c r="N6" s="270">
        <v>3</v>
      </c>
      <c r="O6" s="269">
        <v>4</v>
      </c>
      <c r="P6" s="270">
        <v>5</v>
      </c>
      <c r="Q6" s="269">
        <v>6</v>
      </c>
      <c r="R6" s="270">
        <v>7</v>
      </c>
      <c r="S6" s="269">
        <v>8</v>
      </c>
      <c r="T6" s="270">
        <v>9</v>
      </c>
      <c r="U6" s="269">
        <v>10</v>
      </c>
      <c r="V6" s="270">
        <v>11</v>
      </c>
      <c r="W6" s="269">
        <v>12</v>
      </c>
      <c r="X6" s="270">
        <v>13</v>
      </c>
      <c r="Y6" s="269">
        <v>14</v>
      </c>
      <c r="Z6" s="270">
        <v>15</v>
      </c>
      <c r="AA6" s="269">
        <v>16</v>
      </c>
      <c r="AB6" s="270">
        <v>17</v>
      </c>
      <c r="AC6" s="269">
        <v>18</v>
      </c>
      <c r="AD6" s="270">
        <v>19</v>
      </c>
      <c r="AE6" s="269">
        <v>20</v>
      </c>
      <c r="AF6" s="270">
        <v>21</v>
      </c>
      <c r="AG6" s="269">
        <v>22</v>
      </c>
      <c r="AH6" s="270">
        <v>23</v>
      </c>
      <c r="AI6" s="269">
        <v>24</v>
      </c>
    </row>
    <row r="7" spans="1:36" s="321" customFormat="1" ht="19.5" thickBot="1" x14ac:dyDescent="0.35">
      <c r="A7" s="320" t="s">
        <v>249</v>
      </c>
      <c r="B7" s="469"/>
      <c r="C7" s="320"/>
      <c r="D7" s="320"/>
      <c r="E7" s="320"/>
      <c r="F7" s="320"/>
      <c r="G7" s="320"/>
      <c r="H7" s="320"/>
      <c r="I7" s="320"/>
      <c r="J7" s="320"/>
      <c r="K7" s="320"/>
      <c r="L7" s="271">
        <f>VLOOKUP(L$6,ListLookup!$J$2:$L$27,2,0)</f>
        <v>43132</v>
      </c>
      <c r="M7" s="271">
        <f>VLOOKUP(M$6,ListLookup!$J$2:$L$27,2,0)</f>
        <v>43160</v>
      </c>
      <c r="N7" s="271">
        <f>VLOOKUP(N$6,ListLookup!$J$2:$L$27,2,0)</f>
        <v>43191</v>
      </c>
      <c r="O7" s="271">
        <f>VLOOKUP(O$6,ListLookup!$J$2:$L$27,2,0)</f>
        <v>43221</v>
      </c>
      <c r="P7" s="271">
        <f>VLOOKUP(P$6,ListLookup!$J$2:$L$27,2,0)</f>
        <v>43252</v>
      </c>
      <c r="Q7" s="271">
        <f>VLOOKUP(Q$6,ListLookup!$J$2:$L$27,2,0)</f>
        <v>43282</v>
      </c>
      <c r="R7" s="271">
        <f>VLOOKUP(R$6,ListLookup!$J$2:$L$27,2,0)</f>
        <v>43313</v>
      </c>
      <c r="S7" s="271">
        <f>VLOOKUP(S$6,ListLookup!$J$2:$L$27,2,0)</f>
        <v>43344</v>
      </c>
      <c r="T7" s="271">
        <f>VLOOKUP(T$6,ListLookup!$J$2:$L$27,2,0)</f>
        <v>43374</v>
      </c>
      <c r="U7" s="271">
        <f>VLOOKUP(U$6,ListLookup!$J$2:$L$27,2,0)</f>
        <v>43405</v>
      </c>
      <c r="V7" s="271">
        <f>VLOOKUP(V$6,ListLookup!$J$2:$L$27,2,0)</f>
        <v>43435</v>
      </c>
      <c r="W7" s="271">
        <f>VLOOKUP(W$6,ListLookup!$J$2:$L$27,2,0)</f>
        <v>43466</v>
      </c>
      <c r="X7" s="271">
        <f>VLOOKUP(X$6,ListLookup!$J$2:$L$27,2,0)</f>
        <v>43497</v>
      </c>
      <c r="Y7" s="271">
        <f>VLOOKUP(Y$6,ListLookup!$J$2:$L$27,2,0)</f>
        <v>43525</v>
      </c>
      <c r="Z7" s="271">
        <f>VLOOKUP(Z$6,ListLookup!$J$2:$L$27,2,0)</f>
        <v>43556</v>
      </c>
      <c r="AA7" s="271">
        <f>VLOOKUP(AA$6,ListLookup!$J$2:$L$27,2,0)</f>
        <v>43586</v>
      </c>
      <c r="AB7" s="271">
        <f>VLOOKUP(AB$6,ListLookup!$J$2:$L$27,2,0)</f>
        <v>43617</v>
      </c>
      <c r="AC7" s="271">
        <f>VLOOKUP(AC$6,ListLookup!$J$2:$L$27,2,0)</f>
        <v>43647</v>
      </c>
      <c r="AD7" s="271">
        <f>VLOOKUP(AD$6,ListLookup!$J$2:$L$27,2,0)</f>
        <v>43678</v>
      </c>
      <c r="AE7" s="271">
        <f>VLOOKUP(AE$6,ListLookup!$J$2:$L$27,2,0)</f>
        <v>43709</v>
      </c>
      <c r="AF7" s="271">
        <f>VLOOKUP(AF$6,ListLookup!$J$2:$L$27,2,0)</f>
        <v>43739</v>
      </c>
      <c r="AG7" s="271">
        <f>VLOOKUP(AG$6,ListLookup!$J$2:$L$27,2,0)</f>
        <v>43770</v>
      </c>
      <c r="AH7" s="271">
        <f>VLOOKUP(AH$6,ListLookup!$J$2:$L$27,2,0)</f>
        <v>43800</v>
      </c>
      <c r="AI7" s="271">
        <f>VLOOKUP(AI$6,ListLookup!$J$2:$L$27,2,0)</f>
        <v>43831</v>
      </c>
    </row>
    <row r="8" spans="1:36" s="511" customFormat="1" ht="17.25" x14ac:dyDescent="0.3">
      <c r="A8" s="515" t="s">
        <v>197</v>
      </c>
      <c r="B8" s="516"/>
      <c r="C8" s="517"/>
      <c r="D8" s="517"/>
      <c r="E8" s="517"/>
      <c r="F8" s="517"/>
      <c r="G8" s="517"/>
      <c r="H8" s="517"/>
      <c r="I8" s="517"/>
      <c r="J8" s="517"/>
      <c r="K8" s="517"/>
      <c r="L8" s="518"/>
      <c r="M8" s="518"/>
      <c r="N8" s="519"/>
      <c r="O8" s="519"/>
      <c r="P8" s="519"/>
      <c r="Q8" s="519"/>
      <c r="R8" s="518"/>
      <c r="S8" s="518"/>
      <c r="T8" s="518"/>
      <c r="U8" s="519"/>
      <c r="V8" s="520"/>
      <c r="W8" s="517"/>
      <c r="X8" s="519"/>
      <c r="Y8" s="517"/>
      <c r="Z8" s="519"/>
      <c r="AA8" s="517"/>
      <c r="AB8" s="517"/>
      <c r="AC8" s="517"/>
      <c r="AD8" s="517"/>
      <c r="AE8" s="517"/>
      <c r="AF8" s="517"/>
      <c r="AG8" s="517"/>
      <c r="AH8" s="517"/>
      <c r="AI8" s="521"/>
    </row>
    <row r="9" spans="1:36" x14ac:dyDescent="0.25">
      <c r="A9" s="273"/>
      <c r="B9" s="458" t="s">
        <v>267</v>
      </c>
      <c r="D9" s="274"/>
      <c r="E9" s="274"/>
      <c r="F9" s="274"/>
      <c r="G9" s="274"/>
      <c r="H9" s="274"/>
      <c r="I9" s="274"/>
      <c r="J9" s="274"/>
      <c r="K9" s="274"/>
      <c r="L9" s="305"/>
      <c r="M9" s="305"/>
      <c r="N9" s="305"/>
      <c r="O9" s="305"/>
      <c r="P9" s="305"/>
      <c r="Q9" s="305"/>
      <c r="R9" s="305"/>
      <c r="S9" s="305"/>
      <c r="T9" s="305"/>
      <c r="U9" s="305"/>
      <c r="V9" s="305"/>
      <c r="W9" s="305"/>
      <c r="X9" s="305"/>
      <c r="Y9" s="305"/>
      <c r="Z9" s="305"/>
      <c r="AA9" s="305"/>
      <c r="AB9" s="305"/>
      <c r="AC9" s="305"/>
      <c r="AD9" s="305"/>
      <c r="AE9" s="305"/>
      <c r="AF9" s="305"/>
      <c r="AG9" s="305"/>
      <c r="AH9" s="305"/>
      <c r="AI9" s="306"/>
      <c r="AJ9" s="555" t="s">
        <v>362</v>
      </c>
    </row>
    <row r="10" spans="1:36" x14ac:dyDescent="0.25">
      <c r="A10" s="273"/>
      <c r="B10" s="458" t="s">
        <v>118</v>
      </c>
      <c r="D10" s="274"/>
      <c r="E10" s="274"/>
      <c r="F10" s="274"/>
      <c r="G10" s="274"/>
      <c r="H10" s="274"/>
      <c r="I10" s="274"/>
      <c r="J10" s="274"/>
      <c r="K10" s="274"/>
      <c r="L10" s="280">
        <f>COUNTIFS(Tbl_ResidentData[Exclusion Flag],0,Tbl_ResidentData[M1],TRUE)</f>
        <v>0</v>
      </c>
      <c r="M10" s="280">
        <f>COUNTIFS(Tbl_ResidentData[Exclusion Flag],0,Tbl_ResidentData[M2],TRUE)</f>
        <v>0</v>
      </c>
      <c r="N10" s="280">
        <f>COUNTIFS(Tbl_ResidentData[Exclusion Flag],0,Tbl_ResidentData[M3],TRUE)</f>
        <v>0</v>
      </c>
      <c r="O10" s="280">
        <f>COUNTIFS(Tbl_ResidentData[Exclusion Flag],0,Tbl_ResidentData[M4],TRUE)</f>
        <v>0</v>
      </c>
      <c r="P10" s="280">
        <f>COUNTIFS(Tbl_ResidentData[Exclusion Flag],0,Tbl_ResidentData[M5],TRUE)</f>
        <v>0</v>
      </c>
      <c r="Q10" s="280">
        <f>COUNTIFS(Tbl_ResidentData[Exclusion Flag],0,Tbl_ResidentData[M6],TRUE)</f>
        <v>0</v>
      </c>
      <c r="R10" s="280">
        <f>COUNTIFS(Tbl_ResidentData[Exclusion Flag],0,Tbl_ResidentData[M7],TRUE)</f>
        <v>0</v>
      </c>
      <c r="S10" s="280">
        <f>COUNTIFS(Tbl_ResidentData[Exclusion Flag],0,Tbl_ResidentData[M8],TRUE)</f>
        <v>0</v>
      </c>
      <c r="T10" s="280">
        <f>COUNTIFS(Tbl_ResidentData[Exclusion Flag],0,Tbl_ResidentData[M9],TRUE)</f>
        <v>0</v>
      </c>
      <c r="U10" s="280">
        <f>COUNTIFS(Tbl_ResidentData[Exclusion Flag],0,Tbl_ResidentData[M10],TRUE)</f>
        <v>0</v>
      </c>
      <c r="V10" s="280">
        <f>COUNTIFS(Tbl_ResidentData[Exclusion Flag],0,Tbl_ResidentData[M11],TRUE)</f>
        <v>0</v>
      </c>
      <c r="W10" s="280">
        <f>COUNTIFS(Tbl_ResidentData[Exclusion Flag],0,Tbl_ResidentData[M12],TRUE)</f>
        <v>0</v>
      </c>
      <c r="X10" s="280">
        <f>COUNTIFS(Tbl_ResidentData[Exclusion Flag],0,Tbl_ResidentData[M13],TRUE)</f>
        <v>0</v>
      </c>
      <c r="Y10" s="280">
        <f>COUNTIFS(Tbl_ResidentData[Exclusion Flag],0,Tbl_ResidentData[M14],TRUE)</f>
        <v>0</v>
      </c>
      <c r="Z10" s="280">
        <f>COUNTIFS(Tbl_ResidentData[Exclusion Flag],0,Tbl_ResidentData[M15],TRUE)</f>
        <v>0</v>
      </c>
      <c r="AA10" s="280">
        <f>COUNTIFS(Tbl_ResidentData[Exclusion Flag],0,Tbl_ResidentData[M16],TRUE)</f>
        <v>0</v>
      </c>
      <c r="AB10" s="280">
        <f>COUNTIFS(Tbl_ResidentData[Exclusion Flag],0,Tbl_ResidentData[M17],TRUE)</f>
        <v>0</v>
      </c>
      <c r="AC10" s="280">
        <f>COUNTIFS(Tbl_ResidentData[Exclusion Flag],0,Tbl_ResidentData[M18],TRUE)</f>
        <v>0</v>
      </c>
      <c r="AD10" s="280">
        <f>COUNTIFS(Tbl_ResidentData[Exclusion Flag],0,Tbl_ResidentData[M19],TRUE)</f>
        <v>0</v>
      </c>
      <c r="AE10" s="280">
        <f>COUNTIFS(Tbl_ResidentData[Exclusion Flag],0,Tbl_ResidentData[M20],TRUE)</f>
        <v>0</v>
      </c>
      <c r="AF10" s="280">
        <f>COUNTIFS(Tbl_ResidentData[Exclusion Flag],0,Tbl_ResidentData[M21],TRUE)</f>
        <v>0</v>
      </c>
      <c r="AG10" s="280">
        <f>COUNTIFS(Tbl_ResidentData[Exclusion Flag],0,Tbl_ResidentData[M22],TRUE)</f>
        <v>0</v>
      </c>
      <c r="AH10" s="280">
        <f>COUNTIFS(Tbl_ResidentData[Exclusion Flag],0,Tbl_ResidentData[M23],TRUE)</f>
        <v>0</v>
      </c>
      <c r="AI10" s="307">
        <f>COUNTIFS(Tbl_ResidentData[Exclusion Flag],0,Tbl_ResidentData[M24],TRUE)</f>
        <v>0</v>
      </c>
    </row>
    <row r="11" spans="1:36" x14ac:dyDescent="0.25">
      <c r="A11" s="273"/>
      <c r="B11" s="458" t="s">
        <v>123</v>
      </c>
      <c r="D11" s="274"/>
      <c r="E11" s="274"/>
      <c r="F11" s="274"/>
      <c r="G11" s="274"/>
      <c r="H11" s="274"/>
      <c r="I11" s="274"/>
      <c r="J11" s="274"/>
      <c r="K11" s="274"/>
      <c r="L11" s="280">
        <f>COUNTIFS(Tbl_ResidentData[Exclusion Flag],1,Tbl_ResidentData[M1],TRUE)</f>
        <v>0</v>
      </c>
      <c r="M11" s="280">
        <f>COUNTIFS(Tbl_ResidentData[Exclusion Flag],1,Tbl_ResidentData[M2],TRUE)</f>
        <v>0</v>
      </c>
      <c r="N11" s="280">
        <f>COUNTIFS(Tbl_ResidentData[Exclusion Flag],1,Tbl_ResidentData[M3],TRUE)</f>
        <v>0</v>
      </c>
      <c r="O11" s="280">
        <f>COUNTIFS(Tbl_ResidentData[Exclusion Flag],1,Tbl_ResidentData[M4],TRUE)</f>
        <v>0</v>
      </c>
      <c r="P11" s="280">
        <f>COUNTIFS(Tbl_ResidentData[Exclusion Flag],1,Tbl_ResidentData[M5],TRUE)</f>
        <v>0</v>
      </c>
      <c r="Q11" s="280">
        <f>COUNTIFS(Tbl_ResidentData[Exclusion Flag],1,Tbl_ResidentData[M6],TRUE)</f>
        <v>0</v>
      </c>
      <c r="R11" s="280">
        <f>COUNTIFS(Tbl_ResidentData[Exclusion Flag],1,Tbl_ResidentData[M7],TRUE)</f>
        <v>0</v>
      </c>
      <c r="S11" s="280">
        <f>COUNTIFS(Tbl_ResidentData[Exclusion Flag],1,Tbl_ResidentData[M8],TRUE)</f>
        <v>0</v>
      </c>
      <c r="T11" s="280">
        <f>COUNTIFS(Tbl_ResidentData[Exclusion Flag],1,Tbl_ResidentData[M9],TRUE)</f>
        <v>0</v>
      </c>
      <c r="U11" s="280">
        <f>COUNTIFS(Tbl_ResidentData[Exclusion Flag],1,Tbl_ResidentData[M10],TRUE)</f>
        <v>0</v>
      </c>
      <c r="V11" s="280">
        <f>COUNTIFS(Tbl_ResidentData[Exclusion Flag],1,Tbl_ResidentData[M11],TRUE)</f>
        <v>0</v>
      </c>
      <c r="W11" s="280">
        <f>COUNTIFS(Tbl_ResidentData[Exclusion Flag],1,Tbl_ResidentData[M12],TRUE)</f>
        <v>0</v>
      </c>
      <c r="X11" s="280">
        <f>COUNTIFS(Tbl_ResidentData[Exclusion Flag],1,Tbl_ResidentData[M13],TRUE)</f>
        <v>0</v>
      </c>
      <c r="Y11" s="280">
        <f>COUNTIFS(Tbl_ResidentData[Exclusion Flag],1,Tbl_ResidentData[M14],TRUE)</f>
        <v>0</v>
      </c>
      <c r="Z11" s="280">
        <f>COUNTIFS(Tbl_ResidentData[Exclusion Flag],1,Tbl_ResidentData[M15],TRUE)</f>
        <v>0</v>
      </c>
      <c r="AA11" s="280">
        <f>COUNTIFS(Tbl_ResidentData[Exclusion Flag],1,Tbl_ResidentData[M16],TRUE)</f>
        <v>0</v>
      </c>
      <c r="AB11" s="280">
        <f>COUNTIFS(Tbl_ResidentData[Exclusion Flag],1,Tbl_ResidentData[M17],TRUE)</f>
        <v>0</v>
      </c>
      <c r="AC11" s="280">
        <f>COUNTIFS(Tbl_ResidentData[Exclusion Flag],1,Tbl_ResidentData[M18],TRUE)</f>
        <v>0</v>
      </c>
      <c r="AD11" s="280">
        <f>COUNTIFS(Tbl_ResidentData[Exclusion Flag],1,Tbl_ResidentData[M19],TRUE)</f>
        <v>0</v>
      </c>
      <c r="AE11" s="280">
        <f>COUNTIFS(Tbl_ResidentData[Exclusion Flag],1,Tbl_ResidentData[M20],TRUE)</f>
        <v>0</v>
      </c>
      <c r="AF11" s="280">
        <f>COUNTIFS(Tbl_ResidentData[Exclusion Flag],1,Tbl_ResidentData[M21],TRUE)</f>
        <v>0</v>
      </c>
      <c r="AG11" s="280">
        <f>COUNTIFS(Tbl_ResidentData[Exclusion Flag],1,Tbl_ResidentData[M22],TRUE)</f>
        <v>0</v>
      </c>
      <c r="AH11" s="280">
        <f>COUNTIFS(Tbl_ResidentData[Exclusion Flag],1,Tbl_ResidentData[M23],TRUE)</f>
        <v>0</v>
      </c>
      <c r="AI11" s="307">
        <f>COUNTIFS(Tbl_ResidentData[Exclusion Flag],1,Tbl_ResidentData[M24],TRUE)</f>
        <v>0</v>
      </c>
    </row>
    <row r="12" spans="1:36" x14ac:dyDescent="0.25">
      <c r="A12" s="273"/>
      <c r="B12" s="458" t="s">
        <v>188</v>
      </c>
      <c r="D12" s="274"/>
      <c r="E12" s="274"/>
      <c r="F12" s="274"/>
      <c r="G12" s="274"/>
      <c r="H12" s="274"/>
      <c r="I12" s="274"/>
      <c r="J12" s="274"/>
      <c r="K12" s="274"/>
      <c r="L12" s="280">
        <f>COUNTIF(Tbl_ResidentData[Enrollment '[mmm-yyyy']],L$7)</f>
        <v>0</v>
      </c>
      <c r="M12" s="280">
        <f>COUNTIF(Tbl_ResidentData[Enrollment '[mmm-yyyy']],M$7)</f>
        <v>0</v>
      </c>
      <c r="N12" s="280">
        <f>COUNTIF(Tbl_ResidentData[Enrollment '[mmm-yyyy']],N$7)</f>
        <v>0</v>
      </c>
      <c r="O12" s="280">
        <f>COUNTIF(Tbl_ResidentData[Enrollment '[mmm-yyyy']],O$7)</f>
        <v>0</v>
      </c>
      <c r="P12" s="280">
        <f>COUNTIF(Tbl_ResidentData[Enrollment '[mmm-yyyy']],P$7)</f>
        <v>0</v>
      </c>
      <c r="Q12" s="280">
        <f>COUNTIF(Tbl_ResidentData[Enrollment '[mmm-yyyy']],Q$7)</f>
        <v>0</v>
      </c>
      <c r="R12" s="280">
        <f>COUNTIF(Tbl_ResidentData[Enrollment '[mmm-yyyy']],R$7)</f>
        <v>0</v>
      </c>
      <c r="S12" s="280">
        <f>COUNTIF(Tbl_ResidentData[Enrollment '[mmm-yyyy']],S$7)</f>
        <v>0</v>
      </c>
      <c r="T12" s="280">
        <f>COUNTIF(Tbl_ResidentData[Enrollment '[mmm-yyyy']],T$7)</f>
        <v>0</v>
      </c>
      <c r="U12" s="280">
        <f>COUNTIF(Tbl_ResidentData[Enrollment '[mmm-yyyy']],U$7)</f>
        <v>0</v>
      </c>
      <c r="V12" s="280">
        <f>COUNTIF(Tbl_ResidentData[Enrollment '[mmm-yyyy']],V$7)</f>
        <v>0</v>
      </c>
      <c r="W12" s="280">
        <f>COUNTIF(Tbl_ResidentData[Enrollment '[mmm-yyyy']],W$7)</f>
        <v>0</v>
      </c>
      <c r="X12" s="280">
        <f>COUNTIF(Tbl_ResidentData[Enrollment '[mmm-yyyy']],X$7)</f>
        <v>0</v>
      </c>
      <c r="Y12" s="280">
        <f>COUNTIF(Tbl_ResidentData[Enrollment '[mmm-yyyy']],Y$7)</f>
        <v>0</v>
      </c>
      <c r="Z12" s="280">
        <f>COUNTIF(Tbl_ResidentData[Enrollment '[mmm-yyyy']],Z$7)</f>
        <v>0</v>
      </c>
      <c r="AA12" s="280">
        <f>COUNTIF(Tbl_ResidentData[Enrollment '[mmm-yyyy']],AA$7)</f>
        <v>0</v>
      </c>
      <c r="AB12" s="280">
        <f>COUNTIF(Tbl_ResidentData[Enrollment '[mmm-yyyy']],AB$7)</f>
        <v>0</v>
      </c>
      <c r="AC12" s="280">
        <f>COUNTIF(Tbl_ResidentData[Enrollment '[mmm-yyyy']],AC$7)</f>
        <v>0</v>
      </c>
      <c r="AD12" s="280">
        <f>COUNTIF(Tbl_ResidentData[Enrollment '[mmm-yyyy']],AD$7)</f>
        <v>0</v>
      </c>
      <c r="AE12" s="280">
        <f>COUNTIF(Tbl_ResidentData[Enrollment '[mmm-yyyy']],AE$7)</f>
        <v>0</v>
      </c>
      <c r="AF12" s="280">
        <f>COUNTIF(Tbl_ResidentData[Enrollment '[mmm-yyyy']],AF$7)</f>
        <v>0</v>
      </c>
      <c r="AG12" s="280">
        <f>COUNTIF(Tbl_ResidentData[Enrollment '[mmm-yyyy']],AG$7)</f>
        <v>0</v>
      </c>
      <c r="AH12" s="280">
        <f>COUNTIF(Tbl_ResidentData[Enrollment '[mmm-yyyy']],AH$7)</f>
        <v>0</v>
      </c>
      <c r="AI12" s="307">
        <f>COUNTIF(Tbl_ResidentData[Enrollment '[mmm-yyyy']],AI$7)</f>
        <v>0</v>
      </c>
    </row>
    <row r="13" spans="1:36" ht="15.75" thickBot="1" x14ac:dyDescent="0.3">
      <c r="A13" s="276"/>
      <c r="B13" s="459" t="s">
        <v>189</v>
      </c>
      <c r="C13" s="414"/>
      <c r="D13" s="277"/>
      <c r="E13" s="277"/>
      <c r="F13" s="277"/>
      <c r="G13" s="277"/>
      <c r="H13" s="277"/>
      <c r="I13" s="277"/>
      <c r="J13" s="277"/>
      <c r="K13" s="277"/>
      <c r="L13" s="308">
        <f>COUNTIFS(Tbl_ResidentData[Enrollment '[mmm-yyyy']],L$7,Tbl_ResidentData[Over1],1)</f>
        <v>0</v>
      </c>
      <c r="M13" s="308">
        <f>COUNTIFS(Tbl_ResidentData[Enrollment '[mmm-yyyy']],M$7,Tbl_ResidentData[Over2],1)</f>
        <v>0</v>
      </c>
      <c r="N13" s="308">
        <f>COUNTIFS(Tbl_ResidentData[Enrollment '[mmm-yyyy']],N$7,Tbl_ResidentData[Over3],1)</f>
        <v>0</v>
      </c>
      <c r="O13" s="308">
        <f>COUNTIFS(Tbl_ResidentData[Enrollment '[mmm-yyyy']],O$7,Tbl_ResidentData[Over4],1)</f>
        <v>0</v>
      </c>
      <c r="P13" s="308">
        <f>COUNTIFS(Tbl_ResidentData[Enrollment '[mmm-yyyy']],P$7,Tbl_ResidentData[Over5],1)</f>
        <v>0</v>
      </c>
      <c r="Q13" s="308">
        <f>COUNTIFS(Tbl_ResidentData[Enrollment '[mmm-yyyy']],Q$7,Tbl_ResidentData[Over6],1)</f>
        <v>0</v>
      </c>
      <c r="R13" s="308">
        <f>COUNTIFS(Tbl_ResidentData[Enrollment '[mmm-yyyy']],R$7,Tbl_ResidentData[Over7],1)</f>
        <v>0</v>
      </c>
      <c r="S13" s="308">
        <f>COUNTIFS(Tbl_ResidentData[Enrollment '[mmm-yyyy']],S$7,Tbl_ResidentData[Over8],1)</f>
        <v>0</v>
      </c>
      <c r="T13" s="308">
        <f>COUNTIFS(Tbl_ResidentData[Enrollment '[mmm-yyyy']],T$7,Tbl_ResidentData[Over8],1)</f>
        <v>0</v>
      </c>
      <c r="U13" s="308">
        <f>COUNTIFS(Tbl_ResidentData[Enrollment '[mmm-yyyy']],U$7,Tbl_ResidentData[Over9],1)</f>
        <v>0</v>
      </c>
      <c r="V13" s="308">
        <f>COUNTIFS(Tbl_ResidentData[Enrollment '[mmm-yyyy']],V$7,Tbl_ResidentData[Over10],1)</f>
        <v>0</v>
      </c>
      <c r="W13" s="308">
        <f>COUNTIFS(Tbl_ResidentData[Enrollment '[mmm-yyyy']],W$7,Tbl_ResidentData[Over1],1)</f>
        <v>0</v>
      </c>
      <c r="X13" s="308">
        <f>COUNTIFS(Tbl_ResidentData[Enrollment '[mmm-yyyy']],X$7,Tbl_ResidentData[Over12],1)</f>
        <v>0</v>
      </c>
      <c r="Y13" s="308">
        <f>COUNTIFS(Tbl_ResidentData[Enrollment '[mmm-yyyy']],Y$7,Tbl_ResidentData[Over13],1)</f>
        <v>0</v>
      </c>
      <c r="Z13" s="308">
        <f>COUNTIFS(Tbl_ResidentData[Enrollment '[mmm-yyyy']],Z$7,Tbl_ResidentData[Over14],1)</f>
        <v>0</v>
      </c>
      <c r="AA13" s="308">
        <f>COUNTIFS(Tbl_ResidentData[Enrollment '[mmm-yyyy']],AA$7,Tbl_ResidentData[Over15],1)</f>
        <v>0</v>
      </c>
      <c r="AB13" s="308">
        <f>COUNTIFS(Tbl_ResidentData[Enrollment '[mmm-yyyy']],AB$7,Tbl_ResidentData[Over16],1)</f>
        <v>0</v>
      </c>
      <c r="AC13" s="308">
        <f>COUNTIFS(Tbl_ResidentData[Enrollment '[mmm-yyyy']],AC$7,Tbl_ResidentData[Over17],1)</f>
        <v>0</v>
      </c>
      <c r="AD13" s="308">
        <f>COUNTIFS(Tbl_ResidentData[Enrollment '[mmm-yyyy']],AD$7,Tbl_ResidentData[Over18],1)</f>
        <v>0</v>
      </c>
      <c r="AE13" s="308">
        <f>COUNTIFS(Tbl_ResidentData[Enrollment '[mmm-yyyy']],AE$7,Tbl_ResidentData[Over19],1)</f>
        <v>0</v>
      </c>
      <c r="AF13" s="308">
        <f>COUNTIFS(Tbl_ResidentData[Enrollment '[mmm-yyyy']],AF$7,Tbl_ResidentData[Over20],1)</f>
        <v>0</v>
      </c>
      <c r="AG13" s="308">
        <f>COUNTIFS(Tbl_ResidentData[Enrollment '[mmm-yyyy']],AG$7,Tbl_ResidentData[Over22],1)</f>
        <v>0</v>
      </c>
      <c r="AH13" s="308">
        <f>COUNTIFS(Tbl_ResidentData[Enrollment '[mmm-yyyy']],AH$7,Tbl_ResidentData[Over23],1)</f>
        <v>0</v>
      </c>
      <c r="AI13" s="309">
        <f>COUNTIFS(Tbl_ResidentData[Enrollment '[mmm-yyyy']],AI$7,Tbl_ResidentData[Over24],1)</f>
        <v>0</v>
      </c>
    </row>
    <row r="14" spans="1:36" ht="5.0999999999999996" customHeight="1" thickBot="1" x14ac:dyDescent="0.3">
      <c r="L14" s="310"/>
      <c r="M14" s="310"/>
      <c r="N14" s="279"/>
      <c r="O14" s="279"/>
      <c r="P14" s="279"/>
      <c r="Q14" s="279"/>
      <c r="R14" s="310"/>
      <c r="S14" s="310"/>
      <c r="T14" s="310"/>
      <c r="U14" s="279"/>
      <c r="V14" s="280"/>
      <c r="X14" s="279"/>
      <c r="Z14" s="279"/>
      <c r="AB14" s="279"/>
      <c r="AC14" s="279"/>
      <c r="AD14" s="279"/>
      <c r="AE14" s="279"/>
      <c r="AF14" s="279"/>
      <c r="AG14" s="279"/>
      <c r="AH14" s="279"/>
      <c r="AI14" s="279"/>
    </row>
    <row r="15" spans="1:36" s="511" customFormat="1" ht="17.25" x14ac:dyDescent="0.3">
      <c r="A15" s="515" t="s">
        <v>113</v>
      </c>
      <c r="B15" s="516"/>
      <c r="C15" s="517"/>
      <c r="D15" s="517"/>
      <c r="E15" s="517"/>
      <c r="F15" s="517"/>
      <c r="G15" s="517"/>
      <c r="H15" s="517"/>
      <c r="I15" s="517"/>
      <c r="J15" s="517"/>
      <c r="K15" s="517"/>
      <c r="L15" s="522"/>
      <c r="M15" s="522"/>
      <c r="N15" s="519"/>
      <c r="O15" s="519"/>
      <c r="P15" s="519"/>
      <c r="Q15" s="519"/>
      <c r="R15" s="522"/>
      <c r="S15" s="522"/>
      <c r="T15" s="522"/>
      <c r="U15" s="519"/>
      <c r="V15" s="520"/>
      <c r="W15" s="519"/>
      <c r="X15" s="519"/>
      <c r="Y15" s="519"/>
      <c r="Z15" s="519"/>
      <c r="AA15" s="519"/>
      <c r="AB15" s="519"/>
      <c r="AC15" s="519"/>
      <c r="AD15" s="519"/>
      <c r="AE15" s="519"/>
      <c r="AF15" s="519"/>
      <c r="AG15" s="519"/>
      <c r="AH15" s="519"/>
      <c r="AI15" s="523"/>
    </row>
    <row r="16" spans="1:36" x14ac:dyDescent="0.25">
      <c r="A16" s="273"/>
      <c r="B16" s="460" t="s">
        <v>307</v>
      </c>
      <c r="D16" s="281"/>
      <c r="E16" s="281"/>
      <c r="F16" s="281"/>
      <c r="G16" s="281"/>
      <c r="H16" s="281"/>
      <c r="I16" s="281"/>
      <c r="J16" s="281"/>
      <c r="K16" s="281"/>
      <c r="L16" s="310">
        <f ca="1">COUNTIFS(Tbl_ResidentData[M1],TRUE,Tbl_ResidentData[Over1],1)</f>
        <v>0</v>
      </c>
      <c r="M16" s="310">
        <f ca="1">COUNTIFS(Tbl_ResidentData[M2],TRUE,Tbl_ResidentData[Over2],1)</f>
        <v>0</v>
      </c>
      <c r="N16" s="310">
        <f ca="1">COUNTIFS(Tbl_ResidentData[M3],TRUE,Tbl_ResidentData[Over3],1)</f>
        <v>0</v>
      </c>
      <c r="O16" s="310">
        <f ca="1">COUNTIFS(Tbl_ResidentData[M4],TRUE,Tbl_ResidentData[Over4],1)</f>
        <v>0</v>
      </c>
      <c r="P16" s="310">
        <f ca="1">COUNTIFS(Tbl_ResidentData[M5],TRUE,Tbl_ResidentData[Over5],1)</f>
        <v>0</v>
      </c>
      <c r="Q16" s="310">
        <f ca="1">COUNTIFS(Tbl_ResidentData[M6],TRUE,Tbl_ResidentData[Over6],1)</f>
        <v>0</v>
      </c>
      <c r="R16" s="310">
        <f ca="1">COUNTIFS(Tbl_ResidentData[M7],TRUE,Tbl_ResidentData[Over7],1)</f>
        <v>0</v>
      </c>
      <c r="S16" s="310">
        <f ca="1">COUNTIFS(Tbl_ResidentData[M8],TRUE,Tbl_ResidentData[Over8],1)</f>
        <v>0</v>
      </c>
      <c r="T16" s="310">
        <f ca="1">COUNTIFS(Tbl_ResidentData[M9],TRUE,Tbl_ResidentData[Over9],1)</f>
        <v>0</v>
      </c>
      <c r="U16" s="310">
        <f ca="1">COUNTIFS(Tbl_ResidentData[M10],TRUE,Tbl_ResidentData[Over10],1)</f>
        <v>0</v>
      </c>
      <c r="V16" s="310">
        <f ca="1">COUNTIFS(Tbl_ResidentData[M11],TRUE,Tbl_ResidentData[Over11],1)</f>
        <v>0</v>
      </c>
      <c r="W16" s="310">
        <f ca="1">COUNTIFS(Tbl_ResidentData[M12],TRUE,Tbl_ResidentData[Over12],1)</f>
        <v>0</v>
      </c>
      <c r="X16" s="310">
        <f ca="1">COUNTIFS(Tbl_ResidentData[M13],TRUE,Tbl_ResidentData[Over13],1)</f>
        <v>0</v>
      </c>
      <c r="Y16" s="310">
        <f ca="1">COUNTIFS(Tbl_ResidentData[M14],TRUE,Tbl_ResidentData[Over14],1)</f>
        <v>0</v>
      </c>
      <c r="Z16" s="310">
        <f ca="1">COUNTIFS(Tbl_ResidentData[M15],TRUE,Tbl_ResidentData[Over15],1)</f>
        <v>0</v>
      </c>
      <c r="AA16" s="310">
        <f ca="1">COUNTIFS(Tbl_ResidentData[M16],TRUE,Tbl_ResidentData[Over16],1)</f>
        <v>0</v>
      </c>
      <c r="AB16" s="310">
        <f ca="1">COUNTIFS(Tbl_ResidentData[M17],TRUE,Tbl_ResidentData[Over17],1)</f>
        <v>0</v>
      </c>
      <c r="AC16" s="310">
        <f ca="1">COUNTIFS(Tbl_ResidentData[M18],TRUE,Tbl_ResidentData[Over18],1)</f>
        <v>0</v>
      </c>
      <c r="AD16" s="310">
        <f ca="1">COUNTIFS(Tbl_ResidentData[M19],TRUE,Tbl_ResidentData[Over19],1)</f>
        <v>0</v>
      </c>
      <c r="AE16" s="310">
        <f ca="1">COUNTIFS(Tbl_ResidentData[M20],TRUE,Tbl_ResidentData[Over20],1)</f>
        <v>0</v>
      </c>
      <c r="AF16" s="310">
        <f ca="1">COUNTIFS(Tbl_ResidentData[M21],TRUE,Tbl_ResidentData[Over21],1)</f>
        <v>0</v>
      </c>
      <c r="AG16" s="310">
        <f ca="1">COUNTIFS(Tbl_ResidentData[M22],TRUE,Tbl_ResidentData[Over22],1)</f>
        <v>0</v>
      </c>
      <c r="AH16" s="310">
        <f ca="1">COUNTIFS(Tbl_ResidentData[M23],TRUE,Tbl_ResidentData[Over23],1)</f>
        <v>0</v>
      </c>
      <c r="AI16" s="311">
        <f ca="1">COUNTIFS(Tbl_ResidentData[M24],TRUE,Tbl_ResidentData[Over24],1)</f>
        <v>0</v>
      </c>
    </row>
    <row r="17" spans="1:35" x14ac:dyDescent="0.25">
      <c r="A17" s="273"/>
      <c r="B17" s="458" t="s">
        <v>190</v>
      </c>
      <c r="D17" s="274"/>
      <c r="E17" s="274"/>
      <c r="F17" s="274"/>
      <c r="G17" s="274"/>
      <c r="H17" s="274"/>
      <c r="I17" s="274"/>
      <c r="J17" s="274"/>
      <c r="K17" s="274"/>
      <c r="L17" s="310">
        <f ca="1">COUNTIFS(Tbl_ResidentData[M1],TRUE,Tbl_ResidentData[Over1],0)</f>
        <v>0</v>
      </c>
      <c r="M17" s="310">
        <f ca="1">COUNTIFS(Tbl_ResidentData[M2],TRUE,Tbl_ResidentData[Over2],0)</f>
        <v>0</v>
      </c>
      <c r="N17" s="310">
        <f ca="1">COUNTIFS(Tbl_ResidentData[M3],TRUE,Tbl_ResidentData[Over3],0)</f>
        <v>0</v>
      </c>
      <c r="O17" s="310">
        <f ca="1">COUNTIFS(Tbl_ResidentData[M4],TRUE,Tbl_ResidentData[Over4],0)</f>
        <v>0</v>
      </c>
      <c r="P17" s="310">
        <f ca="1">COUNTIFS(Tbl_ResidentData[M5],TRUE,Tbl_ResidentData[Over5],0)</f>
        <v>0</v>
      </c>
      <c r="Q17" s="310">
        <f ca="1">COUNTIFS(Tbl_ResidentData[M6],TRUE,Tbl_ResidentData[Over6],0)</f>
        <v>0</v>
      </c>
      <c r="R17" s="310">
        <f ca="1">COUNTIFS(Tbl_ResidentData[M7],TRUE,Tbl_ResidentData[Over7],0)</f>
        <v>0</v>
      </c>
      <c r="S17" s="310">
        <f ca="1">COUNTIFS(Tbl_ResidentData[M8],TRUE,Tbl_ResidentData[Over8],0)</f>
        <v>0</v>
      </c>
      <c r="T17" s="310">
        <f ca="1">COUNTIFS(Tbl_ResidentData[M9],TRUE,Tbl_ResidentData[Over9],0)</f>
        <v>0</v>
      </c>
      <c r="U17" s="310">
        <f ca="1">COUNTIFS(Tbl_ResidentData[M10],TRUE,Tbl_ResidentData[Over10],0)</f>
        <v>0</v>
      </c>
      <c r="V17" s="310">
        <f ca="1">COUNTIFS(Tbl_ResidentData[M11],TRUE,Tbl_ResidentData[Over11],0)</f>
        <v>0</v>
      </c>
      <c r="W17" s="310">
        <f ca="1">COUNTIFS(Tbl_ResidentData[M12],TRUE,Tbl_ResidentData[Over12],0)</f>
        <v>0</v>
      </c>
      <c r="X17" s="310">
        <f ca="1">COUNTIFS(Tbl_ResidentData[M13],TRUE,Tbl_ResidentData[Over13],0)</f>
        <v>0</v>
      </c>
      <c r="Y17" s="310">
        <f ca="1">COUNTIFS(Tbl_ResidentData[M14],TRUE,Tbl_ResidentData[Over14],0)</f>
        <v>0</v>
      </c>
      <c r="Z17" s="310">
        <f ca="1">COUNTIFS(Tbl_ResidentData[M15],TRUE,Tbl_ResidentData[Over15],0)</f>
        <v>0</v>
      </c>
      <c r="AA17" s="310">
        <f ca="1">COUNTIFS(Tbl_ResidentData[M16],TRUE,Tbl_ResidentData[Over16],0)</f>
        <v>0</v>
      </c>
      <c r="AB17" s="310">
        <f ca="1">COUNTIFS(Tbl_ResidentData[M17],TRUE,Tbl_ResidentData[Over17],0)</f>
        <v>0</v>
      </c>
      <c r="AC17" s="310">
        <f ca="1">COUNTIFS(Tbl_ResidentData[M18],TRUE,Tbl_ResidentData[Over18],0)</f>
        <v>0</v>
      </c>
      <c r="AD17" s="310">
        <f ca="1">COUNTIFS(Tbl_ResidentData[M19],TRUE,Tbl_ResidentData[Over19],0)</f>
        <v>0</v>
      </c>
      <c r="AE17" s="310">
        <f ca="1">COUNTIFS(Tbl_ResidentData[M20],TRUE,Tbl_ResidentData[Over20],0)</f>
        <v>0</v>
      </c>
      <c r="AF17" s="310">
        <f ca="1">COUNTIFS(Tbl_ResidentData[M21],TRUE,Tbl_ResidentData[Over21],0)</f>
        <v>0</v>
      </c>
      <c r="AG17" s="310">
        <f ca="1">COUNTIFS(Tbl_ResidentData[M22],TRUE,Tbl_ResidentData[Over22],0)</f>
        <v>0</v>
      </c>
      <c r="AH17" s="310">
        <f ca="1">COUNTIFS(Tbl_ResidentData[M23],TRUE,Tbl_ResidentData[Over23],0)</f>
        <v>0</v>
      </c>
      <c r="AI17" s="311">
        <f ca="1">COUNTIFS(Tbl_ResidentData[M24],TRUE,Tbl_ResidentData[Over24],0)</f>
        <v>0</v>
      </c>
    </row>
    <row r="18" spans="1:35" ht="15.75" thickBot="1" x14ac:dyDescent="0.3">
      <c r="A18" s="276"/>
      <c r="B18" s="461" t="s">
        <v>191</v>
      </c>
      <c r="C18" s="414"/>
      <c r="D18" s="282"/>
      <c r="E18" s="282"/>
      <c r="F18" s="282"/>
      <c r="G18" s="282"/>
      <c r="H18" s="282"/>
      <c r="I18" s="282"/>
      <c r="J18" s="282"/>
      <c r="K18" s="282"/>
      <c r="L18" s="312" t="str">
        <f t="shared" ref="L18:AI18" ca="1" si="2">IFERROR(L$16/L$9,"-")</f>
        <v>-</v>
      </c>
      <c r="M18" s="312" t="str">
        <f t="shared" ca="1" si="2"/>
        <v>-</v>
      </c>
      <c r="N18" s="312" t="str">
        <f t="shared" ca="1" si="2"/>
        <v>-</v>
      </c>
      <c r="O18" s="312" t="str">
        <f t="shared" ca="1" si="2"/>
        <v>-</v>
      </c>
      <c r="P18" s="312" t="str">
        <f t="shared" ca="1" si="2"/>
        <v>-</v>
      </c>
      <c r="Q18" s="312" t="str">
        <f t="shared" ca="1" si="2"/>
        <v>-</v>
      </c>
      <c r="R18" s="312" t="str">
        <f t="shared" ca="1" si="2"/>
        <v>-</v>
      </c>
      <c r="S18" s="312" t="str">
        <f t="shared" ca="1" si="2"/>
        <v>-</v>
      </c>
      <c r="T18" s="312" t="str">
        <f t="shared" ca="1" si="2"/>
        <v>-</v>
      </c>
      <c r="U18" s="312" t="str">
        <f t="shared" ca="1" si="2"/>
        <v>-</v>
      </c>
      <c r="V18" s="312" t="str">
        <f t="shared" ca="1" si="2"/>
        <v>-</v>
      </c>
      <c r="W18" s="312" t="str">
        <f t="shared" ca="1" si="2"/>
        <v>-</v>
      </c>
      <c r="X18" s="312" t="str">
        <f t="shared" ca="1" si="2"/>
        <v>-</v>
      </c>
      <c r="Y18" s="312" t="str">
        <f t="shared" ca="1" si="2"/>
        <v>-</v>
      </c>
      <c r="Z18" s="312" t="str">
        <f t="shared" ca="1" si="2"/>
        <v>-</v>
      </c>
      <c r="AA18" s="312" t="str">
        <f t="shared" ca="1" si="2"/>
        <v>-</v>
      </c>
      <c r="AB18" s="312" t="str">
        <f t="shared" ca="1" si="2"/>
        <v>-</v>
      </c>
      <c r="AC18" s="312" t="str">
        <f t="shared" ca="1" si="2"/>
        <v>-</v>
      </c>
      <c r="AD18" s="312" t="str">
        <f t="shared" ca="1" si="2"/>
        <v>-</v>
      </c>
      <c r="AE18" s="312" t="str">
        <f t="shared" ca="1" si="2"/>
        <v>-</v>
      </c>
      <c r="AF18" s="312" t="str">
        <f t="shared" ca="1" si="2"/>
        <v>-</v>
      </c>
      <c r="AG18" s="312" t="str">
        <f t="shared" ca="1" si="2"/>
        <v>-</v>
      </c>
      <c r="AH18" s="312" t="str">
        <f t="shared" ca="1" si="2"/>
        <v>-</v>
      </c>
      <c r="AI18" s="313" t="str">
        <f t="shared" ca="1" si="2"/>
        <v>-</v>
      </c>
    </row>
    <row r="19" spans="1:35" hidden="1" x14ac:dyDescent="0.25">
      <c r="A19" s="301" t="e">
        <f ca="1">MEDIAN($L$18:$AI$18)</f>
        <v>#NUM!</v>
      </c>
      <c r="B19" s="460" t="s">
        <v>88</v>
      </c>
      <c r="C19" s="281"/>
      <c r="D19" s="281"/>
      <c r="E19" s="281"/>
      <c r="F19" s="281"/>
      <c r="G19" s="281"/>
      <c r="H19" s="281"/>
      <c r="I19" s="281"/>
      <c r="J19" s="281"/>
      <c r="K19" s="281"/>
      <c r="L19" s="314" t="str">
        <f ca="1">IFERROR($A$19,"")</f>
        <v/>
      </c>
      <c r="M19" s="314" t="str">
        <f t="shared" ref="M19:AI19" ca="1" si="3">IFERROR($A$19,"")</f>
        <v/>
      </c>
      <c r="N19" s="314" t="str">
        <f t="shared" ca="1" si="3"/>
        <v/>
      </c>
      <c r="O19" s="314" t="str">
        <f t="shared" ca="1" si="3"/>
        <v/>
      </c>
      <c r="P19" s="314" t="str">
        <f t="shared" ca="1" si="3"/>
        <v/>
      </c>
      <c r="Q19" s="314" t="str">
        <f t="shared" ca="1" si="3"/>
        <v/>
      </c>
      <c r="R19" s="314" t="str">
        <f t="shared" ca="1" si="3"/>
        <v/>
      </c>
      <c r="S19" s="314" t="str">
        <f t="shared" ca="1" si="3"/>
        <v/>
      </c>
      <c r="T19" s="314" t="str">
        <f t="shared" ca="1" si="3"/>
        <v/>
      </c>
      <c r="U19" s="314" t="str">
        <f t="shared" ca="1" si="3"/>
        <v/>
      </c>
      <c r="V19" s="314" t="str">
        <f t="shared" ca="1" si="3"/>
        <v/>
      </c>
      <c r="W19" s="314" t="str">
        <f t="shared" ca="1" si="3"/>
        <v/>
      </c>
      <c r="X19" s="314" t="str">
        <f t="shared" ca="1" si="3"/>
        <v/>
      </c>
      <c r="Y19" s="314" t="str">
        <f t="shared" ca="1" si="3"/>
        <v/>
      </c>
      <c r="Z19" s="314" t="str">
        <f t="shared" ca="1" si="3"/>
        <v/>
      </c>
      <c r="AA19" s="314" t="str">
        <f t="shared" ca="1" si="3"/>
        <v/>
      </c>
      <c r="AB19" s="314" t="str">
        <f t="shared" ca="1" si="3"/>
        <v/>
      </c>
      <c r="AC19" s="314" t="str">
        <f t="shared" ca="1" si="3"/>
        <v/>
      </c>
      <c r="AD19" s="314" t="str">
        <f t="shared" ca="1" si="3"/>
        <v/>
      </c>
      <c r="AE19" s="314" t="str">
        <f t="shared" ca="1" si="3"/>
        <v/>
      </c>
      <c r="AF19" s="314" t="str">
        <f t="shared" ca="1" si="3"/>
        <v/>
      </c>
      <c r="AG19" s="314" t="str">
        <f t="shared" ca="1" si="3"/>
        <v/>
      </c>
      <c r="AH19" s="314" t="str">
        <f t="shared" ca="1" si="3"/>
        <v/>
      </c>
      <c r="AI19" s="314" t="str">
        <f t="shared" ca="1" si="3"/>
        <v/>
      </c>
    </row>
    <row r="20" spans="1:35" ht="5.0999999999999996" customHeight="1" x14ac:dyDescent="0.25">
      <c r="B20" s="471"/>
      <c r="C20" s="283"/>
      <c r="D20" s="283"/>
      <c r="E20" s="283"/>
      <c r="F20" s="283"/>
      <c r="G20" s="283"/>
      <c r="H20" s="283"/>
      <c r="I20" s="283"/>
      <c r="J20" s="283"/>
      <c r="K20" s="283"/>
      <c r="L20" s="310"/>
      <c r="M20" s="310"/>
      <c r="N20" s="279"/>
      <c r="O20" s="279"/>
      <c r="P20" s="279"/>
      <c r="Q20" s="279"/>
      <c r="R20" s="310"/>
      <c r="S20" s="310"/>
      <c r="T20" s="310"/>
      <c r="U20" s="279"/>
      <c r="V20" s="280"/>
      <c r="X20" s="279"/>
      <c r="Z20" s="279"/>
      <c r="AB20" s="279"/>
      <c r="AC20" s="279"/>
      <c r="AD20" s="279"/>
      <c r="AE20" s="279"/>
      <c r="AF20" s="279"/>
      <c r="AG20" s="279"/>
      <c r="AH20" s="279"/>
      <c r="AI20" s="279"/>
    </row>
    <row r="21" spans="1:35" s="511" customFormat="1" ht="18" thickBot="1" x14ac:dyDescent="0.35">
      <c r="A21" s="509" t="s">
        <v>198</v>
      </c>
      <c r="B21" s="524"/>
      <c r="C21" s="525"/>
      <c r="D21" s="525"/>
      <c r="E21" s="525"/>
      <c r="F21" s="525"/>
      <c r="G21" s="525"/>
      <c r="H21" s="525"/>
      <c r="I21" s="525"/>
      <c r="J21" s="525"/>
      <c r="K21" s="525"/>
      <c r="L21" s="526"/>
      <c r="M21" s="526"/>
      <c r="N21" s="512"/>
      <c r="O21" s="512"/>
      <c r="P21" s="512"/>
      <c r="Q21" s="512"/>
      <c r="R21" s="526"/>
      <c r="S21" s="526"/>
      <c r="T21" s="526"/>
      <c r="U21" s="512"/>
      <c r="V21" s="527"/>
      <c r="W21" s="512"/>
      <c r="X21" s="512"/>
      <c r="Y21" s="512"/>
      <c r="Z21" s="512"/>
      <c r="AA21" s="512"/>
      <c r="AB21" s="512"/>
      <c r="AC21" s="512"/>
      <c r="AD21" s="512"/>
      <c r="AE21" s="512"/>
      <c r="AF21" s="512"/>
      <c r="AG21" s="512"/>
      <c r="AH21" s="512"/>
      <c r="AI21" s="512"/>
    </row>
    <row r="22" spans="1:35" x14ac:dyDescent="0.25">
      <c r="A22" s="288"/>
      <c r="B22" s="462" t="s">
        <v>302</v>
      </c>
      <c r="C22" s="413"/>
      <c r="D22" s="302"/>
      <c r="E22" s="302"/>
      <c r="F22" s="302"/>
      <c r="G22" s="302"/>
      <c r="H22" s="302"/>
      <c r="I22" s="302"/>
      <c r="J22" s="302"/>
      <c r="K22" s="302"/>
      <c r="L22" s="318">
        <f>COUNTIFS(Tbl_ResidentData[Exclusion Flag],0,Tbl_ResidentData[M1],TRUE,Tbl_ResidentData[Over1],1)</f>
        <v>0</v>
      </c>
      <c r="M22" s="318">
        <f>COUNTIFS(Tbl_ResidentData[Exclusion Flag],0,Tbl_ResidentData[M2],TRUE,Tbl_ResidentData[Over2],1)</f>
        <v>0</v>
      </c>
      <c r="N22" s="318">
        <f>COUNTIFS(Tbl_ResidentData[Exclusion Flag],0,Tbl_ResidentData[M3],TRUE,Tbl_ResidentData[Over3],1)</f>
        <v>0</v>
      </c>
      <c r="O22" s="318">
        <f>COUNTIFS(Tbl_ResidentData[Exclusion Flag],0,Tbl_ResidentData[M4],TRUE,Tbl_ResidentData[Over4],1)</f>
        <v>0</v>
      </c>
      <c r="P22" s="318">
        <f>COUNTIFS(Tbl_ResidentData[Exclusion Flag],0,Tbl_ResidentData[M5],TRUE,Tbl_ResidentData[Over5],1)</f>
        <v>0</v>
      </c>
      <c r="Q22" s="318">
        <f>COUNTIFS(Tbl_ResidentData[Exclusion Flag],0,Tbl_ResidentData[M6],TRUE,Tbl_ResidentData[Over6],1)</f>
        <v>0</v>
      </c>
      <c r="R22" s="318">
        <f>COUNTIFS(Tbl_ResidentData[Exclusion Flag],0,Tbl_ResidentData[M7],TRUE,Tbl_ResidentData[Over7],1)</f>
        <v>0</v>
      </c>
      <c r="S22" s="318">
        <f>COUNTIFS(Tbl_ResidentData[Exclusion Flag],0,Tbl_ResidentData[M8],TRUE,Tbl_ResidentData[Over8],1)</f>
        <v>0</v>
      </c>
      <c r="T22" s="318">
        <f>COUNTIFS(Tbl_ResidentData[Exclusion Flag],0,Tbl_ResidentData[M9],TRUE,Tbl_ResidentData[Over9],1)</f>
        <v>0</v>
      </c>
      <c r="U22" s="318">
        <f>COUNTIFS(Tbl_ResidentData[Exclusion Flag],0,Tbl_ResidentData[M10],TRUE,Tbl_ResidentData[Over10],1)</f>
        <v>0</v>
      </c>
      <c r="V22" s="318">
        <f>COUNTIFS(Tbl_ResidentData[Exclusion Flag],0,Tbl_ResidentData[M11],TRUE,Tbl_ResidentData[Over11],1)</f>
        <v>0</v>
      </c>
      <c r="W22" s="318">
        <f>COUNTIFS(Tbl_ResidentData[Exclusion Flag],0,Tbl_ResidentData[M12],TRUE,Tbl_ResidentData[Over12],1)</f>
        <v>0</v>
      </c>
      <c r="X22" s="318">
        <f>COUNTIFS(Tbl_ResidentData[Exclusion Flag],0,Tbl_ResidentData[M13],TRUE,Tbl_ResidentData[Over13],1)</f>
        <v>0</v>
      </c>
      <c r="Y22" s="318">
        <f>COUNTIFS(Tbl_ResidentData[Exclusion Flag],0,Tbl_ResidentData[M14],TRUE,Tbl_ResidentData[Over14],1)</f>
        <v>0</v>
      </c>
      <c r="Z22" s="318">
        <f>COUNTIFS(Tbl_ResidentData[Exclusion Flag],0,Tbl_ResidentData[M15],TRUE,Tbl_ResidentData[Over15],1)</f>
        <v>0</v>
      </c>
      <c r="AA22" s="318">
        <f>COUNTIFS(Tbl_ResidentData[Exclusion Flag],0,Tbl_ResidentData[M16],TRUE,Tbl_ResidentData[Over16],1)</f>
        <v>0</v>
      </c>
      <c r="AB22" s="318">
        <f>COUNTIFS(Tbl_ResidentData[Exclusion Flag],0,Tbl_ResidentData[M17],TRUE,Tbl_ResidentData[Over17],1)</f>
        <v>0</v>
      </c>
      <c r="AC22" s="318">
        <f>COUNTIFS(Tbl_ResidentData[Exclusion Flag],0,Tbl_ResidentData[M18],TRUE,Tbl_ResidentData[Over18],1)</f>
        <v>0</v>
      </c>
      <c r="AD22" s="318">
        <f>COUNTIFS(Tbl_ResidentData[Exclusion Flag],0,Tbl_ResidentData[M19],TRUE,Tbl_ResidentData[Over19],1)</f>
        <v>0</v>
      </c>
      <c r="AE22" s="318">
        <f>COUNTIFS(Tbl_ResidentData[Exclusion Flag],0,Tbl_ResidentData[M20],TRUE,Tbl_ResidentData[Over20],1)</f>
        <v>0</v>
      </c>
      <c r="AF22" s="318">
        <f>COUNTIFS(Tbl_ResidentData[Exclusion Flag],0,Tbl_ResidentData[M21],TRUE,Tbl_ResidentData[Over21],1)</f>
        <v>0</v>
      </c>
      <c r="AG22" s="318">
        <f>COUNTIFS(Tbl_ResidentData[Exclusion Flag],0,Tbl_ResidentData[M22],TRUE,Tbl_ResidentData[Over22],1)</f>
        <v>0</v>
      </c>
      <c r="AH22" s="318">
        <f>COUNTIFS(Tbl_ResidentData[Exclusion Flag],0,Tbl_ResidentData[M23],TRUE,Tbl_ResidentData[Over23],1)</f>
        <v>0</v>
      </c>
      <c r="AI22" s="319">
        <f>COUNTIFS(Tbl_ResidentData[Exclusion Flag],0,Tbl_ResidentData[M24],TRUE,Tbl_ResidentData[Over24],1)</f>
        <v>0</v>
      </c>
    </row>
    <row r="23" spans="1:35" x14ac:dyDescent="0.25">
      <c r="A23" s="273"/>
      <c r="B23" s="460" t="s">
        <v>120</v>
      </c>
      <c r="D23" s="281"/>
      <c r="E23" s="281"/>
      <c r="F23" s="281"/>
      <c r="G23" s="281"/>
      <c r="H23" s="281"/>
      <c r="I23" s="281"/>
      <c r="J23" s="281"/>
      <c r="K23" s="281"/>
      <c r="L23" s="310">
        <f>COUNTIFS(Tbl_ResidentData[Exclusion Flag],0,Tbl_ResidentData[M1],TRUE,Tbl_ResidentData[S1],TRUE)</f>
        <v>0</v>
      </c>
      <c r="M23" s="310">
        <f>COUNTIFS(Tbl_ResidentData[Exclusion Flag],0,Tbl_ResidentData[M2],TRUE,Tbl_ResidentData[S2],TRUE)</f>
        <v>0</v>
      </c>
      <c r="N23" s="310">
        <f>COUNTIFS(Tbl_ResidentData[Exclusion Flag],0,Tbl_ResidentData[M3],TRUE,Tbl_ResidentData[S3],TRUE)</f>
        <v>0</v>
      </c>
      <c r="O23" s="310">
        <f>COUNTIFS(Tbl_ResidentData[Exclusion Flag],0,Tbl_ResidentData[M4],TRUE,Tbl_ResidentData[S4],TRUE)</f>
        <v>0</v>
      </c>
      <c r="P23" s="310">
        <f>COUNTIFS(Tbl_ResidentData[Exclusion Flag],0,Tbl_ResidentData[M5],TRUE,Tbl_ResidentData[S5],TRUE)</f>
        <v>0</v>
      </c>
      <c r="Q23" s="310">
        <f>COUNTIFS(Tbl_ResidentData[Exclusion Flag],0,Tbl_ResidentData[M6],TRUE,Tbl_ResidentData[S6],TRUE)</f>
        <v>0</v>
      </c>
      <c r="R23" s="310">
        <f>COUNTIFS(Tbl_ResidentData[Exclusion Flag],0,Tbl_ResidentData[M7],TRUE,Tbl_ResidentData[S7],TRUE)</f>
        <v>0</v>
      </c>
      <c r="S23" s="310">
        <f>COUNTIFS(Tbl_ResidentData[Exclusion Flag],0,Tbl_ResidentData[M8],TRUE,Tbl_ResidentData[S8],TRUE)</f>
        <v>0</v>
      </c>
      <c r="T23" s="310">
        <f>COUNTIFS(Tbl_ResidentData[Exclusion Flag],0,Tbl_ResidentData[M9],TRUE,Tbl_ResidentData[S9],TRUE)</f>
        <v>0</v>
      </c>
      <c r="U23" s="310">
        <f>COUNTIFS(Tbl_ResidentData[Exclusion Flag],0,Tbl_ResidentData[M10],TRUE,Tbl_ResidentData[S10],TRUE)</f>
        <v>0</v>
      </c>
      <c r="V23" s="310">
        <f>COUNTIFS(Tbl_ResidentData[Exclusion Flag],0,Tbl_ResidentData[M11],TRUE,Tbl_ResidentData[S11],TRUE)</f>
        <v>0</v>
      </c>
      <c r="W23" s="310">
        <f>COUNTIFS(Tbl_ResidentData[Exclusion Flag],0,Tbl_ResidentData[M12],TRUE,Tbl_ResidentData[S12],TRUE)</f>
        <v>0</v>
      </c>
      <c r="X23" s="310">
        <f>COUNTIFS(Tbl_ResidentData[Exclusion Flag],0,Tbl_ResidentData[M13],TRUE,Tbl_ResidentData[S13],TRUE)</f>
        <v>0</v>
      </c>
      <c r="Y23" s="310">
        <f>COUNTIFS(Tbl_ResidentData[Exclusion Flag],0,Tbl_ResidentData[M14],TRUE,Tbl_ResidentData[S14],TRUE)</f>
        <v>0</v>
      </c>
      <c r="Z23" s="310">
        <f>COUNTIFS(Tbl_ResidentData[Exclusion Flag],0,Tbl_ResidentData[M15],TRUE,Tbl_ResidentData[S15],TRUE)</f>
        <v>0</v>
      </c>
      <c r="AA23" s="310">
        <f>COUNTIFS(Tbl_ResidentData[Exclusion Flag],0,Tbl_ResidentData[M16],TRUE,Tbl_ResidentData[S16],TRUE)</f>
        <v>0</v>
      </c>
      <c r="AB23" s="310">
        <f>COUNTIFS(Tbl_ResidentData[Exclusion Flag],0,Tbl_ResidentData[M17],TRUE,Tbl_ResidentData[S17],TRUE)</f>
        <v>0</v>
      </c>
      <c r="AC23" s="310">
        <f>COUNTIFS(Tbl_ResidentData[Exclusion Flag],0,Tbl_ResidentData[M18],TRUE,Tbl_ResidentData[S18],TRUE)</f>
        <v>0</v>
      </c>
      <c r="AD23" s="310">
        <f>COUNTIFS(Tbl_ResidentData[Exclusion Flag],0,Tbl_ResidentData[M19],TRUE,Tbl_ResidentData[S19],TRUE)</f>
        <v>0</v>
      </c>
      <c r="AE23" s="310">
        <f>COUNTIFS(Tbl_ResidentData[Exclusion Flag],0,Tbl_ResidentData[M20],TRUE,Tbl_ResidentData[S20],TRUE)</f>
        <v>0</v>
      </c>
      <c r="AF23" s="310">
        <f>COUNTIFS(Tbl_ResidentData[Exclusion Flag],0,Tbl_ResidentData[M21],TRUE,Tbl_ResidentData[S21],TRUE)</f>
        <v>0</v>
      </c>
      <c r="AG23" s="310">
        <f>COUNTIFS(Tbl_ResidentData[Exclusion Flag],0,Tbl_ResidentData[M22],TRUE,Tbl_ResidentData[S22],TRUE)</f>
        <v>0</v>
      </c>
      <c r="AH23" s="310">
        <f>COUNTIFS(Tbl_ResidentData[Exclusion Flag],0,Tbl_ResidentData[M23],TRUE,Tbl_ResidentData[S23],TRUE)</f>
        <v>0</v>
      </c>
      <c r="AI23" s="311">
        <f>COUNTIFS(Tbl_ResidentData[Exclusion Flag],0,Tbl_ResidentData[M24],TRUE,Tbl_ResidentData[S24],TRUE)</f>
        <v>0</v>
      </c>
    </row>
    <row r="24" spans="1:35" x14ac:dyDescent="0.25">
      <c r="A24" s="273"/>
      <c r="B24" s="460" t="s">
        <v>119</v>
      </c>
      <c r="D24" s="281"/>
      <c r="E24" s="281"/>
      <c r="F24" s="281"/>
      <c r="G24" s="281"/>
      <c r="H24" s="281"/>
      <c r="I24" s="281"/>
      <c r="J24" s="281"/>
      <c r="K24" s="281"/>
      <c r="L24" s="310">
        <f>COUNTIFS(Tbl_ResidentData[Exclusion Flag],0,Tbl_ResidentData[M1],TRUE,Tbl_ResidentData[P1],TRUE)</f>
        <v>0</v>
      </c>
      <c r="M24" s="310">
        <f>COUNTIFS(Tbl_ResidentData[Exclusion Flag],0,Tbl_ResidentData[M2],TRUE,Tbl_ResidentData[P2],TRUE)</f>
        <v>0</v>
      </c>
      <c r="N24" s="310">
        <f>COUNTIFS(Tbl_ResidentData[Exclusion Flag],0,Tbl_ResidentData[M3],TRUE,Tbl_ResidentData[P3],TRUE)</f>
        <v>0</v>
      </c>
      <c r="O24" s="310">
        <f>COUNTIFS(Tbl_ResidentData[Exclusion Flag],0,Tbl_ResidentData[M4],TRUE,Tbl_ResidentData[P4],TRUE)</f>
        <v>0</v>
      </c>
      <c r="P24" s="310">
        <f>COUNTIFS(Tbl_ResidentData[Exclusion Flag],0,Tbl_ResidentData[M5],TRUE,Tbl_ResidentData[P5],TRUE)</f>
        <v>0</v>
      </c>
      <c r="Q24" s="310">
        <f>COUNTIFS(Tbl_ResidentData[Exclusion Flag],0,Tbl_ResidentData[M6],TRUE,Tbl_ResidentData[P6],TRUE)</f>
        <v>0</v>
      </c>
      <c r="R24" s="310">
        <f>COUNTIFS(Tbl_ResidentData[Exclusion Flag],0,Tbl_ResidentData[M7],TRUE,Tbl_ResidentData[P7],TRUE)</f>
        <v>0</v>
      </c>
      <c r="S24" s="310">
        <f>COUNTIFS(Tbl_ResidentData[Exclusion Flag],0,Tbl_ResidentData[M8],TRUE,Tbl_ResidentData[P8],TRUE)</f>
        <v>0</v>
      </c>
      <c r="T24" s="310">
        <f>COUNTIFS(Tbl_ResidentData[Exclusion Flag],0,Tbl_ResidentData[M9],TRUE,Tbl_ResidentData[P9],TRUE)</f>
        <v>0</v>
      </c>
      <c r="U24" s="310">
        <f>COUNTIFS(Tbl_ResidentData[Exclusion Flag],0,Tbl_ResidentData[M10],TRUE,Tbl_ResidentData[P10],TRUE)</f>
        <v>0</v>
      </c>
      <c r="V24" s="310">
        <f>COUNTIFS(Tbl_ResidentData[Exclusion Flag],0,Tbl_ResidentData[M11],TRUE,Tbl_ResidentData[P11],TRUE)</f>
        <v>0</v>
      </c>
      <c r="W24" s="310">
        <f>COUNTIFS(Tbl_ResidentData[Exclusion Flag],0,Tbl_ResidentData[M12],TRUE,Tbl_ResidentData[P12],TRUE)</f>
        <v>0</v>
      </c>
      <c r="X24" s="310">
        <f>COUNTIFS(Tbl_ResidentData[Exclusion Flag],0,Tbl_ResidentData[M13],TRUE,Tbl_ResidentData[P13],TRUE)</f>
        <v>0</v>
      </c>
      <c r="Y24" s="310">
        <f>COUNTIFS(Tbl_ResidentData[Exclusion Flag],0,Tbl_ResidentData[M14],TRUE,Tbl_ResidentData[P14],TRUE)</f>
        <v>0</v>
      </c>
      <c r="Z24" s="310">
        <f>COUNTIFS(Tbl_ResidentData[Exclusion Flag],0,Tbl_ResidentData[M15],TRUE,Tbl_ResidentData[P15],TRUE)</f>
        <v>0</v>
      </c>
      <c r="AA24" s="310">
        <f>COUNTIFS(Tbl_ResidentData[Exclusion Flag],0,Tbl_ResidentData[M16],TRUE,Tbl_ResidentData[P16],TRUE)</f>
        <v>0</v>
      </c>
      <c r="AB24" s="310">
        <f>COUNTIFS(Tbl_ResidentData[Exclusion Flag],0,Tbl_ResidentData[M17],TRUE,Tbl_ResidentData[P17],TRUE)</f>
        <v>0</v>
      </c>
      <c r="AC24" s="310">
        <f>COUNTIFS(Tbl_ResidentData[Exclusion Flag],0,Tbl_ResidentData[M18],TRUE,Tbl_ResidentData[P18],TRUE)</f>
        <v>0</v>
      </c>
      <c r="AD24" s="310">
        <f>COUNTIFS(Tbl_ResidentData[Exclusion Flag],0,Tbl_ResidentData[M19],TRUE,Tbl_ResidentData[P19],TRUE)</f>
        <v>0</v>
      </c>
      <c r="AE24" s="310">
        <f>COUNTIFS(Tbl_ResidentData[Exclusion Flag],0,Tbl_ResidentData[M20],TRUE,Tbl_ResidentData[P20],TRUE)</f>
        <v>0</v>
      </c>
      <c r="AF24" s="310">
        <f>COUNTIFS(Tbl_ResidentData[Exclusion Flag],0,Tbl_ResidentData[M21],TRUE,Tbl_ResidentData[P21],TRUE)</f>
        <v>0</v>
      </c>
      <c r="AG24" s="310">
        <f>COUNTIFS(Tbl_ResidentData[Exclusion Flag],0,Tbl_ResidentData[M22],TRUE,Tbl_ResidentData[P22],TRUE)</f>
        <v>0</v>
      </c>
      <c r="AH24" s="310">
        <f>COUNTIFS(Tbl_ResidentData[Exclusion Flag],0,Tbl_ResidentData[M23],TRUE,Tbl_ResidentData[P23],TRUE)</f>
        <v>0</v>
      </c>
      <c r="AI24" s="311">
        <f>COUNTIFS(Tbl_ResidentData[Exclusion Flag],0,Tbl_ResidentData[M24],TRUE,Tbl_ResidentData[P24],TRUE)</f>
        <v>0</v>
      </c>
    </row>
    <row r="25" spans="1:35" x14ac:dyDescent="0.25">
      <c r="A25" s="273"/>
      <c r="B25" s="460" t="s">
        <v>303</v>
      </c>
      <c r="D25" s="281"/>
      <c r="E25" s="281"/>
      <c r="F25" s="281"/>
      <c r="G25" s="281"/>
      <c r="H25" s="281"/>
      <c r="I25" s="281"/>
      <c r="J25" s="281"/>
      <c r="K25" s="281"/>
      <c r="L25" s="314" t="str">
        <f>IFERROR(L$22/L$10,"-")</f>
        <v>-</v>
      </c>
      <c r="M25" s="314" t="str">
        <f t="shared" ref="M25:AI25" si="4">IFERROR(M$22/M$10,"-")</f>
        <v>-</v>
      </c>
      <c r="N25" s="314" t="str">
        <f t="shared" si="4"/>
        <v>-</v>
      </c>
      <c r="O25" s="314" t="str">
        <f t="shared" si="4"/>
        <v>-</v>
      </c>
      <c r="P25" s="314" t="str">
        <f t="shared" si="4"/>
        <v>-</v>
      </c>
      <c r="Q25" s="314" t="str">
        <f t="shared" si="4"/>
        <v>-</v>
      </c>
      <c r="R25" s="314" t="str">
        <f t="shared" si="4"/>
        <v>-</v>
      </c>
      <c r="S25" s="314" t="str">
        <f t="shared" si="4"/>
        <v>-</v>
      </c>
      <c r="T25" s="314" t="str">
        <f t="shared" si="4"/>
        <v>-</v>
      </c>
      <c r="U25" s="314" t="str">
        <f t="shared" si="4"/>
        <v>-</v>
      </c>
      <c r="V25" s="314" t="str">
        <f t="shared" si="4"/>
        <v>-</v>
      </c>
      <c r="W25" s="314" t="str">
        <f t="shared" si="4"/>
        <v>-</v>
      </c>
      <c r="X25" s="314" t="str">
        <f t="shared" si="4"/>
        <v>-</v>
      </c>
      <c r="Y25" s="314" t="str">
        <f t="shared" si="4"/>
        <v>-</v>
      </c>
      <c r="Z25" s="314" t="str">
        <f t="shared" si="4"/>
        <v>-</v>
      </c>
      <c r="AA25" s="314" t="str">
        <f t="shared" si="4"/>
        <v>-</v>
      </c>
      <c r="AB25" s="314" t="str">
        <f t="shared" si="4"/>
        <v>-</v>
      </c>
      <c r="AC25" s="314" t="str">
        <f t="shared" si="4"/>
        <v>-</v>
      </c>
      <c r="AD25" s="314" t="str">
        <f t="shared" si="4"/>
        <v>-</v>
      </c>
      <c r="AE25" s="314" t="str">
        <f t="shared" si="4"/>
        <v>-</v>
      </c>
      <c r="AF25" s="314" t="str">
        <f t="shared" si="4"/>
        <v>-</v>
      </c>
      <c r="AG25" s="314" t="str">
        <f t="shared" si="4"/>
        <v>-</v>
      </c>
      <c r="AH25" s="314" t="str">
        <f t="shared" si="4"/>
        <v>-</v>
      </c>
      <c r="AI25" s="315" t="str">
        <f t="shared" si="4"/>
        <v>-</v>
      </c>
    </row>
    <row r="26" spans="1:35" x14ac:dyDescent="0.25">
      <c r="A26" s="273"/>
      <c r="B26" s="460" t="s">
        <v>121</v>
      </c>
      <c r="D26" s="281"/>
      <c r="E26" s="281"/>
      <c r="F26" s="281"/>
      <c r="G26" s="281"/>
      <c r="H26" s="281"/>
      <c r="I26" s="281"/>
      <c r="J26" s="281"/>
      <c r="K26" s="281"/>
      <c r="L26" s="314" t="str">
        <f>IFERROR(L$23/L$10,"-")</f>
        <v>-</v>
      </c>
      <c r="M26" s="314" t="str">
        <f t="shared" ref="M26:AI26" si="5">IFERROR(M$23/M$10,"-")</f>
        <v>-</v>
      </c>
      <c r="N26" s="314" t="str">
        <f t="shared" si="5"/>
        <v>-</v>
      </c>
      <c r="O26" s="314" t="str">
        <f t="shared" si="5"/>
        <v>-</v>
      </c>
      <c r="P26" s="314" t="str">
        <f t="shared" si="5"/>
        <v>-</v>
      </c>
      <c r="Q26" s="314" t="str">
        <f t="shared" si="5"/>
        <v>-</v>
      </c>
      <c r="R26" s="314" t="str">
        <f t="shared" si="5"/>
        <v>-</v>
      </c>
      <c r="S26" s="314" t="str">
        <f t="shared" si="5"/>
        <v>-</v>
      </c>
      <c r="T26" s="314" t="str">
        <f t="shared" si="5"/>
        <v>-</v>
      </c>
      <c r="U26" s="314" t="str">
        <f t="shared" si="5"/>
        <v>-</v>
      </c>
      <c r="V26" s="314" t="str">
        <f t="shared" si="5"/>
        <v>-</v>
      </c>
      <c r="W26" s="314" t="str">
        <f t="shared" si="5"/>
        <v>-</v>
      </c>
      <c r="X26" s="314" t="str">
        <f t="shared" si="5"/>
        <v>-</v>
      </c>
      <c r="Y26" s="314" t="str">
        <f t="shared" si="5"/>
        <v>-</v>
      </c>
      <c r="Z26" s="314" t="str">
        <f t="shared" si="5"/>
        <v>-</v>
      </c>
      <c r="AA26" s="314" t="str">
        <f t="shared" si="5"/>
        <v>-</v>
      </c>
      <c r="AB26" s="314" t="str">
        <f t="shared" si="5"/>
        <v>-</v>
      </c>
      <c r="AC26" s="314" t="str">
        <f t="shared" si="5"/>
        <v>-</v>
      </c>
      <c r="AD26" s="314" t="str">
        <f t="shared" si="5"/>
        <v>-</v>
      </c>
      <c r="AE26" s="314" t="str">
        <f t="shared" si="5"/>
        <v>-</v>
      </c>
      <c r="AF26" s="314" t="str">
        <f t="shared" si="5"/>
        <v>-</v>
      </c>
      <c r="AG26" s="314" t="str">
        <f t="shared" si="5"/>
        <v>-</v>
      </c>
      <c r="AH26" s="314" t="str">
        <f t="shared" si="5"/>
        <v>-</v>
      </c>
      <c r="AI26" s="315" t="str">
        <f t="shared" si="5"/>
        <v>-</v>
      </c>
    </row>
    <row r="27" spans="1:35" ht="15.75" thickBot="1" x14ac:dyDescent="0.3">
      <c r="A27" s="276"/>
      <c r="B27" s="461" t="s">
        <v>122</v>
      </c>
      <c r="C27" s="414"/>
      <c r="D27" s="282"/>
      <c r="E27" s="282"/>
      <c r="F27" s="282"/>
      <c r="G27" s="282"/>
      <c r="H27" s="282"/>
      <c r="I27" s="282"/>
      <c r="J27" s="282"/>
      <c r="K27" s="282"/>
      <c r="L27" s="312" t="str">
        <f>IFERROR(L$24/L$10,"-")</f>
        <v>-</v>
      </c>
      <c r="M27" s="312" t="str">
        <f t="shared" ref="M27:AI27" si="6">IFERROR(M$24/M$10,"-")</f>
        <v>-</v>
      </c>
      <c r="N27" s="312" t="str">
        <f t="shared" si="6"/>
        <v>-</v>
      </c>
      <c r="O27" s="312" t="str">
        <f t="shared" si="6"/>
        <v>-</v>
      </c>
      <c r="P27" s="312" t="str">
        <f t="shared" si="6"/>
        <v>-</v>
      </c>
      <c r="Q27" s="312" t="str">
        <f t="shared" si="6"/>
        <v>-</v>
      </c>
      <c r="R27" s="312" t="str">
        <f t="shared" si="6"/>
        <v>-</v>
      </c>
      <c r="S27" s="312" t="str">
        <f t="shared" si="6"/>
        <v>-</v>
      </c>
      <c r="T27" s="312" t="str">
        <f t="shared" si="6"/>
        <v>-</v>
      </c>
      <c r="U27" s="312" t="str">
        <f t="shared" si="6"/>
        <v>-</v>
      </c>
      <c r="V27" s="312" t="str">
        <f t="shared" si="6"/>
        <v>-</v>
      </c>
      <c r="W27" s="312" t="str">
        <f t="shared" si="6"/>
        <v>-</v>
      </c>
      <c r="X27" s="312" t="str">
        <f t="shared" si="6"/>
        <v>-</v>
      </c>
      <c r="Y27" s="312" t="str">
        <f t="shared" si="6"/>
        <v>-</v>
      </c>
      <c r="Z27" s="312" t="str">
        <f t="shared" si="6"/>
        <v>-</v>
      </c>
      <c r="AA27" s="312" t="str">
        <f t="shared" si="6"/>
        <v>-</v>
      </c>
      <c r="AB27" s="312" t="str">
        <f t="shared" si="6"/>
        <v>-</v>
      </c>
      <c r="AC27" s="312" t="str">
        <f t="shared" si="6"/>
        <v>-</v>
      </c>
      <c r="AD27" s="312" t="str">
        <f t="shared" si="6"/>
        <v>-</v>
      </c>
      <c r="AE27" s="312" t="str">
        <f t="shared" si="6"/>
        <v>-</v>
      </c>
      <c r="AF27" s="312" t="str">
        <f t="shared" si="6"/>
        <v>-</v>
      </c>
      <c r="AG27" s="312" t="str">
        <f t="shared" si="6"/>
        <v>-</v>
      </c>
      <c r="AH27" s="312" t="str">
        <f t="shared" si="6"/>
        <v>-</v>
      </c>
      <c r="AI27" s="313" t="str">
        <f t="shared" si="6"/>
        <v>-</v>
      </c>
    </row>
    <row r="28" spans="1:35" hidden="1" x14ac:dyDescent="0.25">
      <c r="A28" s="301" t="e">
        <f>MEDIAN($L$25:$AI$25)</f>
        <v>#NUM!</v>
      </c>
      <c r="B28" s="460" t="s">
        <v>88</v>
      </c>
      <c r="C28" s="281"/>
      <c r="D28" s="281"/>
      <c r="E28" s="281"/>
      <c r="F28" s="281"/>
      <c r="G28" s="281"/>
      <c r="H28" s="281"/>
      <c r="I28" s="281"/>
      <c r="J28" s="281"/>
      <c r="K28" s="281"/>
      <c r="L28" s="314" t="str">
        <f>IFERROR($A$28,"")</f>
        <v/>
      </c>
      <c r="M28" s="314" t="str">
        <f t="shared" ref="M28:AI28" si="7">IFERROR($A$28,"")</f>
        <v/>
      </c>
      <c r="N28" s="314" t="str">
        <f t="shared" si="7"/>
        <v/>
      </c>
      <c r="O28" s="314" t="str">
        <f t="shared" si="7"/>
        <v/>
      </c>
      <c r="P28" s="314" t="str">
        <f t="shared" si="7"/>
        <v/>
      </c>
      <c r="Q28" s="314" t="str">
        <f t="shared" si="7"/>
        <v/>
      </c>
      <c r="R28" s="314" t="str">
        <f t="shared" si="7"/>
        <v/>
      </c>
      <c r="S28" s="314" t="str">
        <f t="shared" si="7"/>
        <v/>
      </c>
      <c r="T28" s="314" t="str">
        <f t="shared" si="7"/>
        <v/>
      </c>
      <c r="U28" s="314" t="str">
        <f t="shared" si="7"/>
        <v/>
      </c>
      <c r="V28" s="314" t="str">
        <f t="shared" si="7"/>
        <v/>
      </c>
      <c r="W28" s="314" t="str">
        <f t="shared" si="7"/>
        <v/>
      </c>
      <c r="X28" s="314" t="str">
        <f t="shared" si="7"/>
        <v/>
      </c>
      <c r="Y28" s="314" t="str">
        <f t="shared" si="7"/>
        <v/>
      </c>
      <c r="Z28" s="314" t="str">
        <f t="shared" si="7"/>
        <v/>
      </c>
      <c r="AA28" s="314" t="str">
        <f t="shared" si="7"/>
        <v/>
      </c>
      <c r="AB28" s="314" t="str">
        <f t="shared" si="7"/>
        <v/>
      </c>
      <c r="AC28" s="314" t="str">
        <f t="shared" si="7"/>
        <v/>
      </c>
      <c r="AD28" s="314" t="str">
        <f t="shared" si="7"/>
        <v/>
      </c>
      <c r="AE28" s="314" t="str">
        <f t="shared" si="7"/>
        <v/>
      </c>
      <c r="AF28" s="314" t="str">
        <f t="shared" si="7"/>
        <v/>
      </c>
      <c r="AG28" s="314" t="str">
        <f t="shared" si="7"/>
        <v/>
      </c>
      <c r="AH28" s="314" t="str">
        <f t="shared" si="7"/>
        <v/>
      </c>
      <c r="AI28" s="314" t="str">
        <f t="shared" si="7"/>
        <v/>
      </c>
    </row>
    <row r="29" spans="1:35" ht="5.0999999999999996" customHeight="1" thickBot="1" x14ac:dyDescent="0.3">
      <c r="B29" s="471"/>
      <c r="C29" s="283"/>
      <c r="D29" s="283"/>
      <c r="E29" s="283"/>
      <c r="F29" s="283"/>
      <c r="G29" s="283"/>
      <c r="H29" s="283"/>
      <c r="I29" s="283"/>
      <c r="J29" s="283"/>
      <c r="K29" s="283"/>
      <c r="L29" s="310"/>
      <c r="M29" s="310"/>
      <c r="N29" s="279"/>
      <c r="O29" s="279"/>
      <c r="P29" s="279"/>
      <c r="Q29" s="279"/>
      <c r="R29" s="310"/>
      <c r="S29" s="310"/>
      <c r="T29" s="310"/>
      <c r="U29" s="279"/>
      <c r="V29" s="280"/>
      <c r="X29" s="279"/>
      <c r="Z29" s="279"/>
      <c r="AB29" s="279"/>
      <c r="AC29" s="279"/>
      <c r="AD29" s="279"/>
      <c r="AE29" s="279"/>
      <c r="AF29" s="279"/>
      <c r="AG29" s="279"/>
      <c r="AH29" s="279"/>
      <c r="AI29" s="279"/>
    </row>
    <row r="30" spans="1:35" s="511" customFormat="1" ht="17.25" x14ac:dyDescent="0.3">
      <c r="A30" s="515" t="s">
        <v>185</v>
      </c>
      <c r="B30" s="536"/>
      <c r="C30" s="529"/>
      <c r="D30" s="529"/>
      <c r="E30" s="529"/>
      <c r="F30" s="529"/>
      <c r="G30" s="529"/>
      <c r="H30" s="529"/>
      <c r="I30" s="529"/>
      <c r="J30" s="529"/>
      <c r="K30" s="529"/>
      <c r="L30" s="522"/>
      <c r="M30" s="522"/>
      <c r="N30" s="519"/>
      <c r="O30" s="519"/>
      <c r="P30" s="519"/>
      <c r="Q30" s="519"/>
      <c r="R30" s="522"/>
      <c r="S30" s="522"/>
      <c r="T30" s="522"/>
      <c r="U30" s="519"/>
      <c r="V30" s="520"/>
      <c r="W30" s="519"/>
      <c r="X30" s="519"/>
      <c r="Y30" s="519"/>
      <c r="Z30" s="519"/>
      <c r="AA30" s="519"/>
      <c r="AB30" s="519"/>
      <c r="AC30" s="519"/>
      <c r="AD30" s="519"/>
      <c r="AE30" s="519"/>
      <c r="AF30" s="519"/>
      <c r="AG30" s="519"/>
      <c r="AH30" s="519"/>
      <c r="AI30" s="523"/>
    </row>
    <row r="31" spans="1:35" x14ac:dyDescent="0.25">
      <c r="A31" s="273"/>
      <c r="B31" s="460" t="s">
        <v>326</v>
      </c>
      <c r="D31" s="281"/>
      <c r="E31" s="281"/>
      <c r="F31" s="281"/>
      <c r="G31" s="281"/>
      <c r="H31" s="281"/>
      <c r="I31" s="281"/>
      <c r="J31" s="281"/>
      <c r="K31" s="281"/>
      <c r="L31" s="310">
        <f>COUNTIFS(Tbl_PDSAData[M1],ListLookup!$H$3)</f>
        <v>0</v>
      </c>
      <c r="M31" s="310">
        <f>COUNTIFS(Tbl_PDSAData[M2],ListLookup!$H$3)</f>
        <v>0</v>
      </c>
      <c r="N31" s="310">
        <f>COUNTIFS(Tbl_PDSAData[M3],ListLookup!$H$3)</f>
        <v>0</v>
      </c>
      <c r="O31" s="310">
        <f>COUNTIFS(Tbl_PDSAData[M4],ListLookup!$H$3)</f>
        <v>0</v>
      </c>
      <c r="P31" s="310">
        <f>COUNTIFS(Tbl_PDSAData[M5],ListLookup!$H$3)</f>
        <v>0</v>
      </c>
      <c r="Q31" s="310">
        <f>COUNTIFS(Tbl_PDSAData[M6],ListLookup!$H$3)</f>
        <v>0</v>
      </c>
      <c r="R31" s="310">
        <f>COUNTIFS(Tbl_PDSAData[M7],ListLookup!$H$3)</f>
        <v>0</v>
      </c>
      <c r="S31" s="310">
        <f>COUNTIFS(Tbl_PDSAData[M8],ListLookup!$H$3)</f>
        <v>0</v>
      </c>
      <c r="T31" s="310">
        <f>COUNTIFS(Tbl_PDSAData[M9],ListLookup!$H$3)</f>
        <v>0</v>
      </c>
      <c r="U31" s="310">
        <f>COUNTIFS(Tbl_PDSAData[M10],ListLookup!$H$3)</f>
        <v>0</v>
      </c>
      <c r="V31" s="310">
        <f>COUNTIFS(Tbl_PDSAData[M11],ListLookup!$H$3)</f>
        <v>0</v>
      </c>
      <c r="W31" s="310">
        <f>COUNTIFS(Tbl_PDSAData[M12],ListLookup!$H$3)</f>
        <v>0</v>
      </c>
      <c r="X31" s="310">
        <f>COUNTIFS(Tbl_PDSAData[M13],ListLookup!$H$3)</f>
        <v>0</v>
      </c>
      <c r="Y31" s="310">
        <f>COUNTIFS(Tbl_PDSAData[M14],ListLookup!$H$3)</f>
        <v>0</v>
      </c>
      <c r="Z31" s="310">
        <f>COUNTIFS(Tbl_PDSAData[M15],ListLookup!$H$3)</f>
        <v>0</v>
      </c>
      <c r="AA31" s="310">
        <f>COUNTIFS(Tbl_PDSAData[M16],ListLookup!$H$3)</f>
        <v>0</v>
      </c>
      <c r="AB31" s="310">
        <f>COUNTIFS(Tbl_PDSAData[M17],ListLookup!$H$3)</f>
        <v>0</v>
      </c>
      <c r="AC31" s="310">
        <f>COUNTIFS(Tbl_PDSAData[M18],ListLookup!$H$3)</f>
        <v>0</v>
      </c>
      <c r="AD31" s="310">
        <f>COUNTIFS(Tbl_PDSAData[M19],ListLookup!$H$3)</f>
        <v>0</v>
      </c>
      <c r="AE31" s="310">
        <f>COUNTIFS(Tbl_PDSAData[M20],ListLookup!$H$3)</f>
        <v>0</v>
      </c>
      <c r="AF31" s="310">
        <f>COUNTIFS(Tbl_PDSAData[M21],ListLookup!$H$3)</f>
        <v>0</v>
      </c>
      <c r="AG31" s="310">
        <f>COUNTIFS(Tbl_PDSAData[M22],ListLookup!$H$3)</f>
        <v>0</v>
      </c>
      <c r="AH31" s="310">
        <f>COUNTIFS(Tbl_PDSAData[M23],ListLookup!$H$3)</f>
        <v>0</v>
      </c>
      <c r="AI31" s="311">
        <f>COUNTIFS(Tbl_PDSAData[M24],ListLookup!$H$3)</f>
        <v>0</v>
      </c>
    </row>
    <row r="32" spans="1:35" ht="15.75" thickBot="1" x14ac:dyDescent="0.3">
      <c r="A32" s="276"/>
      <c r="B32" s="461" t="s">
        <v>327</v>
      </c>
      <c r="C32" s="414"/>
      <c r="D32" s="282"/>
      <c r="E32" s="282"/>
      <c r="F32" s="282"/>
      <c r="G32" s="282"/>
      <c r="H32" s="282"/>
      <c r="I32" s="282"/>
      <c r="J32" s="282"/>
      <c r="K32" s="282"/>
      <c r="L32" s="316">
        <f>COUNTIFS(Tbl_PDSAData[D1],ListLookup!$G$3)</f>
        <v>0</v>
      </c>
      <c r="M32" s="316">
        <f>COUNTIFS(Tbl_PDSAData[D2],ListLookup!$G$3)</f>
        <v>0</v>
      </c>
      <c r="N32" s="316">
        <f>COUNTIFS(Tbl_PDSAData[D3],ListLookup!$G$3)</f>
        <v>0</v>
      </c>
      <c r="O32" s="316">
        <f>COUNTIFS(Tbl_PDSAData[D4],ListLookup!$G$3)</f>
        <v>0</v>
      </c>
      <c r="P32" s="316">
        <f>COUNTIFS(Tbl_PDSAData[D5],ListLookup!$G$3)</f>
        <v>0</v>
      </c>
      <c r="Q32" s="316">
        <f>COUNTIFS(Tbl_PDSAData[D6],ListLookup!$G$3)</f>
        <v>0</v>
      </c>
      <c r="R32" s="316">
        <f>COUNTIFS(Tbl_PDSAData[D7],ListLookup!$G$3)</f>
        <v>0</v>
      </c>
      <c r="S32" s="316">
        <f>COUNTIFS(Tbl_PDSAData[D8],ListLookup!$G$3)</f>
        <v>0</v>
      </c>
      <c r="T32" s="316">
        <f>COUNTIFS(Tbl_PDSAData[D9],ListLookup!$G$3)</f>
        <v>0</v>
      </c>
      <c r="U32" s="316">
        <f>COUNTIFS(Tbl_PDSAData[D10],ListLookup!$G$3)</f>
        <v>0</v>
      </c>
      <c r="V32" s="316">
        <f>COUNTIFS(Tbl_PDSAData[D11],ListLookup!$G$3)</f>
        <v>0</v>
      </c>
      <c r="W32" s="316">
        <f>COUNTIFS(Tbl_PDSAData[D12],ListLookup!$G$3)</f>
        <v>0</v>
      </c>
      <c r="X32" s="316">
        <f>COUNTIFS(Tbl_PDSAData[D13],ListLookup!$G$3)</f>
        <v>0</v>
      </c>
      <c r="Y32" s="316">
        <f>COUNTIFS(Tbl_PDSAData[D14],ListLookup!$G$3)</f>
        <v>0</v>
      </c>
      <c r="Z32" s="316">
        <f>COUNTIFS(Tbl_PDSAData[D15],ListLookup!$G$3)</f>
        <v>0</v>
      </c>
      <c r="AA32" s="316">
        <f>COUNTIFS(Tbl_PDSAData[D16],ListLookup!$G$3)</f>
        <v>0</v>
      </c>
      <c r="AB32" s="316">
        <f>COUNTIFS(Tbl_PDSAData[D17],ListLookup!$G$3)</f>
        <v>0</v>
      </c>
      <c r="AC32" s="316">
        <f>COUNTIFS(Tbl_PDSAData[D18],ListLookup!$G$3)</f>
        <v>0</v>
      </c>
      <c r="AD32" s="316">
        <f>COUNTIFS(Tbl_PDSAData[D19],ListLookup!$G$3)</f>
        <v>0</v>
      </c>
      <c r="AE32" s="316">
        <f>COUNTIFS(Tbl_PDSAData[D20],ListLookup!$G$3)</f>
        <v>0</v>
      </c>
      <c r="AF32" s="316">
        <f>COUNTIFS(Tbl_PDSAData[D21],ListLookup!$G$3)</f>
        <v>0</v>
      </c>
      <c r="AG32" s="316">
        <f>COUNTIFS(Tbl_PDSAData[D22],ListLookup!$G$3)</f>
        <v>0</v>
      </c>
      <c r="AH32" s="316">
        <f>COUNTIFS(Tbl_PDSAData[D23],ListLookup!$G$3)</f>
        <v>0</v>
      </c>
      <c r="AI32" s="317">
        <f>COUNTIFS(Tbl_PDSAData[D24],ListLookup!$G$3)</f>
        <v>0</v>
      </c>
    </row>
    <row r="33" spans="1:27" ht="5.0999999999999996" customHeight="1" x14ac:dyDescent="0.25"/>
    <row r="34" spans="1:27" s="272" customFormat="1" ht="18.75" x14ac:dyDescent="0.3">
      <c r="A34" s="284" t="s">
        <v>340</v>
      </c>
      <c r="M34" s="514"/>
      <c r="N34" s="411"/>
      <c r="O34" s="411"/>
      <c r="P34" s="411"/>
      <c r="Q34" s="411"/>
      <c r="R34" s="304"/>
      <c r="S34" s="304"/>
      <c r="T34" s="304"/>
      <c r="V34" s="412"/>
      <c r="W34" s="304"/>
      <c r="Y34" s="304"/>
      <c r="AA34" s="304"/>
    </row>
    <row r="35" spans="1:27" x14ac:dyDescent="0.25">
      <c r="D35" s="334"/>
      <c r="E35" s="334"/>
      <c r="F35" s="334"/>
      <c r="G35" s="334"/>
      <c r="H35" s="334"/>
      <c r="I35" s="334"/>
      <c r="J35" s="334"/>
      <c r="K35" s="334" t="s">
        <v>251</v>
      </c>
      <c r="L35" s="374">
        <v>15</v>
      </c>
      <c r="M35" s="556" t="s">
        <v>363</v>
      </c>
    </row>
    <row r="36" spans="1:27" ht="5.0999999999999996" customHeight="1" x14ac:dyDescent="0.25">
      <c r="B36" s="334"/>
      <c r="C36" s="334"/>
      <c r="D36" s="334"/>
      <c r="E36" s="334"/>
      <c r="F36" s="334"/>
      <c r="G36" s="334"/>
      <c r="H36" s="334"/>
      <c r="I36" s="334"/>
      <c r="J36" s="334"/>
      <c r="K36" s="334"/>
      <c r="L36" s="334"/>
      <c r="M36" s="335"/>
    </row>
    <row r="58" spans="1:28" ht="18.75" x14ac:dyDescent="0.3">
      <c r="A58" s="284" t="s">
        <v>253</v>
      </c>
    </row>
    <row r="59" spans="1:28" s="511" customFormat="1" ht="18" thickBot="1" x14ac:dyDescent="0.35">
      <c r="A59" s="528" t="s">
        <v>254</v>
      </c>
      <c r="B59" s="510"/>
      <c r="M59" s="512"/>
      <c r="N59" s="513"/>
      <c r="O59" s="513"/>
      <c r="P59" s="513"/>
      <c r="Q59" s="528" t="s">
        <v>256</v>
      </c>
      <c r="R59" s="512"/>
      <c r="T59" s="512"/>
      <c r="V59" s="512"/>
    </row>
    <row r="60" spans="1:28" x14ac:dyDescent="0.25">
      <c r="A60" s="416" t="s">
        <v>27</v>
      </c>
      <c r="B60" s="463"/>
      <c r="C60" s="413"/>
      <c r="D60" s="417"/>
      <c r="E60" s="417"/>
      <c r="F60" s="423" t="s">
        <v>5</v>
      </c>
      <c r="G60" s="286"/>
      <c r="H60" s="303"/>
      <c r="I60" s="423" t="s">
        <v>8</v>
      </c>
      <c r="J60" s="289"/>
      <c r="K60" s="303"/>
      <c r="L60" s="423" t="s">
        <v>24</v>
      </c>
      <c r="M60" s="286"/>
      <c r="N60" s="287"/>
      <c r="P60" s="279"/>
      <c r="Q60" s="478"/>
      <c r="R60" s="286"/>
      <c r="S60" s="413"/>
      <c r="T60" s="423" t="s">
        <v>5</v>
      </c>
      <c r="U60" s="413"/>
      <c r="V60" s="415"/>
      <c r="W60" s="423" t="s">
        <v>8</v>
      </c>
      <c r="X60" s="413"/>
      <c r="Y60" s="415"/>
      <c r="Z60" s="423" t="s">
        <v>24</v>
      </c>
      <c r="AA60" s="413"/>
      <c r="AB60" s="415"/>
    </row>
    <row r="61" spans="1:28" s="422" customFormat="1" ht="12.75" thickBot="1" x14ac:dyDescent="0.25">
      <c r="A61" s="480"/>
      <c r="B61" s="477"/>
      <c r="C61" s="479"/>
      <c r="D61" s="477"/>
      <c r="E61" s="477"/>
      <c r="F61" s="561" t="s">
        <v>332</v>
      </c>
      <c r="G61" s="562" t="s">
        <v>333</v>
      </c>
      <c r="H61" s="563" t="s">
        <v>334</v>
      </c>
      <c r="I61" s="561" t="s">
        <v>332</v>
      </c>
      <c r="J61" s="562" t="s">
        <v>333</v>
      </c>
      <c r="K61" s="563" t="s">
        <v>334</v>
      </c>
      <c r="L61" s="561" t="s">
        <v>332</v>
      </c>
      <c r="M61" s="562" t="s">
        <v>333</v>
      </c>
      <c r="N61" s="563" t="s">
        <v>334</v>
      </c>
      <c r="Q61" s="481"/>
      <c r="R61" s="479"/>
      <c r="S61" s="479"/>
      <c r="T61" s="561" t="s">
        <v>332</v>
      </c>
      <c r="U61" s="562" t="s">
        <v>333</v>
      </c>
      <c r="V61" s="563" t="s">
        <v>334</v>
      </c>
      <c r="W61" s="561" t="s">
        <v>332</v>
      </c>
      <c r="X61" s="562" t="s">
        <v>333</v>
      </c>
      <c r="Y61" s="563" t="s">
        <v>334</v>
      </c>
      <c r="Z61" s="561" t="s">
        <v>332</v>
      </c>
      <c r="AA61" s="562" t="s">
        <v>333</v>
      </c>
      <c r="AB61" s="563" t="s">
        <v>334</v>
      </c>
    </row>
    <row r="62" spans="1:28" x14ac:dyDescent="0.25">
      <c r="A62" s="288"/>
      <c r="B62" s="463" t="s">
        <v>6</v>
      </c>
      <c r="C62" s="413"/>
      <c r="D62" s="424"/>
      <c r="E62" s="424"/>
      <c r="F62" s="430">
        <f>COUNTIFS(Tbl_ResidentData[Cohort],"Original",Tbl_ResidentData[Antipsychotic Progress],$B62,Tbl_ResidentData[Exclusion Flag],1)</f>
        <v>0</v>
      </c>
      <c r="G62" s="431">
        <f>COUNTIFS(Tbl_ResidentData[Cohort],"Original",Tbl_ResidentData[Antipsychotic Progress],$B62,Tbl_ResidentData[Exclusion Flag],0)</f>
        <v>0</v>
      </c>
      <c r="H62" s="427">
        <f>COUNTIFS(Tbl_ResidentData[Cohort],"Original",Tbl_ResidentData[Antipsychotic Progress],$B62)</f>
        <v>0</v>
      </c>
      <c r="I62" s="435">
        <f>COUNTIFS(Tbl_ResidentData[Cohort],"Additional",Tbl_ResidentData[Antipsychotic Progress],$B62,Tbl_ResidentData[Exclusion Flag],1)</f>
        <v>0</v>
      </c>
      <c r="J62" s="436">
        <f>COUNTIFS(Tbl_ResidentData[Cohort],"Additional",Tbl_ResidentData[Antipsychotic Progress],$B62,Tbl_ResidentData[Exclusion Flag],0)</f>
        <v>0</v>
      </c>
      <c r="K62" s="427">
        <f>COUNTIFS(Tbl_ResidentData[Cohort],"Additional",Tbl_ResidentData[Antipsychotic Progress],$B62)</f>
        <v>0</v>
      </c>
      <c r="L62" s="435">
        <f t="shared" ref="L62:N68" si="8">F62+I62</f>
        <v>0</v>
      </c>
      <c r="M62" s="436">
        <f t="shared" si="8"/>
        <v>0</v>
      </c>
      <c r="N62" s="427">
        <f t="shared" si="8"/>
        <v>0</v>
      </c>
      <c r="P62" s="279"/>
      <c r="Q62" s="341" t="s">
        <v>257</v>
      </c>
      <c r="S62" s="267"/>
      <c r="T62" s="430">
        <f>COUNTIFS(Tbl_ResidentData[Cohort],"Original",Tbl_ResidentData[Resident Status],$Q62,Tbl_ResidentData[Exclusion Flag],1)</f>
        <v>0</v>
      </c>
      <c r="U62" s="431">
        <f>COUNTIFS(Tbl_ResidentData[Cohort],"Original",Tbl_ResidentData[Resident Status],$Q62,Tbl_ResidentData[Exclusion Flag],0)</f>
        <v>0</v>
      </c>
      <c r="V62" s="441">
        <f>COUNTIFS(Tbl_ResidentData[Cohort],"Original",Tbl_ResidentData[Resident Status],$Q62)</f>
        <v>0</v>
      </c>
      <c r="W62" s="442">
        <f>COUNTIFS(Tbl_ResidentData[Cohort],"Additional",Tbl_ResidentData[Resident Status],$Q62,Tbl_ResidentData[Exclusion Flag],1)</f>
        <v>0</v>
      </c>
      <c r="X62" s="443">
        <f>COUNTIFS(Tbl_ResidentData[Cohort],"Additional",Tbl_ResidentData[Resident Status],$Q62,Tbl_ResidentData[Exclusion Flag],0)</f>
        <v>0</v>
      </c>
      <c r="Y62" s="441">
        <f>COUNTIFS(Tbl_ResidentData[Cohort],"Additional",Tbl_ResidentData[Resident Status],$Q62)</f>
        <v>0</v>
      </c>
      <c r="Z62" s="430">
        <f t="shared" ref="Z62:AB63" si="9">T62+W62</f>
        <v>0</v>
      </c>
      <c r="AA62" s="431">
        <f t="shared" si="9"/>
        <v>0</v>
      </c>
      <c r="AB62" s="441">
        <f t="shared" si="9"/>
        <v>0</v>
      </c>
    </row>
    <row r="63" spans="1:28" x14ac:dyDescent="0.25">
      <c r="A63" s="273"/>
      <c r="B63" s="464" t="s">
        <v>17</v>
      </c>
      <c r="D63" s="425"/>
      <c r="E63" s="425"/>
      <c r="F63" s="432">
        <f>COUNTIFS(Tbl_ResidentData[Cohort],"Original",Tbl_ResidentData[Antipsychotic Progress],$B63,Tbl_ResidentData[Exclusion Flag],1)</f>
        <v>0</v>
      </c>
      <c r="G63" s="426">
        <f>COUNTIFS(Tbl_ResidentData[Cohort],"Original",Tbl_ResidentData[Antipsychotic Progress],$B63,Tbl_ResidentData[Exclusion Flag],0)</f>
        <v>0</v>
      </c>
      <c r="H63" s="428">
        <f>COUNTIFS(Tbl_ResidentData[Cohort],"Original",Tbl_ResidentData[Antipsychotic Progress],$B63)</f>
        <v>0</v>
      </c>
      <c r="I63" s="437">
        <f>COUNTIFS(Tbl_ResidentData[Cohort],"Additional",Tbl_ResidentData[Antipsychotic Progress],$B63,Tbl_ResidentData[Exclusion Flag],1)</f>
        <v>0</v>
      </c>
      <c r="J63" s="438">
        <f>COUNTIFS(Tbl_ResidentData[Cohort],"Additional",Tbl_ResidentData[Antipsychotic Progress],$B63,Tbl_ResidentData[Exclusion Flag],0)</f>
        <v>0</v>
      </c>
      <c r="K63" s="428">
        <f>COUNTIFS(Tbl_ResidentData[Cohort],"Additional",Tbl_ResidentData[Antipsychotic Progress],$B63)</f>
        <v>0</v>
      </c>
      <c r="L63" s="437">
        <f t="shared" si="8"/>
        <v>0</v>
      </c>
      <c r="M63" s="438">
        <f t="shared" si="8"/>
        <v>0</v>
      </c>
      <c r="N63" s="428">
        <f t="shared" si="8"/>
        <v>0</v>
      </c>
      <c r="P63" s="279"/>
      <c r="Q63" s="341" t="s">
        <v>7</v>
      </c>
      <c r="S63" s="267"/>
      <c r="T63" s="432">
        <f>COUNTIFS(Tbl_ResidentData[Cohort],"Original",Tbl_ResidentData[Resident Status],$Q63,Tbl_ResidentData[Exclusion Flag],1)</f>
        <v>0</v>
      </c>
      <c r="U63" s="426">
        <f>COUNTIFS(Tbl_ResidentData[Cohort],"Original",Tbl_ResidentData[Resident Status],$Q63,Tbl_ResidentData[Exclusion Flag],0)</f>
        <v>0</v>
      </c>
      <c r="V63" s="444">
        <f>COUNTIFS(Tbl_ResidentData[Cohort],"Original",Tbl_ResidentData[Resident Status],$Q63)</f>
        <v>0</v>
      </c>
      <c r="W63" s="445">
        <f>COUNTIFS(Tbl_ResidentData[Cohort],"Additional",Tbl_ResidentData[Resident Status],$Q63,Tbl_ResidentData[Exclusion Flag],1)</f>
        <v>0</v>
      </c>
      <c r="X63" s="446">
        <f>COUNTIFS(Tbl_ResidentData[Cohort],"Additional",Tbl_ResidentData[Resident Status],$Q63,Tbl_ResidentData[Exclusion Flag],0)</f>
        <v>0</v>
      </c>
      <c r="Y63" s="444">
        <f>COUNTIFS(Tbl_ResidentData[Cohort],"Additional",Tbl_ResidentData[Resident Status],$Q63)</f>
        <v>0</v>
      </c>
      <c r="Z63" s="432">
        <f t="shared" si="9"/>
        <v>0</v>
      </c>
      <c r="AA63" s="426">
        <f t="shared" si="9"/>
        <v>0</v>
      </c>
      <c r="AB63" s="444">
        <f t="shared" si="9"/>
        <v>0</v>
      </c>
    </row>
    <row r="64" spans="1:28" x14ac:dyDescent="0.25">
      <c r="A64" s="273"/>
      <c r="B64" s="464" t="s">
        <v>10</v>
      </c>
      <c r="D64" s="425"/>
      <c r="E64" s="425"/>
      <c r="F64" s="432">
        <f>COUNTIFS(Tbl_ResidentData[Cohort],"Original",Tbl_ResidentData[Antipsychotic Progress],$B64,Tbl_ResidentData[Exclusion Flag],1)</f>
        <v>0</v>
      </c>
      <c r="G64" s="426">
        <f>COUNTIFS(Tbl_ResidentData[Cohort],"Original",Tbl_ResidentData[Antipsychotic Progress],$B64,Tbl_ResidentData[Exclusion Flag],0)</f>
        <v>0</v>
      </c>
      <c r="H64" s="428">
        <f>COUNTIFS(Tbl_ResidentData[Cohort],"Original",Tbl_ResidentData[Antipsychotic Progress],$B64)</f>
        <v>0</v>
      </c>
      <c r="I64" s="437">
        <f>COUNTIFS(Tbl_ResidentData[Cohort],"Additional",Tbl_ResidentData[Antipsychotic Progress],$B64,Tbl_ResidentData[Exclusion Flag],1)</f>
        <v>0</v>
      </c>
      <c r="J64" s="438">
        <f>COUNTIFS(Tbl_ResidentData[Cohort],"Additional",Tbl_ResidentData[Antipsychotic Progress],$B64,Tbl_ResidentData[Exclusion Flag],0)</f>
        <v>0</v>
      </c>
      <c r="K64" s="428">
        <f>COUNTIFS(Tbl_ResidentData[Cohort],"Additional",Tbl_ResidentData[Antipsychotic Progress],$B64)</f>
        <v>0</v>
      </c>
      <c r="L64" s="437">
        <f t="shared" si="8"/>
        <v>0</v>
      </c>
      <c r="M64" s="438">
        <f t="shared" si="8"/>
        <v>0</v>
      </c>
      <c r="N64" s="428">
        <f t="shared" si="8"/>
        <v>0</v>
      </c>
      <c r="P64" s="279"/>
      <c r="Q64" s="340"/>
      <c r="S64" s="267"/>
      <c r="T64" s="445"/>
      <c r="U64" s="447"/>
      <c r="V64" s="444"/>
      <c r="W64" s="445"/>
      <c r="X64" s="426"/>
      <c r="Y64" s="448"/>
      <c r="Z64" s="432"/>
      <c r="AA64" s="426"/>
      <c r="AB64" s="444"/>
    </row>
    <row r="65" spans="1:36" x14ac:dyDescent="0.25">
      <c r="A65" s="273"/>
      <c r="B65" s="464" t="s">
        <v>9</v>
      </c>
      <c r="D65" s="425"/>
      <c r="E65" s="425"/>
      <c r="F65" s="432">
        <f>COUNTIFS(Tbl_ResidentData[Cohort],"Original",Tbl_ResidentData[Antipsychotic Progress],$B65,Tbl_ResidentData[Exclusion Flag],1)</f>
        <v>0</v>
      </c>
      <c r="G65" s="426">
        <f>COUNTIFS(Tbl_ResidentData[Cohort],"Original",Tbl_ResidentData[Antipsychotic Progress],$B65,Tbl_ResidentData[Exclusion Flag],0)</f>
        <v>0</v>
      </c>
      <c r="H65" s="428">
        <f>COUNTIFS(Tbl_ResidentData[Cohort],"Original",Tbl_ResidentData[Antipsychotic Progress],$B65)</f>
        <v>0</v>
      </c>
      <c r="I65" s="437">
        <f>COUNTIFS(Tbl_ResidentData[Cohort],"Additional",Tbl_ResidentData[Antipsychotic Progress],$B65,Tbl_ResidentData[Exclusion Flag],1)</f>
        <v>0</v>
      </c>
      <c r="J65" s="438">
        <f>COUNTIFS(Tbl_ResidentData[Cohort],"Additional",Tbl_ResidentData[Antipsychotic Progress],$B65,Tbl_ResidentData[Exclusion Flag],0)</f>
        <v>0</v>
      </c>
      <c r="K65" s="428">
        <f>COUNTIFS(Tbl_ResidentData[Cohort],"Additional",Tbl_ResidentData[Antipsychotic Progress],$B65)</f>
        <v>0</v>
      </c>
      <c r="L65" s="437">
        <f t="shared" si="8"/>
        <v>0</v>
      </c>
      <c r="M65" s="438">
        <f t="shared" si="8"/>
        <v>0</v>
      </c>
      <c r="N65" s="428">
        <f t="shared" si="8"/>
        <v>0</v>
      </c>
      <c r="P65" s="279"/>
      <c r="Q65" s="340"/>
      <c r="S65" s="267"/>
      <c r="T65" s="445"/>
      <c r="U65" s="446"/>
      <c r="V65" s="444"/>
      <c r="W65" s="445"/>
      <c r="X65" s="426"/>
      <c r="Y65" s="444"/>
      <c r="Z65" s="432"/>
      <c r="AA65" s="426"/>
      <c r="AB65" s="444"/>
    </row>
    <row r="66" spans="1:36" x14ac:dyDescent="0.25">
      <c r="A66" s="273"/>
      <c r="B66" s="464" t="s">
        <v>114</v>
      </c>
      <c r="D66" s="425"/>
      <c r="E66" s="425"/>
      <c r="F66" s="432">
        <f>COUNTIFS(Tbl_ResidentData[Cohort],"Original",Tbl_ResidentData[Antipsychotic Progress],$B66,Tbl_ResidentData[Exclusion Flag],1)</f>
        <v>0</v>
      </c>
      <c r="G66" s="426">
        <f>COUNTIFS(Tbl_ResidentData[Cohort],"Original",Tbl_ResidentData[Antipsychotic Progress],$B66,Tbl_ResidentData[Exclusion Flag],0)</f>
        <v>0</v>
      </c>
      <c r="H66" s="428">
        <f>COUNTIFS(Tbl_ResidentData[Cohort],"Original",Tbl_ResidentData[Antipsychotic Progress],$B66)</f>
        <v>0</v>
      </c>
      <c r="I66" s="437">
        <f>COUNTIFS(Tbl_ResidentData[Cohort],"Additional",Tbl_ResidentData[Antipsychotic Progress],$B66,Tbl_ResidentData[Exclusion Flag],1)</f>
        <v>0</v>
      </c>
      <c r="J66" s="438">
        <f>COUNTIFS(Tbl_ResidentData[Cohort],"Additional",Tbl_ResidentData[Antipsychotic Progress],$B66,Tbl_ResidentData[Exclusion Flag],0)</f>
        <v>0</v>
      </c>
      <c r="K66" s="428">
        <f>COUNTIFS(Tbl_ResidentData[Cohort],"Additional",Tbl_ResidentData[Antipsychotic Progress],$B66)</f>
        <v>0</v>
      </c>
      <c r="L66" s="437">
        <f t="shared" si="8"/>
        <v>0</v>
      </c>
      <c r="M66" s="438">
        <f t="shared" si="8"/>
        <v>0</v>
      </c>
      <c r="N66" s="428">
        <f t="shared" si="8"/>
        <v>0</v>
      </c>
      <c r="P66" s="279"/>
      <c r="Q66" s="340"/>
      <c r="S66" s="267"/>
      <c r="T66" s="445"/>
      <c r="U66" s="446"/>
      <c r="V66" s="444"/>
      <c r="W66" s="445"/>
      <c r="X66" s="426"/>
      <c r="Y66" s="444"/>
      <c r="Z66" s="432"/>
      <c r="AA66" s="426"/>
      <c r="AB66" s="444"/>
    </row>
    <row r="67" spans="1:36" x14ac:dyDescent="0.25">
      <c r="A67" s="273"/>
      <c r="B67" s="464" t="s">
        <v>268</v>
      </c>
      <c r="D67" s="425"/>
      <c r="E67" s="425"/>
      <c r="F67" s="432">
        <f>COUNTIFS(Tbl_ResidentData[Cohort],"Original",Tbl_ResidentData[Antipsychotic Progress],$B67,Tbl_ResidentData[Exclusion Flag],1)</f>
        <v>0</v>
      </c>
      <c r="G67" s="426">
        <f>COUNTIFS(Tbl_ResidentData[Cohort],"Original",Tbl_ResidentData[Antipsychotic Progress],$B67,Tbl_ResidentData[Exclusion Flag],0)</f>
        <v>0</v>
      </c>
      <c r="H67" s="428">
        <f>COUNTIFS(Tbl_ResidentData[Cohort],"Original",Tbl_ResidentData[Antipsychotic Progress],$B67)</f>
        <v>0</v>
      </c>
      <c r="I67" s="437">
        <f>COUNTIFS(Tbl_ResidentData[Cohort],"Additional",Tbl_ResidentData[Antipsychotic Progress],$B67,Tbl_ResidentData[Exclusion Flag],1)</f>
        <v>0</v>
      </c>
      <c r="J67" s="438">
        <f>COUNTIFS(Tbl_ResidentData[Cohort],"Additional",Tbl_ResidentData[Antipsychotic Progress],$B67,Tbl_ResidentData[Exclusion Flag],0)</f>
        <v>0</v>
      </c>
      <c r="K67" s="428">
        <f>COUNTIFS(Tbl_ResidentData[Cohort],"Additional",Tbl_ResidentData[Antipsychotic Progress],$B67)</f>
        <v>0</v>
      </c>
      <c r="L67" s="437">
        <f t="shared" si="8"/>
        <v>0</v>
      </c>
      <c r="M67" s="438">
        <f t="shared" si="8"/>
        <v>0</v>
      </c>
      <c r="N67" s="428">
        <f t="shared" si="8"/>
        <v>0</v>
      </c>
      <c r="P67" s="279"/>
      <c r="Q67" s="340"/>
      <c r="S67" s="267"/>
      <c r="T67" s="445"/>
      <c r="U67" s="446"/>
      <c r="V67" s="444"/>
      <c r="W67" s="445"/>
      <c r="X67" s="426"/>
      <c r="Y67" s="444"/>
      <c r="Z67" s="432"/>
      <c r="AA67" s="426"/>
      <c r="AB67" s="444"/>
    </row>
    <row r="68" spans="1:36" ht="15.75" thickBot="1" x14ac:dyDescent="0.3">
      <c r="A68" s="276"/>
      <c r="B68" s="461" t="s">
        <v>192</v>
      </c>
      <c r="C68" s="414"/>
      <c r="D68" s="282"/>
      <c r="E68" s="282"/>
      <c r="F68" s="433">
        <f>COUNTIFS(Tbl_ResidentData[Cohort],"Original",Tbl_ResidentData[Antipsychotic Progress],$B68,Tbl_ResidentData[Exclusion Flag],1)</f>
        <v>0</v>
      </c>
      <c r="G68" s="434">
        <f>COUNTIFS(Tbl_ResidentData[Cohort],"Original",Tbl_ResidentData[Antipsychotic Progress],$B68,Tbl_ResidentData[Exclusion Flag],0)</f>
        <v>0</v>
      </c>
      <c r="H68" s="429">
        <f>COUNTIFS(Tbl_ResidentData[Cohort],"Original",Tbl_ResidentData[Antipsychotic Progress],"")</f>
        <v>0</v>
      </c>
      <c r="I68" s="439">
        <f>COUNTIFS(Tbl_ResidentData[Cohort],"Additional",Tbl_ResidentData[Antipsychotic Progress],$B68,Tbl_ResidentData[Exclusion Flag],1)</f>
        <v>0</v>
      </c>
      <c r="J68" s="440">
        <f>COUNTIFS(Tbl_ResidentData[Cohort],"Additional",Tbl_ResidentData[Antipsychotic Progress],$B68,Tbl_ResidentData[Exclusion Flag],0)</f>
        <v>0</v>
      </c>
      <c r="K68" s="429">
        <f>COUNTIFS(Tbl_ResidentData[Cohort],"Additional",Tbl_ResidentData[Antipsychotic Progress],"")</f>
        <v>0</v>
      </c>
      <c r="L68" s="439">
        <f t="shared" si="8"/>
        <v>0</v>
      </c>
      <c r="M68" s="440">
        <f t="shared" si="8"/>
        <v>0</v>
      </c>
      <c r="N68" s="429">
        <f t="shared" si="8"/>
        <v>0</v>
      </c>
      <c r="P68" s="279"/>
      <c r="Q68" s="340"/>
      <c r="S68" s="267"/>
      <c r="T68" s="449"/>
      <c r="U68" s="450"/>
      <c r="V68" s="451"/>
      <c r="W68" s="449"/>
      <c r="X68" s="434"/>
      <c r="Y68" s="451"/>
      <c r="Z68" s="433"/>
      <c r="AA68" s="434"/>
      <c r="AB68" s="451"/>
    </row>
    <row r="69" spans="1:36" ht="15.75" thickBot="1" x14ac:dyDescent="0.3">
      <c r="A69" s="336"/>
      <c r="B69" s="465" t="s">
        <v>255</v>
      </c>
      <c r="C69" s="338"/>
      <c r="D69" s="452"/>
      <c r="E69" s="452"/>
      <c r="F69" s="453">
        <f t="shared" ref="F69:N69" si="10">SUM(F62:F68)</f>
        <v>0</v>
      </c>
      <c r="G69" s="454">
        <f t="shared" si="10"/>
        <v>0</v>
      </c>
      <c r="H69" s="339">
        <f t="shared" si="10"/>
        <v>0</v>
      </c>
      <c r="I69" s="453">
        <f t="shared" si="10"/>
        <v>0</v>
      </c>
      <c r="J69" s="454">
        <f t="shared" si="10"/>
        <v>0</v>
      </c>
      <c r="K69" s="339">
        <f t="shared" si="10"/>
        <v>0</v>
      </c>
      <c r="L69" s="453">
        <f t="shared" si="10"/>
        <v>0</v>
      </c>
      <c r="M69" s="454">
        <f t="shared" si="10"/>
        <v>0</v>
      </c>
      <c r="N69" s="339">
        <f t="shared" si="10"/>
        <v>0</v>
      </c>
      <c r="P69" s="279"/>
      <c r="Q69" s="342" t="s">
        <v>255</v>
      </c>
      <c r="R69" s="285"/>
      <c r="S69" s="338"/>
      <c r="T69" s="336">
        <f t="shared" ref="T69:AB69" si="11">SUM(T62:T63)</f>
        <v>0</v>
      </c>
      <c r="U69" s="338">
        <f t="shared" si="11"/>
        <v>0</v>
      </c>
      <c r="V69" s="337">
        <f t="shared" si="11"/>
        <v>0</v>
      </c>
      <c r="W69" s="336">
        <f t="shared" si="11"/>
        <v>0</v>
      </c>
      <c r="X69" s="338">
        <f t="shared" si="11"/>
        <v>0</v>
      </c>
      <c r="Y69" s="337">
        <f t="shared" si="11"/>
        <v>0</v>
      </c>
      <c r="Z69" s="336">
        <f t="shared" si="11"/>
        <v>0</v>
      </c>
      <c r="AA69" s="338">
        <f t="shared" si="11"/>
        <v>0</v>
      </c>
      <c r="AB69" s="337">
        <f t="shared" si="11"/>
        <v>0</v>
      </c>
    </row>
    <row r="70" spans="1:36" s="264" customFormat="1" x14ac:dyDescent="0.25">
      <c r="B70" s="419"/>
      <c r="C70" s="421"/>
      <c r="D70" s="421"/>
      <c r="E70" s="421"/>
      <c r="F70" s="421"/>
      <c r="G70" s="421"/>
      <c r="H70" s="421"/>
      <c r="I70" s="421"/>
      <c r="J70" s="421"/>
      <c r="K70" s="421"/>
      <c r="V70" s="265"/>
      <c r="W70" s="265"/>
      <c r="X70" s="265"/>
      <c r="Y70" s="265"/>
      <c r="Z70" s="265"/>
      <c r="AA70" s="265"/>
      <c r="AB70" s="265"/>
      <c r="AC70" s="265"/>
      <c r="AD70" s="265"/>
      <c r="AE70" s="334"/>
      <c r="AF70" s="265"/>
      <c r="AG70" s="265"/>
      <c r="AH70" s="265"/>
      <c r="AI70" s="420"/>
      <c r="AJ70" s="266"/>
    </row>
    <row r="71" spans="1:36" s="511" customFormat="1" ht="17.25" x14ac:dyDescent="0.3">
      <c r="A71" s="509" t="s">
        <v>348</v>
      </c>
      <c r="B71" s="526"/>
      <c r="C71" s="526"/>
      <c r="D71" s="526"/>
      <c r="E71" s="526"/>
      <c r="F71" s="526"/>
      <c r="G71" s="526"/>
      <c r="H71" s="526"/>
      <c r="I71" s="526"/>
      <c r="J71" s="526"/>
      <c r="K71" s="526"/>
      <c r="AJ71" s="513"/>
    </row>
    <row r="72" spans="1:36" s="484" customFormat="1" x14ac:dyDescent="0.25">
      <c r="A72" s="455" t="s">
        <v>336</v>
      </c>
      <c r="B72" s="456"/>
      <c r="C72" s="456"/>
      <c r="E72" s="456"/>
      <c r="G72" s="456"/>
      <c r="I72" s="456"/>
      <c r="J72" s="456"/>
      <c r="K72" s="456"/>
      <c r="M72" s="455" t="s">
        <v>337</v>
      </c>
      <c r="N72" s="456"/>
      <c r="O72" s="456"/>
      <c r="P72" s="485"/>
      <c r="Q72" s="456"/>
      <c r="S72" s="456"/>
      <c r="U72" s="457"/>
      <c r="V72" s="456"/>
      <c r="W72" s="456"/>
      <c r="Y72" s="455" t="s">
        <v>24</v>
      </c>
      <c r="Z72" s="485"/>
      <c r="AA72" s="485"/>
      <c r="AH72" s="456"/>
      <c r="AI72" s="456"/>
    </row>
    <row r="73" spans="1:36" s="484" customFormat="1" x14ac:dyDescent="0.25">
      <c r="A73" s="455"/>
      <c r="B73" s="456"/>
      <c r="C73" s="456"/>
      <c r="D73" s="455" t="s">
        <v>330</v>
      </c>
      <c r="E73" s="456"/>
      <c r="G73" s="456"/>
      <c r="H73" s="455" t="s">
        <v>331</v>
      </c>
      <c r="I73" s="456"/>
      <c r="J73" s="456"/>
      <c r="M73" s="456"/>
      <c r="N73" s="456"/>
      <c r="O73" s="457"/>
      <c r="P73" s="455" t="s">
        <v>330</v>
      </c>
      <c r="R73" s="456"/>
      <c r="S73" s="456"/>
      <c r="T73" s="455" t="s">
        <v>331</v>
      </c>
      <c r="V73" s="485"/>
      <c r="W73" s="485"/>
      <c r="X73" s="485"/>
      <c r="AB73" s="455" t="s">
        <v>330</v>
      </c>
      <c r="AD73" s="456"/>
      <c r="AE73" s="456"/>
      <c r="AF73" s="455" t="s">
        <v>331</v>
      </c>
    </row>
    <row r="74" spans="1:36" s="470" customFormat="1" x14ac:dyDescent="0.25">
      <c r="A74" s="486" t="s">
        <v>335</v>
      </c>
      <c r="B74" s="487"/>
      <c r="C74" s="488"/>
      <c r="D74" s="489" t="s">
        <v>329</v>
      </c>
      <c r="E74" s="490"/>
      <c r="F74" s="490"/>
      <c r="G74" s="491"/>
      <c r="H74" s="489" t="s">
        <v>329</v>
      </c>
      <c r="I74" s="490"/>
      <c r="J74" s="490"/>
      <c r="K74" s="491"/>
      <c r="L74" s="484"/>
      <c r="M74" s="486" t="s">
        <v>335</v>
      </c>
      <c r="N74" s="487"/>
      <c r="O74" s="488"/>
      <c r="P74" s="489" t="s">
        <v>329</v>
      </c>
      <c r="Q74" s="490"/>
      <c r="R74" s="490"/>
      <c r="S74" s="491"/>
      <c r="T74" s="489" t="s">
        <v>329</v>
      </c>
      <c r="U74" s="490"/>
      <c r="V74" s="490"/>
      <c r="W74" s="491"/>
      <c r="X74" s="484"/>
      <c r="Y74" s="486" t="s">
        <v>335</v>
      </c>
      <c r="Z74" s="487"/>
      <c r="AA74" s="488"/>
      <c r="AB74" s="489" t="s">
        <v>329</v>
      </c>
      <c r="AC74" s="490"/>
      <c r="AD74" s="490"/>
      <c r="AE74" s="491"/>
      <c r="AF74" s="489" t="s">
        <v>329</v>
      </c>
      <c r="AG74" s="490"/>
      <c r="AH74" s="490"/>
      <c r="AI74" s="491"/>
    </row>
    <row r="75" spans="1:36" s="467" customFormat="1" x14ac:dyDescent="0.25">
      <c r="A75" s="483" t="s">
        <v>333</v>
      </c>
      <c r="B75" s="457"/>
      <c r="C75" s="456">
        <f>U69</f>
        <v>0</v>
      </c>
      <c r="D75" s="455" t="s">
        <v>333</v>
      </c>
      <c r="E75" s="457"/>
      <c r="F75" s="456">
        <f>IFERROR(INDEX($L$22:$AI$22,MATCH(TRUE,INDEX($L$22:$AI$22&gt;0,0),)),0)</f>
        <v>0</v>
      </c>
      <c r="G75" s="314">
        <f>IFERROR(F75/$C$75,0)</f>
        <v>0</v>
      </c>
      <c r="H75" s="455" t="s">
        <v>333</v>
      </c>
      <c r="I75" s="457"/>
      <c r="J75" s="456">
        <f>F75-J79-J83</f>
        <v>0</v>
      </c>
      <c r="K75" s="314">
        <f>IFERROR(J75/$C$75,0)</f>
        <v>0</v>
      </c>
      <c r="L75" s="457"/>
      <c r="M75" s="483" t="s">
        <v>333</v>
      </c>
      <c r="N75" s="457"/>
      <c r="O75" s="456">
        <f>X69</f>
        <v>0</v>
      </c>
      <c r="P75" s="455" t="s">
        <v>333</v>
      </c>
      <c r="Q75" s="457"/>
      <c r="R75" s="456">
        <f>SUM(J62:J67)</f>
        <v>0</v>
      </c>
      <c r="S75" s="314">
        <f>IFERROR(R75/$O$75,0)</f>
        <v>0</v>
      </c>
      <c r="T75" s="455" t="s">
        <v>333</v>
      </c>
      <c r="U75" s="457"/>
      <c r="V75" s="456">
        <f>R75-V79-V83</f>
        <v>0</v>
      </c>
      <c r="W75" s="314">
        <f>IFERROR(V75/$O$75,0)</f>
        <v>0</v>
      </c>
      <c r="X75" s="457"/>
      <c r="Y75" s="483" t="s">
        <v>333</v>
      </c>
      <c r="Z75" s="457"/>
      <c r="AA75" s="456">
        <f>C75+O75</f>
        <v>0</v>
      </c>
      <c r="AB75" s="455" t="s">
        <v>333</v>
      </c>
      <c r="AC75" s="457"/>
      <c r="AD75" s="456">
        <f>F75+R75</f>
        <v>0</v>
      </c>
      <c r="AE75" s="314">
        <f>IFERROR(AD75/$AA$75,0)</f>
        <v>0</v>
      </c>
      <c r="AF75" s="455" t="s">
        <v>333</v>
      </c>
      <c r="AG75" s="457"/>
      <c r="AH75" s="456">
        <f>J75+V75</f>
        <v>0</v>
      </c>
      <c r="AI75" s="314">
        <f>IFERROR(AH75/($C$75+$O$75),0)</f>
        <v>0</v>
      </c>
    </row>
    <row r="76" spans="1:36" s="467" customFormat="1" x14ac:dyDescent="0.25">
      <c r="A76" s="483" t="s">
        <v>255</v>
      </c>
      <c r="B76" s="457"/>
      <c r="C76" s="456">
        <f>V69</f>
        <v>0</v>
      </c>
      <c r="D76" s="455" t="s">
        <v>255</v>
      </c>
      <c r="E76" s="457"/>
      <c r="F76" s="456">
        <f ca="1">IFERROR(INDEX($L$16:$AI$16,MATCH(TRUE,INDEX($L$16:$AI$16&gt;0,0),)),0)</f>
        <v>0</v>
      </c>
      <c r="G76" s="314">
        <f ca="1">IFERROR(F76/$C$76,0)</f>
        <v>0</v>
      </c>
      <c r="H76" s="455" t="s">
        <v>255</v>
      </c>
      <c r="I76" s="457"/>
      <c r="J76" s="456">
        <f ca="1">F76-J80-J84</f>
        <v>0</v>
      </c>
      <c r="K76" s="314">
        <f ca="1">IFERROR(J76/$C$76,0)</f>
        <v>0</v>
      </c>
      <c r="L76" s="457"/>
      <c r="M76" s="483" t="s">
        <v>255</v>
      </c>
      <c r="N76" s="457"/>
      <c r="O76" s="456">
        <f>Y69</f>
        <v>0</v>
      </c>
      <c r="P76" s="455" t="s">
        <v>255</v>
      </c>
      <c r="Q76" s="457"/>
      <c r="R76" s="456">
        <f>SUM(K62:K67)</f>
        <v>0</v>
      </c>
      <c r="S76" s="314">
        <f>IFERROR(R76/$O$76,0)</f>
        <v>0</v>
      </c>
      <c r="T76" s="455" t="s">
        <v>255</v>
      </c>
      <c r="U76" s="457"/>
      <c r="V76" s="456">
        <f>R76-V80-V84</f>
        <v>0</v>
      </c>
      <c r="W76" s="314">
        <f>IFERROR(V76/$O$76,0)</f>
        <v>0</v>
      </c>
      <c r="X76" s="457"/>
      <c r="Y76" s="483" t="s">
        <v>255</v>
      </c>
      <c r="Z76" s="457"/>
      <c r="AA76" s="456">
        <f>C76+O76</f>
        <v>0</v>
      </c>
      <c r="AB76" s="455" t="s">
        <v>255</v>
      </c>
      <c r="AC76" s="457"/>
      <c r="AD76" s="456">
        <f ca="1">F76+R76</f>
        <v>0</v>
      </c>
      <c r="AE76" s="314">
        <f ca="1">IFERROR(AD76/$AA$76,0)</f>
        <v>0</v>
      </c>
      <c r="AF76" s="455" t="s">
        <v>255</v>
      </c>
      <c r="AG76" s="457"/>
      <c r="AH76" s="456">
        <f ca="1">J76+V76</f>
        <v>0</v>
      </c>
      <c r="AI76" s="314">
        <f ca="1">IFERROR(AH76/($C$76+$O$76),0)</f>
        <v>0</v>
      </c>
    </row>
    <row r="77" spans="1:36" s="467" customFormat="1" x14ac:dyDescent="0.25">
      <c r="A77" s="483"/>
      <c r="B77" s="457"/>
      <c r="C77" s="456"/>
      <c r="D77" s="455"/>
      <c r="E77" s="457"/>
      <c r="F77" s="456"/>
      <c r="G77" s="314"/>
      <c r="H77" s="455"/>
      <c r="I77" s="457"/>
      <c r="J77" s="456"/>
      <c r="K77" s="314"/>
      <c r="L77" s="457"/>
      <c r="M77" s="483"/>
      <c r="N77" s="457"/>
      <c r="O77" s="456"/>
      <c r="P77" s="455"/>
      <c r="Q77" s="457"/>
      <c r="R77" s="456"/>
      <c r="S77" s="314"/>
      <c r="T77" s="455"/>
      <c r="U77" s="457"/>
      <c r="V77" s="456"/>
      <c r="W77" s="314"/>
      <c r="X77" s="457"/>
      <c r="Y77" s="483"/>
      <c r="Z77" s="457"/>
      <c r="AA77" s="456"/>
      <c r="AB77" s="455"/>
      <c r="AC77" s="457"/>
      <c r="AD77" s="456"/>
      <c r="AE77" s="314"/>
      <c r="AF77" s="455"/>
      <c r="AG77" s="457"/>
      <c r="AH77" s="456"/>
      <c r="AI77" s="314"/>
    </row>
    <row r="78" spans="1:36" s="467" customFormat="1" x14ac:dyDescent="0.25">
      <c r="B78" s="457"/>
      <c r="C78" s="456"/>
      <c r="D78" s="492" t="s">
        <v>328</v>
      </c>
      <c r="E78" s="503"/>
      <c r="F78" s="493"/>
      <c r="G78" s="504"/>
      <c r="H78" s="494" t="s">
        <v>17</v>
      </c>
      <c r="I78" s="505"/>
      <c r="J78" s="495"/>
      <c r="K78" s="506"/>
      <c r="L78" s="457"/>
      <c r="N78" s="457"/>
      <c r="O78" s="456"/>
      <c r="P78" s="492" t="s">
        <v>328</v>
      </c>
      <c r="Q78" s="503"/>
      <c r="R78" s="493"/>
      <c r="S78" s="504"/>
      <c r="T78" s="494" t="s">
        <v>17</v>
      </c>
      <c r="U78" s="505"/>
      <c r="V78" s="495"/>
      <c r="W78" s="506"/>
      <c r="X78" s="457"/>
      <c r="Z78" s="457"/>
      <c r="AA78" s="456"/>
      <c r="AB78" s="492" t="s">
        <v>328</v>
      </c>
      <c r="AC78" s="503"/>
      <c r="AD78" s="493"/>
      <c r="AE78" s="504"/>
      <c r="AF78" s="494" t="s">
        <v>17</v>
      </c>
      <c r="AG78" s="505"/>
      <c r="AH78" s="495"/>
      <c r="AI78" s="506"/>
    </row>
    <row r="79" spans="1:36" s="467" customFormat="1" x14ac:dyDescent="0.25">
      <c r="A79" s="483"/>
      <c r="B79" s="456"/>
      <c r="C79" s="456"/>
      <c r="D79" s="455" t="s">
        <v>333</v>
      </c>
      <c r="E79" s="457"/>
      <c r="F79" s="456">
        <f>C75-F75</f>
        <v>0</v>
      </c>
      <c r="G79" s="314">
        <f>IFERROR(F79/$C$75,0)</f>
        <v>0</v>
      </c>
      <c r="H79" s="455" t="s">
        <v>333</v>
      </c>
      <c r="I79" s="457"/>
      <c r="J79" s="456">
        <f>G63</f>
        <v>0</v>
      </c>
      <c r="K79" s="314">
        <f>IFERROR(J79/$C$75,0)</f>
        <v>0</v>
      </c>
      <c r="L79" s="457"/>
      <c r="M79" s="483"/>
      <c r="N79" s="456"/>
      <c r="O79" s="456"/>
      <c r="P79" s="455" t="s">
        <v>333</v>
      </c>
      <c r="Q79" s="457"/>
      <c r="R79" s="456">
        <f>J69-R75</f>
        <v>0</v>
      </c>
      <c r="S79" s="314">
        <f>IFERROR(R79/$O$75,0)</f>
        <v>0</v>
      </c>
      <c r="T79" s="455" t="s">
        <v>333</v>
      </c>
      <c r="U79" s="457"/>
      <c r="V79" s="456">
        <f>J63</f>
        <v>0</v>
      </c>
      <c r="W79" s="314">
        <f>IFERROR(V79/$O$75,0)</f>
        <v>0</v>
      </c>
      <c r="X79" s="457"/>
      <c r="Y79" s="483"/>
      <c r="Z79" s="456"/>
      <c r="AA79" s="456"/>
      <c r="AB79" s="455" t="s">
        <v>333</v>
      </c>
      <c r="AC79" s="457"/>
      <c r="AD79" s="456">
        <f>AA75-AD75</f>
        <v>0</v>
      </c>
      <c r="AE79" s="314">
        <f>IFERROR(AD79/$AA$75,0)</f>
        <v>0</v>
      </c>
      <c r="AF79" s="455" t="s">
        <v>333</v>
      </c>
      <c r="AG79" s="457"/>
      <c r="AH79" s="456">
        <f>M63</f>
        <v>0</v>
      </c>
      <c r="AI79" s="314">
        <f>IFERROR(AH79/($C$75+$O$75),0)</f>
        <v>0</v>
      </c>
    </row>
    <row r="80" spans="1:36" s="467" customFormat="1" x14ac:dyDescent="0.25">
      <c r="A80" s="483"/>
      <c r="B80" s="456"/>
      <c r="C80" s="456"/>
      <c r="D80" s="455" t="s">
        <v>255</v>
      </c>
      <c r="E80" s="457"/>
      <c r="F80" s="456">
        <f ca="1">C76-F76</f>
        <v>0</v>
      </c>
      <c r="G80" s="314">
        <f ca="1">IFERROR(F80/$C$76,0)</f>
        <v>0</v>
      </c>
      <c r="H80" s="455" t="s">
        <v>255</v>
      </c>
      <c r="I80" s="457"/>
      <c r="J80" s="456">
        <f>H63</f>
        <v>0</v>
      </c>
      <c r="K80" s="314">
        <f>IFERROR(J80/$C$76,0)</f>
        <v>0</v>
      </c>
      <c r="L80" s="457"/>
      <c r="M80" s="483"/>
      <c r="N80" s="456"/>
      <c r="O80" s="456"/>
      <c r="P80" s="455" t="s">
        <v>255</v>
      </c>
      <c r="Q80" s="457"/>
      <c r="R80" s="456">
        <f>K69-R76</f>
        <v>0</v>
      </c>
      <c r="S80" s="314">
        <f>IFERROR(R80/$O$76,0)</f>
        <v>0</v>
      </c>
      <c r="T80" s="455" t="s">
        <v>255</v>
      </c>
      <c r="U80" s="457"/>
      <c r="V80" s="456">
        <f>K63</f>
        <v>0</v>
      </c>
      <c r="W80" s="314">
        <f>IFERROR(V80/$O$76,0)</f>
        <v>0</v>
      </c>
      <c r="X80" s="457"/>
      <c r="Y80" s="483"/>
      <c r="Z80" s="456"/>
      <c r="AA80" s="456"/>
      <c r="AB80" s="455" t="s">
        <v>255</v>
      </c>
      <c r="AC80" s="457"/>
      <c r="AD80" s="456">
        <f ca="1">AA76-AD76</f>
        <v>0</v>
      </c>
      <c r="AE80" s="314">
        <f ca="1">IFERROR(AD80/$AA$76,0)</f>
        <v>0</v>
      </c>
      <c r="AF80" s="455" t="s">
        <v>255</v>
      </c>
      <c r="AG80" s="457"/>
      <c r="AH80" s="456">
        <f>N63</f>
        <v>0</v>
      </c>
      <c r="AI80" s="314">
        <f>IFERROR(AH80/($C$76+$O$76),0)</f>
        <v>0</v>
      </c>
    </row>
    <row r="81" spans="1:35" s="467" customFormat="1" x14ac:dyDescent="0.25">
      <c r="A81" s="483"/>
      <c r="B81" s="456"/>
      <c r="C81" s="456"/>
      <c r="D81" s="455"/>
      <c r="E81" s="457"/>
      <c r="F81" s="456"/>
      <c r="G81" s="314"/>
      <c r="H81" s="455"/>
      <c r="I81" s="457"/>
      <c r="J81" s="456"/>
      <c r="K81" s="314"/>
      <c r="L81" s="457"/>
      <c r="M81" s="483"/>
      <c r="N81" s="456"/>
      <c r="O81" s="456"/>
      <c r="P81" s="455"/>
      <c r="Q81" s="457"/>
      <c r="R81" s="456"/>
      <c r="S81" s="314"/>
      <c r="T81" s="455"/>
      <c r="U81" s="457"/>
      <c r="V81" s="456"/>
      <c r="W81" s="314"/>
      <c r="X81" s="457"/>
      <c r="Y81" s="483"/>
      <c r="Z81" s="456"/>
      <c r="AA81" s="456"/>
      <c r="AB81" s="455"/>
      <c r="AC81" s="457"/>
      <c r="AD81" s="456"/>
      <c r="AE81" s="314"/>
      <c r="AF81" s="455"/>
      <c r="AG81" s="457"/>
      <c r="AH81" s="456"/>
      <c r="AI81" s="314"/>
    </row>
    <row r="82" spans="1:35" s="467" customFormat="1" x14ac:dyDescent="0.25">
      <c r="A82" s="482"/>
      <c r="B82" s="455"/>
      <c r="C82" s="456"/>
      <c r="D82" s="457"/>
      <c r="E82" s="456"/>
      <c r="F82" s="455"/>
      <c r="G82" s="456"/>
      <c r="H82" s="496" t="s">
        <v>10</v>
      </c>
      <c r="I82" s="507"/>
      <c r="J82" s="497"/>
      <c r="K82" s="508"/>
      <c r="L82" s="457"/>
      <c r="M82" s="482"/>
      <c r="N82" s="455"/>
      <c r="O82" s="456"/>
      <c r="P82" s="457"/>
      <c r="Q82" s="456"/>
      <c r="R82" s="455"/>
      <c r="S82" s="456"/>
      <c r="T82" s="496" t="s">
        <v>10</v>
      </c>
      <c r="U82" s="507"/>
      <c r="V82" s="497"/>
      <c r="W82" s="508"/>
      <c r="X82" s="457"/>
      <c r="Y82" s="482"/>
      <c r="Z82" s="455"/>
      <c r="AA82" s="456"/>
      <c r="AB82" s="457"/>
      <c r="AC82" s="456"/>
      <c r="AD82" s="455"/>
      <c r="AE82" s="456"/>
      <c r="AF82" s="496" t="s">
        <v>10</v>
      </c>
      <c r="AG82" s="507"/>
      <c r="AH82" s="497"/>
      <c r="AI82" s="508"/>
    </row>
    <row r="83" spans="1:35" s="467" customFormat="1" x14ac:dyDescent="0.25">
      <c r="A83" s="483"/>
      <c r="B83" s="456"/>
      <c r="C83" s="456"/>
      <c r="D83" s="457"/>
      <c r="E83" s="455"/>
      <c r="F83" s="456"/>
      <c r="G83" s="456"/>
      <c r="H83" s="455" t="s">
        <v>333</v>
      </c>
      <c r="I83" s="457"/>
      <c r="J83" s="456">
        <f>G64</f>
        <v>0</v>
      </c>
      <c r="K83" s="314">
        <f>IFERROR(J83/$C$75,0)</f>
        <v>0</v>
      </c>
      <c r="L83" s="457"/>
      <c r="M83" s="483"/>
      <c r="N83" s="456"/>
      <c r="O83" s="456"/>
      <c r="P83" s="457"/>
      <c r="Q83" s="455"/>
      <c r="R83" s="456"/>
      <c r="S83" s="456"/>
      <c r="T83" s="455" t="s">
        <v>333</v>
      </c>
      <c r="U83" s="457"/>
      <c r="V83" s="456">
        <f>J64</f>
        <v>0</v>
      </c>
      <c r="W83" s="314">
        <f>IFERROR(V83/$O$75,0)</f>
        <v>0</v>
      </c>
      <c r="X83" s="457"/>
      <c r="Y83" s="483"/>
      <c r="Z83" s="456"/>
      <c r="AA83" s="456"/>
      <c r="AB83" s="457"/>
      <c r="AC83" s="455"/>
      <c r="AD83" s="456"/>
      <c r="AE83" s="456"/>
      <c r="AF83" s="455" t="s">
        <v>333</v>
      </c>
      <c r="AG83" s="457"/>
      <c r="AH83" s="456">
        <f>M64</f>
        <v>0</v>
      </c>
      <c r="AI83" s="314">
        <f>IFERROR(AH83/($C$75+$O$75),0)</f>
        <v>0</v>
      </c>
    </row>
    <row r="84" spans="1:35" s="467" customFormat="1" x14ac:dyDescent="0.25">
      <c r="A84" s="483"/>
      <c r="B84" s="456"/>
      <c r="C84" s="456"/>
      <c r="D84" s="457"/>
      <c r="E84" s="455"/>
      <c r="F84" s="456"/>
      <c r="G84" s="456"/>
      <c r="H84" s="455" t="s">
        <v>255</v>
      </c>
      <c r="I84" s="457"/>
      <c r="J84" s="456">
        <f>H64</f>
        <v>0</v>
      </c>
      <c r="K84" s="314">
        <f>IFERROR(J84/$C$76,0)</f>
        <v>0</v>
      </c>
      <c r="L84" s="457"/>
      <c r="M84" s="483"/>
      <c r="N84" s="456"/>
      <c r="O84" s="456"/>
      <c r="P84" s="457"/>
      <c r="Q84" s="455"/>
      <c r="R84" s="456"/>
      <c r="S84" s="456"/>
      <c r="T84" s="455" t="s">
        <v>255</v>
      </c>
      <c r="U84" s="457"/>
      <c r="V84" s="456">
        <f>K64</f>
        <v>0</v>
      </c>
      <c r="W84" s="314">
        <f>IFERROR(V84/$O$76,0)</f>
        <v>0</v>
      </c>
      <c r="X84" s="457"/>
      <c r="Y84" s="483"/>
      <c r="Z84" s="456"/>
      <c r="AA84" s="456"/>
      <c r="AB84" s="457"/>
      <c r="AC84" s="455"/>
      <c r="AD84" s="456"/>
      <c r="AE84" s="456"/>
      <c r="AF84" s="455" t="s">
        <v>255</v>
      </c>
      <c r="AG84" s="457"/>
      <c r="AH84" s="456">
        <f>N64</f>
        <v>0</v>
      </c>
      <c r="AI84" s="314">
        <f>IFERROR(AH84/($C$76+$O$76),0)</f>
        <v>0</v>
      </c>
    </row>
    <row r="85" spans="1:35" x14ac:dyDescent="0.25">
      <c r="B85" s="279"/>
      <c r="C85" s="279"/>
      <c r="D85" s="279"/>
      <c r="E85" s="279"/>
      <c r="F85" s="279"/>
      <c r="G85" s="279"/>
      <c r="H85" s="279"/>
      <c r="I85" s="279"/>
      <c r="J85" s="279"/>
      <c r="K85" s="279"/>
      <c r="L85" s="279"/>
      <c r="N85" s="310"/>
      <c r="O85" s="310"/>
      <c r="P85" s="310"/>
      <c r="Q85" s="310"/>
      <c r="U85" s="279"/>
      <c r="V85" s="279"/>
      <c r="X85" s="279"/>
      <c r="Z85" s="279"/>
      <c r="AB85" s="279"/>
      <c r="AC85" s="279"/>
      <c r="AD85" s="418"/>
      <c r="AE85" s="279"/>
      <c r="AF85" s="279"/>
      <c r="AH85" s="279"/>
      <c r="AI85" s="279"/>
    </row>
    <row r="86" spans="1:35" s="511" customFormat="1" ht="17.25" x14ac:dyDescent="0.3">
      <c r="A86" s="509" t="s">
        <v>341</v>
      </c>
      <c r="B86" s="512"/>
      <c r="C86" s="512"/>
      <c r="D86" s="512"/>
      <c r="E86" s="512"/>
      <c r="F86" s="512"/>
      <c r="G86" s="512"/>
      <c r="H86" s="512"/>
      <c r="I86" s="512"/>
      <c r="J86" s="512"/>
      <c r="K86" s="512"/>
      <c r="L86" s="512"/>
      <c r="M86" s="512"/>
      <c r="N86" s="526"/>
      <c r="O86" s="526"/>
      <c r="P86" s="526"/>
      <c r="Q86" s="526"/>
      <c r="R86" s="512"/>
      <c r="S86" s="512"/>
      <c r="T86" s="512"/>
      <c r="U86" s="512"/>
      <c r="V86" s="512"/>
      <c r="W86" s="512"/>
      <c r="X86" s="512"/>
      <c r="Y86" s="512"/>
      <c r="Z86" s="512"/>
      <c r="AA86" s="512"/>
      <c r="AB86" s="512"/>
      <c r="AC86" s="512"/>
      <c r="AD86" s="537"/>
      <c r="AE86" s="512"/>
      <c r="AF86" s="512"/>
      <c r="AH86" s="512"/>
      <c r="AI86" s="512"/>
    </row>
    <row r="87" spans="1:35" s="484" customFormat="1" x14ac:dyDescent="0.25">
      <c r="A87" s="499" t="s">
        <v>336</v>
      </c>
      <c r="E87" s="499" t="s">
        <v>338</v>
      </c>
      <c r="I87" s="499" t="s">
        <v>331</v>
      </c>
      <c r="M87" s="499" t="s">
        <v>337</v>
      </c>
      <c r="N87" s="485"/>
      <c r="O87" s="485"/>
      <c r="P87" s="485"/>
      <c r="Q87" s="535" t="s">
        <v>330</v>
      </c>
      <c r="T87" s="499" t="s">
        <v>346</v>
      </c>
      <c r="Y87" s="499" t="s">
        <v>24</v>
      </c>
      <c r="AB87" s="499" t="s">
        <v>345</v>
      </c>
      <c r="AD87" s="498"/>
      <c r="AF87" s="499" t="s">
        <v>344</v>
      </c>
    </row>
    <row r="88" spans="1:35" s="501" customFormat="1" x14ac:dyDescent="0.25">
      <c r="A88" s="500"/>
      <c r="E88" s="500"/>
      <c r="I88" s="500"/>
      <c r="M88" s="500"/>
      <c r="Q88" s="500"/>
      <c r="U88" s="500"/>
      <c r="Y88" s="500"/>
      <c r="AD88" s="500"/>
      <c r="AG88" s="500"/>
    </row>
    <row r="89" spans="1:35" x14ac:dyDescent="0.25">
      <c r="B89" s="279"/>
      <c r="C89" s="279"/>
      <c r="D89" s="279"/>
      <c r="E89" s="279"/>
      <c r="F89" s="279"/>
      <c r="G89" s="279"/>
      <c r="H89" s="279"/>
      <c r="I89" s="279"/>
      <c r="J89" s="279"/>
      <c r="K89" s="279"/>
      <c r="L89" s="279"/>
      <c r="N89" s="310"/>
      <c r="O89" s="310"/>
      <c r="P89" s="310"/>
      <c r="Q89" s="310"/>
      <c r="U89" s="279"/>
      <c r="V89" s="279"/>
      <c r="X89" s="279"/>
      <c r="Z89" s="279"/>
      <c r="AB89" s="279"/>
      <c r="AC89" s="279"/>
      <c r="AD89" s="418"/>
      <c r="AE89" s="279"/>
      <c r="AF89" s="279"/>
      <c r="AH89" s="279"/>
      <c r="AI89" s="279"/>
    </row>
    <row r="90" spans="1:35" x14ac:dyDescent="0.25">
      <c r="B90" s="279"/>
      <c r="C90" s="279"/>
      <c r="D90" s="279"/>
      <c r="E90" s="279"/>
      <c r="F90" s="279"/>
      <c r="G90" s="279"/>
      <c r="H90" s="279"/>
      <c r="I90" s="279"/>
      <c r="J90" s="279"/>
      <c r="K90" s="279"/>
      <c r="L90" s="279"/>
      <c r="N90" s="310"/>
      <c r="O90" s="310"/>
      <c r="P90" s="310"/>
      <c r="Q90" s="310"/>
      <c r="U90" s="279"/>
      <c r="V90" s="279"/>
      <c r="X90" s="279"/>
      <c r="Z90" s="279"/>
      <c r="AB90" s="279"/>
      <c r="AC90" s="279"/>
      <c r="AD90" s="418"/>
      <c r="AE90" s="279"/>
      <c r="AF90" s="279"/>
      <c r="AH90" s="279"/>
      <c r="AI90" s="279"/>
    </row>
    <row r="91" spans="1:35" x14ac:dyDescent="0.25">
      <c r="B91" s="279"/>
      <c r="C91" s="279"/>
      <c r="D91" s="279"/>
      <c r="E91" s="279"/>
      <c r="F91" s="279"/>
      <c r="G91" s="279"/>
      <c r="H91" s="279"/>
      <c r="I91" s="279"/>
      <c r="J91" s="279"/>
      <c r="K91" s="279"/>
      <c r="L91" s="279"/>
      <c r="N91" s="310"/>
      <c r="O91" s="310"/>
      <c r="P91" s="310"/>
      <c r="Q91" s="310"/>
      <c r="U91" s="279"/>
      <c r="V91" s="280"/>
      <c r="X91" s="279"/>
      <c r="Z91" s="279"/>
      <c r="AB91" s="279"/>
      <c r="AC91" s="279"/>
      <c r="AD91" s="279"/>
      <c r="AE91" s="279"/>
      <c r="AF91" s="279"/>
      <c r="AG91" s="279"/>
      <c r="AH91" s="279"/>
      <c r="AI91" s="279"/>
    </row>
    <row r="92" spans="1:35" x14ac:dyDescent="0.25">
      <c r="B92" s="279"/>
      <c r="C92" s="279"/>
      <c r="D92" s="279"/>
      <c r="E92" s="279"/>
      <c r="F92" s="279"/>
      <c r="G92" s="279"/>
      <c r="H92" s="279"/>
      <c r="I92" s="279"/>
      <c r="J92" s="279"/>
      <c r="K92" s="279"/>
      <c r="L92" s="279"/>
      <c r="N92" s="310"/>
      <c r="O92" s="310"/>
      <c r="P92" s="310"/>
      <c r="Q92" s="310"/>
      <c r="U92" s="279"/>
      <c r="V92" s="280"/>
      <c r="X92" s="279"/>
      <c r="Z92" s="279"/>
      <c r="AB92" s="279"/>
      <c r="AC92" s="279"/>
      <c r="AD92" s="279"/>
      <c r="AE92" s="279"/>
      <c r="AF92" s="279"/>
      <c r="AG92" s="279"/>
      <c r="AH92" s="279"/>
      <c r="AI92" s="279"/>
    </row>
    <row r="93" spans="1:35" x14ac:dyDescent="0.25">
      <c r="B93" s="279"/>
      <c r="C93" s="279"/>
      <c r="D93" s="279"/>
      <c r="E93" s="279"/>
      <c r="F93" s="279"/>
      <c r="G93" s="279"/>
      <c r="H93" s="279"/>
      <c r="I93" s="279"/>
      <c r="J93" s="279"/>
      <c r="K93" s="279"/>
      <c r="L93" s="279"/>
      <c r="N93" s="310"/>
      <c r="O93" s="310"/>
      <c r="P93" s="310"/>
      <c r="Q93" s="310"/>
      <c r="U93" s="279"/>
      <c r="V93" s="280"/>
      <c r="X93" s="279"/>
      <c r="Z93" s="279"/>
      <c r="AB93" s="279"/>
      <c r="AC93" s="279"/>
      <c r="AD93" s="279"/>
      <c r="AE93" s="279"/>
      <c r="AF93" s="279"/>
      <c r="AG93" s="279"/>
      <c r="AH93" s="279"/>
      <c r="AI93" s="279"/>
    </row>
    <row r="94" spans="1:35" x14ac:dyDescent="0.25">
      <c r="B94" s="279"/>
      <c r="C94" s="279"/>
      <c r="D94" s="279"/>
      <c r="E94" s="279"/>
      <c r="F94" s="279"/>
      <c r="G94" s="279"/>
      <c r="H94" s="279"/>
      <c r="I94" s="279"/>
      <c r="J94" s="279"/>
      <c r="K94" s="279"/>
      <c r="L94" s="279"/>
      <c r="N94" s="310"/>
      <c r="O94" s="310"/>
      <c r="P94" s="310"/>
      <c r="Q94" s="310"/>
      <c r="U94" s="279"/>
      <c r="V94" s="280"/>
      <c r="X94" s="279"/>
      <c r="Z94" s="279"/>
      <c r="AB94" s="279"/>
      <c r="AC94" s="279"/>
      <c r="AD94" s="279"/>
      <c r="AE94" s="279"/>
      <c r="AF94" s="279"/>
      <c r="AG94" s="279"/>
      <c r="AH94" s="279"/>
      <c r="AI94" s="279"/>
    </row>
    <row r="95" spans="1:35" x14ac:dyDescent="0.25">
      <c r="B95" s="279"/>
      <c r="C95" s="279"/>
      <c r="D95" s="279"/>
      <c r="E95" s="279"/>
      <c r="F95" s="279"/>
      <c r="G95" s="279"/>
      <c r="H95" s="279"/>
      <c r="I95" s="279"/>
      <c r="J95" s="279"/>
      <c r="K95" s="279"/>
      <c r="L95" s="279"/>
      <c r="N95" s="310"/>
      <c r="O95" s="310"/>
      <c r="P95" s="310"/>
      <c r="Q95" s="310"/>
      <c r="U95" s="279"/>
      <c r="V95" s="280"/>
      <c r="X95" s="279"/>
      <c r="Z95" s="279"/>
      <c r="AB95" s="279"/>
      <c r="AC95" s="279"/>
      <c r="AD95" s="279"/>
      <c r="AE95" s="279"/>
      <c r="AF95" s="279"/>
      <c r="AG95" s="279"/>
      <c r="AH95" s="279"/>
      <c r="AI95" s="279"/>
    </row>
    <row r="96" spans="1:35" x14ac:dyDescent="0.25">
      <c r="B96" s="279"/>
      <c r="C96" s="279"/>
      <c r="D96" s="279"/>
      <c r="E96" s="279"/>
      <c r="F96" s="279"/>
      <c r="G96" s="279"/>
      <c r="H96" s="279"/>
      <c r="I96" s="279"/>
      <c r="J96" s="279"/>
      <c r="K96" s="279"/>
      <c r="L96" s="279"/>
      <c r="N96" s="310"/>
      <c r="O96" s="310"/>
      <c r="P96" s="310"/>
      <c r="Q96" s="310"/>
      <c r="U96" s="279"/>
      <c r="V96" s="280"/>
      <c r="X96" s="279"/>
      <c r="Z96" s="279"/>
      <c r="AB96" s="279"/>
      <c r="AC96" s="279"/>
      <c r="AD96" s="279"/>
      <c r="AE96" s="279"/>
      <c r="AF96" s="279"/>
      <c r="AG96" s="279"/>
      <c r="AH96" s="279"/>
      <c r="AI96" s="279"/>
    </row>
    <row r="97" spans="1:35" x14ac:dyDescent="0.25">
      <c r="B97" s="464"/>
      <c r="C97" s="264"/>
      <c r="D97" s="264"/>
      <c r="E97" s="264"/>
      <c r="F97" s="264"/>
    </row>
    <row r="98" spans="1:35" x14ac:dyDescent="0.25">
      <c r="B98" s="467"/>
      <c r="C98" s="264"/>
      <c r="D98" s="263"/>
      <c r="E98" s="263"/>
      <c r="F98" s="264"/>
    </row>
    <row r="99" spans="1:35" x14ac:dyDescent="0.25">
      <c r="B99" s="467"/>
      <c r="C99" s="264"/>
      <c r="D99" s="538"/>
      <c r="E99" s="538"/>
      <c r="F99" s="264"/>
    </row>
    <row r="100" spans="1:35" x14ac:dyDescent="0.25">
      <c r="B100" s="467"/>
      <c r="C100" s="264"/>
      <c r="D100" s="538"/>
      <c r="E100" s="538"/>
      <c r="F100" s="264"/>
    </row>
    <row r="101" spans="1:35" x14ac:dyDescent="0.25">
      <c r="B101" s="539"/>
      <c r="C101" s="264"/>
      <c r="D101" s="264"/>
      <c r="E101" s="538"/>
      <c r="F101" s="264"/>
    </row>
    <row r="103" spans="1:35" x14ac:dyDescent="0.25">
      <c r="A103" s="267" t="s">
        <v>347</v>
      </c>
    </row>
    <row r="104" spans="1:35" s="272" customFormat="1" ht="18.75" x14ac:dyDescent="0.3">
      <c r="A104" s="284" t="s">
        <v>342</v>
      </c>
      <c r="B104" s="502"/>
      <c r="M104" s="304"/>
      <c r="N104" s="411"/>
      <c r="O104" s="411"/>
      <c r="P104" s="411"/>
      <c r="Q104" s="411"/>
      <c r="R104" s="304"/>
      <c r="S104" s="304"/>
      <c r="T104" s="304"/>
      <c r="V104" s="412"/>
      <c r="W104" s="304"/>
      <c r="Y104" s="304"/>
      <c r="AA104" s="304"/>
    </row>
    <row r="105" spans="1:35" x14ac:dyDescent="0.25">
      <c r="A105" s="325"/>
      <c r="B105" s="472"/>
      <c r="C105" s="325"/>
      <c r="D105" s="325"/>
      <c r="E105" s="325"/>
      <c r="F105" s="325"/>
      <c r="G105" s="325"/>
      <c r="H105" s="325"/>
      <c r="I105" s="325"/>
      <c r="J105" s="325"/>
      <c r="K105" s="325"/>
      <c r="L105" s="326">
        <f>YEAR(L106)</f>
        <v>2018</v>
      </c>
      <c r="M105" s="327" t="str">
        <f>IF(MONTH(M106)=12,"",IF(MONTH(M106)=1,YEAR(M106),""))</f>
        <v/>
      </c>
      <c r="N105" s="327" t="str">
        <f t="shared" ref="N105:AI105" si="12">IF(MONTH(N106)=12,"",IF(MONTH(N106)=1,YEAR(N106),""))</f>
        <v/>
      </c>
      <c r="O105" s="327" t="str">
        <f t="shared" si="12"/>
        <v/>
      </c>
      <c r="P105" s="326" t="str">
        <f t="shared" si="12"/>
        <v/>
      </c>
      <c r="Q105" s="327" t="str">
        <f t="shared" si="12"/>
        <v/>
      </c>
      <c r="R105" s="327" t="str">
        <f t="shared" si="12"/>
        <v/>
      </c>
      <c r="S105" s="327" t="str">
        <f t="shared" si="12"/>
        <v/>
      </c>
      <c r="T105" s="327" t="str">
        <f t="shared" si="12"/>
        <v/>
      </c>
      <c r="U105" s="327" t="str">
        <f t="shared" si="12"/>
        <v/>
      </c>
      <c r="V105" s="327" t="str">
        <f t="shared" si="12"/>
        <v/>
      </c>
      <c r="W105" s="327">
        <f t="shared" si="12"/>
        <v>2019</v>
      </c>
      <c r="X105" s="327" t="str">
        <f t="shared" si="12"/>
        <v/>
      </c>
      <c r="Y105" s="327" t="str">
        <f t="shared" si="12"/>
        <v/>
      </c>
      <c r="Z105" s="327" t="str">
        <f t="shared" si="12"/>
        <v/>
      </c>
      <c r="AA105" s="327" t="str">
        <f t="shared" si="12"/>
        <v/>
      </c>
      <c r="AB105" s="326" t="str">
        <f t="shared" si="12"/>
        <v/>
      </c>
      <c r="AC105" s="327" t="str">
        <f t="shared" si="12"/>
        <v/>
      </c>
      <c r="AD105" s="327" t="str">
        <f t="shared" si="12"/>
        <v/>
      </c>
      <c r="AE105" s="327" t="str">
        <f t="shared" si="12"/>
        <v/>
      </c>
      <c r="AF105" s="327" t="str">
        <f t="shared" si="12"/>
        <v/>
      </c>
      <c r="AG105" s="327" t="str">
        <f t="shared" si="12"/>
        <v/>
      </c>
      <c r="AH105" s="327" t="str">
        <f t="shared" si="12"/>
        <v/>
      </c>
      <c r="AI105" s="327">
        <f t="shared" si="12"/>
        <v>2020</v>
      </c>
    </row>
    <row r="106" spans="1:35" ht="19.5" thickBot="1" x14ac:dyDescent="0.35">
      <c r="A106" s="328" t="s">
        <v>247</v>
      </c>
      <c r="B106" s="473"/>
      <c r="C106" s="329"/>
      <c r="D106" s="329"/>
      <c r="E106" s="329"/>
      <c r="F106" s="329"/>
      <c r="G106" s="329"/>
      <c r="H106" s="329"/>
      <c r="I106" s="329"/>
      <c r="J106" s="329"/>
      <c r="K106" s="329"/>
      <c r="L106" s="330">
        <f>VLOOKUP(L$6,ListLookup!$J$2:$L$27,2,0)</f>
        <v>43132</v>
      </c>
      <c r="M106" s="330">
        <f>VLOOKUP(M$6,ListLookup!$J$2:$L$27,2,0)</f>
        <v>43160</v>
      </c>
      <c r="N106" s="330">
        <f>VLOOKUP(N$6,ListLookup!$J$2:$L$27,2,0)</f>
        <v>43191</v>
      </c>
      <c r="O106" s="330">
        <f>VLOOKUP(O$6,ListLookup!$J$2:$L$27,2,0)</f>
        <v>43221</v>
      </c>
      <c r="P106" s="330">
        <f>VLOOKUP(P$6,ListLookup!$J$2:$L$27,2,0)</f>
        <v>43252</v>
      </c>
      <c r="Q106" s="330">
        <f>VLOOKUP(Q$6,ListLookup!$J$2:$L$27,2,0)</f>
        <v>43282</v>
      </c>
      <c r="R106" s="330">
        <f>VLOOKUP(R$6,ListLookup!$J$2:$L$27,2,0)</f>
        <v>43313</v>
      </c>
      <c r="S106" s="330">
        <f>VLOOKUP(S$6,ListLookup!$J$2:$L$27,2,0)</f>
        <v>43344</v>
      </c>
      <c r="T106" s="330">
        <f>VLOOKUP(T$6,ListLookup!$J$2:$L$27,2,0)</f>
        <v>43374</v>
      </c>
      <c r="U106" s="330">
        <f>VLOOKUP(U$6,ListLookup!$J$2:$L$27,2,0)</f>
        <v>43405</v>
      </c>
      <c r="V106" s="330">
        <f>VLOOKUP(V$6,ListLookup!$J$2:$L$27,2,0)</f>
        <v>43435</v>
      </c>
      <c r="W106" s="330">
        <f>VLOOKUP(W$6,ListLookup!$J$2:$L$27,2,0)</f>
        <v>43466</v>
      </c>
      <c r="X106" s="330">
        <f>VLOOKUP(X$6,ListLookup!$J$2:$L$27,2,0)</f>
        <v>43497</v>
      </c>
      <c r="Y106" s="330">
        <f>VLOOKUP(Y$6,ListLookup!$J$2:$L$27,2,0)</f>
        <v>43525</v>
      </c>
      <c r="Z106" s="330">
        <f>VLOOKUP(Z$6,ListLookup!$J$2:$L$27,2,0)</f>
        <v>43556</v>
      </c>
      <c r="AA106" s="330">
        <f>VLOOKUP(AA$6,ListLookup!$J$2:$L$27,2,0)</f>
        <v>43586</v>
      </c>
      <c r="AB106" s="330">
        <f>VLOOKUP(AB$6,ListLookup!$J$2:$L$27,2,0)</f>
        <v>43617</v>
      </c>
      <c r="AC106" s="330">
        <f>VLOOKUP(AC$6,ListLookup!$J$2:$L$27,2,0)</f>
        <v>43647</v>
      </c>
      <c r="AD106" s="330">
        <f>VLOOKUP(AD$6,ListLookup!$J$2:$L$27,2,0)</f>
        <v>43678</v>
      </c>
      <c r="AE106" s="330">
        <f>VLOOKUP(AE$6,ListLookup!$J$2:$L$27,2,0)</f>
        <v>43709</v>
      </c>
      <c r="AF106" s="330">
        <f>VLOOKUP(AF$6,ListLookup!$J$2:$L$27,2,0)</f>
        <v>43739</v>
      </c>
      <c r="AG106" s="330">
        <f>VLOOKUP(AG$6,ListLookup!$J$2:$L$27,2,0)</f>
        <v>43770</v>
      </c>
      <c r="AH106" s="330">
        <f>VLOOKUP(AH$6,ListLookup!$J$2:$L$27,2,0)</f>
        <v>43800</v>
      </c>
      <c r="AI106" s="330">
        <f>VLOOKUP(AI$6,ListLookup!$J$2:$L$27,2,0)</f>
        <v>43831</v>
      </c>
    </row>
    <row r="107" spans="1:35" s="511" customFormat="1" ht="17.25" x14ac:dyDescent="0.3">
      <c r="A107" s="515" t="s">
        <v>197</v>
      </c>
      <c r="B107" s="516"/>
      <c r="C107" s="517"/>
      <c r="D107" s="517"/>
      <c r="E107" s="517"/>
      <c r="F107" s="517"/>
      <c r="G107" s="517"/>
      <c r="H107" s="517"/>
      <c r="I107" s="517"/>
      <c r="J107" s="517"/>
      <c r="K107" s="517"/>
      <c r="L107" s="518"/>
      <c r="M107" s="518"/>
      <c r="N107" s="519"/>
      <c r="O107" s="519"/>
      <c r="P107" s="519"/>
      <c r="Q107" s="519"/>
      <c r="R107" s="518"/>
      <c r="S107" s="518"/>
      <c r="T107" s="518"/>
      <c r="U107" s="519"/>
      <c r="V107" s="520"/>
      <c r="W107" s="517"/>
      <c r="X107" s="519"/>
      <c r="Y107" s="517"/>
      <c r="Z107" s="519"/>
      <c r="AA107" s="517"/>
      <c r="AB107" s="517"/>
      <c r="AC107" s="517"/>
      <c r="AD107" s="517"/>
      <c r="AE107" s="517"/>
      <c r="AF107" s="517"/>
      <c r="AG107" s="517"/>
      <c r="AH107" s="517"/>
      <c r="AI107" s="521"/>
    </row>
    <row r="108" spans="1:35" x14ac:dyDescent="0.25">
      <c r="A108" s="273"/>
      <c r="B108" s="458" t="s">
        <v>243</v>
      </c>
      <c r="D108" s="274"/>
      <c r="E108" s="274"/>
      <c r="F108" s="274"/>
      <c r="G108" s="274"/>
      <c r="H108" s="274"/>
      <c r="I108" s="274"/>
      <c r="J108" s="274"/>
      <c r="K108" s="274"/>
      <c r="L108" s="280">
        <f>COUNTIFS(Tbl_ResidentData[Exclusion Flag],0,Tbl_ResidentData[M1],TRUE,Tbl_ResidentData[Cohort],"Original")</f>
        <v>0</v>
      </c>
      <c r="M108" s="280">
        <f>COUNTIFS(Tbl_ResidentData[Exclusion Flag],0,Tbl_ResidentData[M2],TRUE,Tbl_ResidentData[Cohort],"Original")</f>
        <v>0</v>
      </c>
      <c r="N108" s="280">
        <f>COUNTIFS(Tbl_ResidentData[Exclusion Flag],0,Tbl_ResidentData[M3],TRUE,Tbl_ResidentData[Cohort],"Original")</f>
        <v>0</v>
      </c>
      <c r="O108" s="280">
        <f>COUNTIFS(Tbl_ResidentData[Exclusion Flag],0,Tbl_ResidentData[M4],TRUE,Tbl_ResidentData[Cohort],"Original")</f>
        <v>0</v>
      </c>
      <c r="P108" s="280">
        <f>COUNTIFS(Tbl_ResidentData[Exclusion Flag],0,Tbl_ResidentData[M5],TRUE,Tbl_ResidentData[Cohort],"Original")</f>
        <v>0</v>
      </c>
      <c r="Q108" s="280">
        <f>COUNTIFS(Tbl_ResidentData[Exclusion Flag],0,Tbl_ResidentData[M6],TRUE,Tbl_ResidentData[Cohort],"Original")</f>
        <v>0</v>
      </c>
      <c r="R108" s="280">
        <f>COUNTIFS(Tbl_ResidentData[Exclusion Flag],0,Tbl_ResidentData[M7],TRUE,Tbl_ResidentData[Cohort],"Original")</f>
        <v>0</v>
      </c>
      <c r="S108" s="280">
        <f>COUNTIFS(Tbl_ResidentData[Exclusion Flag],0,Tbl_ResidentData[M8],TRUE,Tbl_ResidentData[Cohort],"Original")</f>
        <v>0</v>
      </c>
      <c r="T108" s="280">
        <f>COUNTIFS(Tbl_ResidentData[Exclusion Flag],0,Tbl_ResidentData[M9],TRUE,Tbl_ResidentData[Cohort],"Original")</f>
        <v>0</v>
      </c>
      <c r="U108" s="280">
        <f>COUNTIFS(Tbl_ResidentData[Exclusion Flag],0,Tbl_ResidentData[M10],TRUE,Tbl_ResidentData[Cohort],"Original")</f>
        <v>0</v>
      </c>
      <c r="V108" s="280">
        <f>COUNTIFS(Tbl_ResidentData[Exclusion Flag],0,Tbl_ResidentData[M11],TRUE,Tbl_ResidentData[Cohort],"Original")</f>
        <v>0</v>
      </c>
      <c r="W108" s="280">
        <f>COUNTIFS(Tbl_ResidentData[Exclusion Flag],0,Tbl_ResidentData[M12],TRUE,Tbl_ResidentData[Cohort],"Original")</f>
        <v>0</v>
      </c>
      <c r="X108" s="280">
        <f>COUNTIFS(Tbl_ResidentData[Exclusion Flag],0,Tbl_ResidentData[M13],TRUE,Tbl_ResidentData[Cohort],"Original")</f>
        <v>0</v>
      </c>
      <c r="Y108" s="280">
        <f>COUNTIFS(Tbl_ResidentData[Exclusion Flag],0,Tbl_ResidentData[M14],TRUE,Tbl_ResidentData[Cohort],"Original")</f>
        <v>0</v>
      </c>
      <c r="Z108" s="280">
        <f>COUNTIFS(Tbl_ResidentData[Exclusion Flag],0,Tbl_ResidentData[M15],TRUE,Tbl_ResidentData[Cohort],"Original")</f>
        <v>0</v>
      </c>
      <c r="AA108" s="280">
        <f>COUNTIFS(Tbl_ResidentData[Exclusion Flag],0,Tbl_ResidentData[M16],TRUE,Tbl_ResidentData[Cohort],"Original")</f>
        <v>0</v>
      </c>
      <c r="AB108" s="280">
        <f>COUNTIFS(Tbl_ResidentData[Exclusion Flag],0,Tbl_ResidentData[M17],TRUE,Tbl_ResidentData[Cohort],"Original")</f>
        <v>0</v>
      </c>
      <c r="AC108" s="280">
        <f>COUNTIFS(Tbl_ResidentData[Exclusion Flag],0,Tbl_ResidentData[M18],TRUE,Tbl_ResidentData[Cohort],"Original")</f>
        <v>0</v>
      </c>
      <c r="AD108" s="280">
        <f>COUNTIFS(Tbl_ResidentData[Exclusion Flag],0,Tbl_ResidentData[M19],TRUE,Tbl_ResidentData[Cohort],"Original")</f>
        <v>0</v>
      </c>
      <c r="AE108" s="280">
        <f>COUNTIFS(Tbl_ResidentData[Exclusion Flag],0,Tbl_ResidentData[M20],TRUE,Tbl_ResidentData[Cohort],"Original")</f>
        <v>0</v>
      </c>
      <c r="AF108" s="280">
        <f>COUNTIFS(Tbl_ResidentData[Exclusion Flag],0,Tbl_ResidentData[M21],TRUE,Tbl_ResidentData[Cohort],"Original")</f>
        <v>0</v>
      </c>
      <c r="AG108" s="280">
        <f>COUNTIFS(Tbl_ResidentData[Exclusion Flag],0,Tbl_ResidentData[M22],TRUE,Tbl_ResidentData[Cohort],"Original")</f>
        <v>0</v>
      </c>
      <c r="AH108" s="280">
        <f>COUNTIFS(Tbl_ResidentData[Exclusion Flag],0,Tbl_ResidentData[M23],TRUE,Tbl_ResidentData[Cohort],"Original")</f>
        <v>0</v>
      </c>
      <c r="AI108" s="307">
        <f>COUNTIFS(Tbl_ResidentData[Exclusion Flag],0,Tbl_ResidentData[M24],TRUE,Tbl_ResidentData[Cohort],"Original")</f>
        <v>0</v>
      </c>
    </row>
    <row r="109" spans="1:35" ht="15.75" thickBot="1" x14ac:dyDescent="0.3">
      <c r="A109" s="276"/>
      <c r="B109" s="459" t="s">
        <v>244</v>
      </c>
      <c r="C109" s="414"/>
      <c r="D109" s="277"/>
      <c r="E109" s="277"/>
      <c r="F109" s="277"/>
      <c r="G109" s="277"/>
      <c r="H109" s="277"/>
      <c r="I109" s="277"/>
      <c r="J109" s="277"/>
      <c r="K109" s="277"/>
      <c r="L109" s="308">
        <f>COUNTIFS(Tbl_ResidentData[Exclusion Flag],1,Tbl_ResidentData[M1],TRUE,Tbl_ResidentData[Cohort],"Original")</f>
        <v>0</v>
      </c>
      <c r="M109" s="308">
        <f>COUNTIFS(Tbl_ResidentData[Exclusion Flag],1,Tbl_ResidentData[M2],TRUE,Tbl_ResidentData[Cohort],"Original")</f>
        <v>0</v>
      </c>
      <c r="N109" s="308">
        <f>COUNTIFS(Tbl_ResidentData[Exclusion Flag],1,Tbl_ResidentData[M3],TRUE,Tbl_ResidentData[Cohort],"Original")</f>
        <v>0</v>
      </c>
      <c r="O109" s="308">
        <f>COUNTIFS(Tbl_ResidentData[Exclusion Flag],1,Tbl_ResidentData[M4],TRUE,Tbl_ResidentData[Cohort],"Original")</f>
        <v>0</v>
      </c>
      <c r="P109" s="308">
        <f>COUNTIFS(Tbl_ResidentData[Exclusion Flag],1,Tbl_ResidentData[M5],TRUE,Tbl_ResidentData[Cohort],"Original")</f>
        <v>0</v>
      </c>
      <c r="Q109" s="308">
        <f>COUNTIFS(Tbl_ResidentData[Exclusion Flag],1,Tbl_ResidentData[M6],TRUE,Tbl_ResidentData[Cohort],"Original")</f>
        <v>0</v>
      </c>
      <c r="R109" s="308">
        <f>COUNTIFS(Tbl_ResidentData[Exclusion Flag],1,Tbl_ResidentData[M7],TRUE,Tbl_ResidentData[Cohort],"Original")</f>
        <v>0</v>
      </c>
      <c r="S109" s="308">
        <f>COUNTIFS(Tbl_ResidentData[Exclusion Flag],1,Tbl_ResidentData[M8],TRUE,Tbl_ResidentData[Cohort],"Original")</f>
        <v>0</v>
      </c>
      <c r="T109" s="308">
        <f>COUNTIFS(Tbl_ResidentData[Exclusion Flag],1,Tbl_ResidentData[M9],TRUE,Tbl_ResidentData[Cohort],"Original")</f>
        <v>0</v>
      </c>
      <c r="U109" s="308">
        <f>COUNTIFS(Tbl_ResidentData[Exclusion Flag],1,Tbl_ResidentData[M10],TRUE,Tbl_ResidentData[Cohort],"Original")</f>
        <v>0</v>
      </c>
      <c r="V109" s="308">
        <f>COUNTIFS(Tbl_ResidentData[Exclusion Flag],1,Tbl_ResidentData[M11],TRUE,Tbl_ResidentData[Cohort],"Original")</f>
        <v>0</v>
      </c>
      <c r="W109" s="308">
        <f>COUNTIFS(Tbl_ResidentData[Exclusion Flag],1,Tbl_ResidentData[M12],TRUE,Tbl_ResidentData[Cohort],"Original")</f>
        <v>0</v>
      </c>
      <c r="X109" s="308">
        <f>COUNTIFS(Tbl_ResidentData[Exclusion Flag],1,Tbl_ResidentData[M13],TRUE,Tbl_ResidentData[Cohort],"Original")</f>
        <v>0</v>
      </c>
      <c r="Y109" s="308">
        <f>COUNTIFS(Tbl_ResidentData[Exclusion Flag],1,Tbl_ResidentData[M14],TRUE,Tbl_ResidentData[Cohort],"Original")</f>
        <v>0</v>
      </c>
      <c r="Z109" s="308">
        <f>COUNTIFS(Tbl_ResidentData[Exclusion Flag],1,Tbl_ResidentData[M15],TRUE,Tbl_ResidentData[Cohort],"Original")</f>
        <v>0</v>
      </c>
      <c r="AA109" s="308">
        <f>COUNTIFS(Tbl_ResidentData[Exclusion Flag],1,Tbl_ResidentData[M16],TRUE,Tbl_ResidentData[Cohort],"Original")</f>
        <v>0</v>
      </c>
      <c r="AB109" s="308">
        <f>COUNTIFS(Tbl_ResidentData[Exclusion Flag],1,Tbl_ResidentData[M17],TRUE,Tbl_ResidentData[Cohort],"Original")</f>
        <v>0</v>
      </c>
      <c r="AC109" s="308">
        <f>COUNTIFS(Tbl_ResidentData[Exclusion Flag],1,Tbl_ResidentData[M18],TRUE,Tbl_ResidentData[Cohort],"Original")</f>
        <v>0</v>
      </c>
      <c r="AD109" s="308">
        <f>COUNTIFS(Tbl_ResidentData[Exclusion Flag],1,Tbl_ResidentData[M19],TRUE,Tbl_ResidentData[Cohort],"Original")</f>
        <v>0</v>
      </c>
      <c r="AE109" s="308">
        <f>COUNTIFS(Tbl_ResidentData[Exclusion Flag],1,Tbl_ResidentData[M20],TRUE,Tbl_ResidentData[Cohort],"Original")</f>
        <v>0</v>
      </c>
      <c r="AF109" s="308">
        <f>COUNTIFS(Tbl_ResidentData[Exclusion Flag],1,Tbl_ResidentData[M21],TRUE,Tbl_ResidentData[Cohort],"Original")</f>
        <v>0</v>
      </c>
      <c r="AG109" s="308">
        <f>COUNTIFS(Tbl_ResidentData[Exclusion Flag],1,Tbl_ResidentData[M22],TRUE,Tbl_ResidentData[Cohort],"Original")</f>
        <v>0</v>
      </c>
      <c r="AH109" s="308">
        <f>COUNTIFS(Tbl_ResidentData[Exclusion Flag],1,Tbl_ResidentData[M23],TRUE,Tbl_ResidentData[Cohort],"Original")</f>
        <v>0</v>
      </c>
      <c r="AI109" s="309">
        <f>COUNTIFS(Tbl_ResidentData[Exclusion Flag],1,Tbl_ResidentData[M24],TRUE,Tbl_ResidentData[Cohort],"Original")</f>
        <v>0</v>
      </c>
    </row>
    <row r="110" spans="1:35" ht="5.0999999999999996" customHeight="1" thickBot="1" x14ac:dyDescent="0.3">
      <c r="B110" s="267"/>
      <c r="M110" s="267"/>
      <c r="N110" s="267"/>
      <c r="O110" s="267"/>
      <c r="P110" s="267"/>
      <c r="Q110" s="267"/>
      <c r="R110" s="267"/>
      <c r="S110" s="267"/>
      <c r="T110" s="267"/>
      <c r="V110" s="267"/>
      <c r="W110" s="267"/>
      <c r="Y110" s="267"/>
      <c r="AA110" s="267"/>
    </row>
    <row r="111" spans="1:35" s="511" customFormat="1" ht="17.25" x14ac:dyDescent="0.3">
      <c r="A111" s="515" t="s">
        <v>113</v>
      </c>
      <c r="B111" s="517"/>
      <c r="C111" s="517"/>
      <c r="D111" s="517"/>
      <c r="E111" s="517"/>
      <c r="F111" s="517"/>
      <c r="G111" s="517"/>
      <c r="H111" s="517"/>
      <c r="I111" s="517"/>
      <c r="J111" s="517"/>
      <c r="K111" s="517"/>
      <c r="L111" s="522"/>
      <c r="M111" s="522"/>
      <c r="N111" s="519"/>
      <c r="O111" s="519"/>
      <c r="P111" s="519"/>
      <c r="Q111" s="519"/>
      <c r="R111" s="522"/>
      <c r="S111" s="522"/>
      <c r="T111" s="522"/>
      <c r="U111" s="519"/>
      <c r="V111" s="520"/>
      <c r="W111" s="519"/>
      <c r="X111" s="519"/>
      <c r="Y111" s="519"/>
      <c r="Z111" s="519"/>
      <c r="AA111" s="519"/>
      <c r="AB111" s="519"/>
      <c r="AC111" s="519"/>
      <c r="AD111" s="519"/>
      <c r="AE111" s="519"/>
      <c r="AF111" s="519"/>
      <c r="AG111" s="519"/>
      <c r="AH111" s="519"/>
      <c r="AI111" s="523"/>
    </row>
    <row r="112" spans="1:35" x14ac:dyDescent="0.25">
      <c r="A112" s="273"/>
      <c r="B112" s="460" t="s">
        <v>306</v>
      </c>
      <c r="D112" s="281"/>
      <c r="E112" s="281"/>
      <c r="F112" s="281"/>
      <c r="G112" s="281"/>
      <c r="H112" s="281"/>
      <c r="I112" s="281"/>
      <c r="J112" s="281"/>
      <c r="K112" s="281"/>
      <c r="L112" s="310">
        <f ca="1">COUNTIFS(Tbl_ResidentData[M1],TRUE,Tbl_ResidentData[Over1],1,Tbl_ResidentData[Cohort],"Original")</f>
        <v>0</v>
      </c>
      <c r="M112" s="310">
        <f ca="1">COUNTIFS(Tbl_ResidentData[M2],TRUE,Tbl_ResidentData[Over2],1,Tbl_ResidentData[Cohort],"Original")</f>
        <v>0</v>
      </c>
      <c r="N112" s="310">
        <f ca="1">COUNTIFS(Tbl_ResidentData[M3],TRUE,Tbl_ResidentData[Over3],1,Tbl_ResidentData[Cohort],"Original")</f>
        <v>0</v>
      </c>
      <c r="O112" s="310">
        <f ca="1">COUNTIFS(Tbl_ResidentData[M4],TRUE,Tbl_ResidentData[Over4],1,Tbl_ResidentData[Cohort],"Original")</f>
        <v>0</v>
      </c>
      <c r="P112" s="310">
        <f ca="1">COUNTIFS(Tbl_ResidentData[M5],TRUE,Tbl_ResidentData[Over5],1,Tbl_ResidentData[Cohort],"Original")</f>
        <v>0</v>
      </c>
      <c r="Q112" s="310">
        <f ca="1">COUNTIFS(Tbl_ResidentData[M6],TRUE,Tbl_ResidentData[Over6],1,Tbl_ResidentData[Cohort],"Original")</f>
        <v>0</v>
      </c>
      <c r="R112" s="310">
        <f ca="1">COUNTIFS(Tbl_ResidentData[M7],TRUE,Tbl_ResidentData[Over7],1,Tbl_ResidentData[Cohort],"Original")</f>
        <v>0</v>
      </c>
      <c r="S112" s="310">
        <f ca="1">COUNTIFS(Tbl_ResidentData[M8],TRUE,Tbl_ResidentData[Over8],1,Tbl_ResidentData[Cohort],"Original")</f>
        <v>0</v>
      </c>
      <c r="T112" s="310">
        <f ca="1">COUNTIFS(Tbl_ResidentData[M9],TRUE,Tbl_ResidentData[Over9],1,Tbl_ResidentData[Cohort],"Original")</f>
        <v>0</v>
      </c>
      <c r="U112" s="310">
        <f ca="1">COUNTIFS(Tbl_ResidentData[M10],TRUE,Tbl_ResidentData[Over10],1,Tbl_ResidentData[Cohort],"Original")</f>
        <v>0</v>
      </c>
      <c r="V112" s="310">
        <f ca="1">COUNTIFS(Tbl_ResidentData[M11],TRUE,Tbl_ResidentData[Over11],1,Tbl_ResidentData[Cohort],"Original")</f>
        <v>0</v>
      </c>
      <c r="W112" s="310">
        <f ca="1">COUNTIFS(Tbl_ResidentData[M12],TRUE,Tbl_ResidentData[Over12],1,Tbl_ResidentData[Cohort],"Original")</f>
        <v>0</v>
      </c>
      <c r="X112" s="310">
        <f ca="1">COUNTIFS(Tbl_ResidentData[M13],TRUE,Tbl_ResidentData[Over13],1,Tbl_ResidentData[Cohort],"Original")</f>
        <v>0</v>
      </c>
      <c r="Y112" s="310">
        <f ca="1">COUNTIFS(Tbl_ResidentData[M14],TRUE,Tbl_ResidentData[Over14],1,Tbl_ResidentData[Cohort],"Original")</f>
        <v>0</v>
      </c>
      <c r="Z112" s="310">
        <f ca="1">COUNTIFS(Tbl_ResidentData[M15],TRUE,Tbl_ResidentData[Over15],1,Tbl_ResidentData[Cohort],"Original")</f>
        <v>0</v>
      </c>
      <c r="AA112" s="310">
        <f ca="1">COUNTIFS(Tbl_ResidentData[M16],TRUE,Tbl_ResidentData[Over16],1,Tbl_ResidentData[Cohort],"Original")</f>
        <v>0</v>
      </c>
      <c r="AB112" s="310">
        <f ca="1">COUNTIFS(Tbl_ResidentData[M17],TRUE,Tbl_ResidentData[Over17],1,Tbl_ResidentData[Cohort],"Original")</f>
        <v>0</v>
      </c>
      <c r="AC112" s="310">
        <f ca="1">COUNTIFS(Tbl_ResidentData[M18],TRUE,Tbl_ResidentData[Over18],1,Tbl_ResidentData[Cohort],"Original")</f>
        <v>0</v>
      </c>
      <c r="AD112" s="310">
        <f ca="1">COUNTIFS(Tbl_ResidentData[M19],TRUE,Tbl_ResidentData[Over19],1,Tbl_ResidentData[Cohort],"Original")</f>
        <v>0</v>
      </c>
      <c r="AE112" s="310">
        <f ca="1">COUNTIFS(Tbl_ResidentData[M20],TRUE,Tbl_ResidentData[Over20],1,Tbl_ResidentData[Cohort],"Original")</f>
        <v>0</v>
      </c>
      <c r="AF112" s="310">
        <f ca="1">COUNTIFS(Tbl_ResidentData[M21],TRUE,Tbl_ResidentData[Over21],1,Tbl_ResidentData[Cohort],"Original")</f>
        <v>0</v>
      </c>
      <c r="AG112" s="310">
        <f ca="1">COUNTIFS(Tbl_ResidentData[M22],TRUE,Tbl_ResidentData[Over22],1,Tbl_ResidentData[Cohort],"Original")</f>
        <v>0</v>
      </c>
      <c r="AH112" s="310">
        <f ca="1">COUNTIFS(Tbl_ResidentData[M23],TRUE,Tbl_ResidentData[Over23],1,Tbl_ResidentData[Cohort],"Original")</f>
        <v>0</v>
      </c>
      <c r="AI112" s="311">
        <f ca="1">COUNTIFS(Tbl_ResidentData[M24],TRUE,Tbl_ResidentData[Over24],1,Tbl_ResidentData[Cohort],"Original")</f>
        <v>0</v>
      </c>
    </row>
    <row r="113" spans="1:37" x14ac:dyDescent="0.25">
      <c r="A113" s="273"/>
      <c r="B113" s="458" t="s">
        <v>237</v>
      </c>
      <c r="D113" s="274"/>
      <c r="E113" s="274"/>
      <c r="F113" s="274"/>
      <c r="G113" s="274"/>
      <c r="H113" s="274"/>
      <c r="I113" s="274"/>
      <c r="J113" s="274"/>
      <c r="K113" s="274"/>
      <c r="L113" s="310">
        <f ca="1">COUNTIFS(Tbl_ResidentData[M1],TRUE,Tbl_ResidentData[Over1],0,Tbl_ResidentData[Cohort],"Original")</f>
        <v>0</v>
      </c>
      <c r="M113" s="310">
        <f ca="1">COUNTIFS(Tbl_ResidentData[M2],TRUE,Tbl_ResidentData[Over2],0,Tbl_ResidentData[Cohort],"Original")</f>
        <v>0</v>
      </c>
      <c r="N113" s="310">
        <f ca="1">COUNTIFS(Tbl_ResidentData[M3],TRUE,Tbl_ResidentData[Over3],0,Tbl_ResidentData[Cohort],"Original")</f>
        <v>0</v>
      </c>
      <c r="O113" s="310">
        <f ca="1">COUNTIFS(Tbl_ResidentData[M4],TRUE,Tbl_ResidentData[Over4],0,Tbl_ResidentData[Cohort],"Original")</f>
        <v>0</v>
      </c>
      <c r="P113" s="310">
        <f ca="1">COUNTIFS(Tbl_ResidentData[M5],TRUE,Tbl_ResidentData[Over5],0,Tbl_ResidentData[Cohort],"Original")</f>
        <v>0</v>
      </c>
      <c r="Q113" s="310">
        <f ca="1">COUNTIFS(Tbl_ResidentData[M6],TRUE,Tbl_ResidentData[Over6],0,Tbl_ResidentData[Cohort],"Original")</f>
        <v>0</v>
      </c>
      <c r="R113" s="310">
        <f ca="1">COUNTIFS(Tbl_ResidentData[M7],TRUE,Tbl_ResidentData[Over7],0,Tbl_ResidentData[Cohort],"Original")</f>
        <v>0</v>
      </c>
      <c r="S113" s="310">
        <f ca="1">COUNTIFS(Tbl_ResidentData[M8],TRUE,Tbl_ResidentData[Over8],0,Tbl_ResidentData[Cohort],"Original")</f>
        <v>0</v>
      </c>
      <c r="T113" s="310">
        <f ca="1">COUNTIFS(Tbl_ResidentData[M9],TRUE,Tbl_ResidentData[Over9],0,Tbl_ResidentData[Cohort],"Original")</f>
        <v>0</v>
      </c>
      <c r="U113" s="310">
        <f ca="1">COUNTIFS(Tbl_ResidentData[M10],TRUE,Tbl_ResidentData[Over10],0,Tbl_ResidentData[Cohort],"Original")</f>
        <v>0</v>
      </c>
      <c r="V113" s="310">
        <f ca="1">COUNTIFS(Tbl_ResidentData[M11],TRUE,Tbl_ResidentData[Over11],0,Tbl_ResidentData[Cohort],"Original")</f>
        <v>0</v>
      </c>
      <c r="W113" s="310">
        <f ca="1">COUNTIFS(Tbl_ResidentData[M12],TRUE,Tbl_ResidentData[Over12],0,Tbl_ResidentData[Cohort],"Original")</f>
        <v>0</v>
      </c>
      <c r="X113" s="310">
        <f ca="1">COUNTIFS(Tbl_ResidentData[M13],TRUE,Tbl_ResidentData[Over13],0,Tbl_ResidentData[Cohort],"Original")</f>
        <v>0</v>
      </c>
      <c r="Y113" s="310">
        <f ca="1">COUNTIFS(Tbl_ResidentData[M14],TRUE,Tbl_ResidentData[Over14],0,Tbl_ResidentData[Cohort],"Original")</f>
        <v>0</v>
      </c>
      <c r="Z113" s="310">
        <f ca="1">COUNTIFS(Tbl_ResidentData[M15],TRUE,Tbl_ResidentData[Over15],0,Tbl_ResidentData[Cohort],"Original")</f>
        <v>0</v>
      </c>
      <c r="AA113" s="310">
        <f ca="1">COUNTIFS(Tbl_ResidentData[M16],TRUE,Tbl_ResidentData[Over16],0,Tbl_ResidentData[Cohort],"Original")</f>
        <v>0</v>
      </c>
      <c r="AB113" s="310">
        <f ca="1">COUNTIFS(Tbl_ResidentData[M17],TRUE,Tbl_ResidentData[Over17],0,Tbl_ResidentData[Cohort],"Original")</f>
        <v>0</v>
      </c>
      <c r="AC113" s="310">
        <f ca="1">COUNTIFS(Tbl_ResidentData[M18],TRUE,Tbl_ResidentData[Over18],0,Tbl_ResidentData[Cohort],"Original")</f>
        <v>0</v>
      </c>
      <c r="AD113" s="310">
        <f ca="1">COUNTIFS(Tbl_ResidentData[M19],TRUE,Tbl_ResidentData[Over19],0,Tbl_ResidentData[Cohort],"Original")</f>
        <v>0</v>
      </c>
      <c r="AE113" s="310">
        <f ca="1">COUNTIFS(Tbl_ResidentData[M20],TRUE,Tbl_ResidentData[Over20],0,Tbl_ResidentData[Cohort],"Original")</f>
        <v>0</v>
      </c>
      <c r="AF113" s="310">
        <f ca="1">COUNTIFS(Tbl_ResidentData[M21],TRUE,Tbl_ResidentData[Over21],0,Tbl_ResidentData[Cohort],"Original")</f>
        <v>0</v>
      </c>
      <c r="AG113" s="310">
        <f ca="1">COUNTIFS(Tbl_ResidentData[M22],TRUE,Tbl_ResidentData[Over22],0,Tbl_ResidentData[Cohort],"Original")</f>
        <v>0</v>
      </c>
      <c r="AH113" s="310">
        <f ca="1">COUNTIFS(Tbl_ResidentData[M23],TRUE,Tbl_ResidentData[Over23],0,Tbl_ResidentData[Cohort],"Original")</f>
        <v>0</v>
      </c>
      <c r="AI113" s="311">
        <f ca="1">COUNTIFS(Tbl_ResidentData[M24],TRUE,Tbl_ResidentData[Over24],0,Tbl_ResidentData[Cohort],"Original")</f>
        <v>0</v>
      </c>
    </row>
    <row r="114" spans="1:37" ht="15.75" thickBot="1" x14ac:dyDescent="0.3">
      <c r="A114" s="276"/>
      <c r="B114" s="461" t="s">
        <v>238</v>
      </c>
      <c r="C114" s="414"/>
      <c r="D114" s="282"/>
      <c r="E114" s="282"/>
      <c r="F114" s="282"/>
      <c r="G114" s="282"/>
      <c r="H114" s="282"/>
      <c r="I114" s="282"/>
      <c r="J114" s="282"/>
      <c r="K114" s="282"/>
      <c r="L114" s="312" t="str">
        <f t="shared" ref="L114:S114" ca="1" si="13">IFERROR(L$112/(L$112+L$113),"-")</f>
        <v>-</v>
      </c>
      <c r="M114" s="312" t="str">
        <f t="shared" ca="1" si="13"/>
        <v>-</v>
      </c>
      <c r="N114" s="312" t="str">
        <f t="shared" ca="1" si="13"/>
        <v>-</v>
      </c>
      <c r="O114" s="312" t="str">
        <f t="shared" ca="1" si="13"/>
        <v>-</v>
      </c>
      <c r="P114" s="312" t="str">
        <f t="shared" ca="1" si="13"/>
        <v>-</v>
      </c>
      <c r="Q114" s="312" t="str">
        <f t="shared" ca="1" si="13"/>
        <v>-</v>
      </c>
      <c r="R114" s="312" t="str">
        <f t="shared" ca="1" si="13"/>
        <v>-</v>
      </c>
      <c r="S114" s="312" t="str">
        <f t="shared" ca="1" si="13"/>
        <v>-</v>
      </c>
      <c r="T114" s="312" t="str">
        <f t="shared" ref="T114:AI114" ca="1" si="14">IFERROR(T$112/(T$112+T$113),"-")</f>
        <v>-</v>
      </c>
      <c r="U114" s="312" t="str">
        <f t="shared" ca="1" si="14"/>
        <v>-</v>
      </c>
      <c r="V114" s="312" t="str">
        <f t="shared" ca="1" si="14"/>
        <v>-</v>
      </c>
      <c r="W114" s="312" t="str">
        <f t="shared" ca="1" si="14"/>
        <v>-</v>
      </c>
      <c r="X114" s="312" t="str">
        <f t="shared" ca="1" si="14"/>
        <v>-</v>
      </c>
      <c r="Y114" s="312" t="str">
        <f t="shared" ca="1" si="14"/>
        <v>-</v>
      </c>
      <c r="Z114" s="312" t="str">
        <f t="shared" ca="1" si="14"/>
        <v>-</v>
      </c>
      <c r="AA114" s="312" t="str">
        <f t="shared" ca="1" si="14"/>
        <v>-</v>
      </c>
      <c r="AB114" s="312" t="str">
        <f t="shared" ca="1" si="14"/>
        <v>-</v>
      </c>
      <c r="AC114" s="312" t="str">
        <f t="shared" ca="1" si="14"/>
        <v>-</v>
      </c>
      <c r="AD114" s="312" t="str">
        <f t="shared" ca="1" si="14"/>
        <v>-</v>
      </c>
      <c r="AE114" s="312" t="str">
        <f t="shared" ca="1" si="14"/>
        <v>-</v>
      </c>
      <c r="AF114" s="312" t="str">
        <f t="shared" ca="1" si="14"/>
        <v>-</v>
      </c>
      <c r="AG114" s="312" t="str">
        <f t="shared" ca="1" si="14"/>
        <v>-</v>
      </c>
      <c r="AH114" s="312" t="str">
        <f t="shared" ca="1" si="14"/>
        <v>-</v>
      </c>
      <c r="AI114" s="313" t="str">
        <f t="shared" ca="1" si="14"/>
        <v>-</v>
      </c>
    </row>
    <row r="115" spans="1:37" hidden="1" x14ac:dyDescent="0.25">
      <c r="A115" s="301" t="e">
        <f ca="1">MEDIAN($L$114:$AI$114)</f>
        <v>#NUM!</v>
      </c>
      <c r="B115" s="281"/>
      <c r="D115" s="281"/>
      <c r="E115" s="281"/>
      <c r="F115" s="281"/>
      <c r="G115" s="281"/>
      <c r="H115" s="281"/>
      <c r="I115" s="281"/>
      <c r="J115" s="281"/>
      <c r="K115" s="281"/>
      <c r="L115" s="314" t="str">
        <f ca="1">IFERROR($A$115,"")</f>
        <v/>
      </c>
      <c r="M115" s="314" t="str">
        <f t="shared" ref="M115:AI115" ca="1" si="15">IFERROR($A$115,"")</f>
        <v/>
      </c>
      <c r="N115" s="314" t="str">
        <f t="shared" ca="1" si="15"/>
        <v/>
      </c>
      <c r="O115" s="314" t="str">
        <f t="shared" ca="1" si="15"/>
        <v/>
      </c>
      <c r="P115" s="314" t="str">
        <f t="shared" ca="1" si="15"/>
        <v/>
      </c>
      <c r="Q115" s="314" t="str">
        <f t="shared" ca="1" si="15"/>
        <v/>
      </c>
      <c r="R115" s="314" t="str">
        <f t="shared" ca="1" si="15"/>
        <v/>
      </c>
      <c r="S115" s="314" t="str">
        <f t="shared" ca="1" si="15"/>
        <v/>
      </c>
      <c r="T115" s="314" t="str">
        <f t="shared" ca="1" si="15"/>
        <v/>
      </c>
      <c r="U115" s="314" t="str">
        <f t="shared" ca="1" si="15"/>
        <v/>
      </c>
      <c r="V115" s="314" t="str">
        <f t="shared" ca="1" si="15"/>
        <v/>
      </c>
      <c r="W115" s="314" t="str">
        <f t="shared" ca="1" si="15"/>
        <v/>
      </c>
      <c r="X115" s="314" t="str">
        <f t="shared" ca="1" si="15"/>
        <v/>
      </c>
      <c r="Y115" s="314" t="str">
        <f t="shared" ca="1" si="15"/>
        <v/>
      </c>
      <c r="Z115" s="314" t="str">
        <f t="shared" ca="1" si="15"/>
        <v/>
      </c>
      <c r="AA115" s="314" t="str">
        <f t="shared" ca="1" si="15"/>
        <v/>
      </c>
      <c r="AB115" s="314" t="str">
        <f t="shared" ca="1" si="15"/>
        <v/>
      </c>
      <c r="AC115" s="314" t="str">
        <f t="shared" ca="1" si="15"/>
        <v/>
      </c>
      <c r="AD115" s="314" t="str">
        <f t="shared" ca="1" si="15"/>
        <v/>
      </c>
      <c r="AE115" s="314" t="str">
        <f t="shared" ca="1" si="15"/>
        <v/>
      </c>
      <c r="AF115" s="314" t="str">
        <f t="shared" ca="1" si="15"/>
        <v/>
      </c>
      <c r="AG115" s="314" t="str">
        <f t="shared" ca="1" si="15"/>
        <v/>
      </c>
      <c r="AH115" s="314" t="str">
        <f t="shared" ca="1" si="15"/>
        <v/>
      </c>
      <c r="AI115" s="314" t="str">
        <f t="shared" ca="1" si="15"/>
        <v/>
      </c>
      <c r="AK115" s="301"/>
    </row>
    <row r="116" spans="1:37" ht="5.0999999999999996" customHeight="1" thickBot="1" x14ac:dyDescent="0.3">
      <c r="B116" s="283"/>
      <c r="D116" s="283"/>
      <c r="E116" s="283"/>
      <c r="F116" s="283"/>
      <c r="G116" s="283"/>
      <c r="H116" s="283"/>
      <c r="I116" s="283"/>
      <c r="J116" s="283"/>
      <c r="K116" s="283"/>
      <c r="L116" s="310"/>
      <c r="M116" s="310"/>
      <c r="N116" s="279"/>
      <c r="O116" s="279"/>
      <c r="P116" s="279"/>
      <c r="Q116" s="279"/>
      <c r="R116" s="310"/>
      <c r="S116" s="310"/>
      <c r="T116" s="310"/>
      <c r="U116" s="279"/>
      <c r="V116" s="280"/>
      <c r="X116" s="279"/>
      <c r="Z116" s="279"/>
      <c r="AB116" s="279"/>
      <c r="AC116" s="279"/>
      <c r="AD116" s="279"/>
      <c r="AE116" s="279"/>
      <c r="AF116" s="279"/>
      <c r="AG116" s="279"/>
      <c r="AH116" s="279"/>
      <c r="AI116" s="279"/>
    </row>
    <row r="117" spans="1:37" s="511" customFormat="1" ht="17.25" x14ac:dyDescent="0.3">
      <c r="A117" s="515" t="s">
        <v>198</v>
      </c>
      <c r="B117" s="529"/>
      <c r="C117" s="517"/>
      <c r="D117" s="529"/>
      <c r="E117" s="529"/>
      <c r="F117" s="529"/>
      <c r="G117" s="529"/>
      <c r="H117" s="529"/>
      <c r="I117" s="529"/>
      <c r="J117" s="529"/>
      <c r="K117" s="529"/>
      <c r="L117" s="522"/>
      <c r="M117" s="522"/>
      <c r="N117" s="519"/>
      <c r="O117" s="519"/>
      <c r="P117" s="519"/>
      <c r="Q117" s="519"/>
      <c r="R117" s="522"/>
      <c r="S117" s="522"/>
      <c r="T117" s="522"/>
      <c r="U117" s="519"/>
      <c r="V117" s="520"/>
      <c r="W117" s="519"/>
      <c r="X117" s="519"/>
      <c r="Y117" s="519"/>
      <c r="Z117" s="519"/>
      <c r="AA117" s="519"/>
      <c r="AB117" s="519"/>
      <c r="AC117" s="519"/>
      <c r="AD117" s="519"/>
      <c r="AE117" s="519"/>
      <c r="AF117" s="519"/>
      <c r="AG117" s="519"/>
      <c r="AH117" s="519"/>
      <c r="AI117" s="523"/>
    </row>
    <row r="118" spans="1:37" x14ac:dyDescent="0.25">
      <c r="A118" s="273"/>
      <c r="B118" s="460" t="s">
        <v>305</v>
      </c>
      <c r="D118" s="281"/>
      <c r="E118" s="281"/>
      <c r="F118" s="281"/>
      <c r="G118" s="281"/>
      <c r="H118" s="281"/>
      <c r="I118" s="281"/>
      <c r="J118" s="281"/>
      <c r="K118" s="281"/>
      <c r="L118" s="310">
        <f>COUNTIFS(Tbl_ResidentData[Exclusion Flag],0,Tbl_ResidentData[M1],TRUE,Tbl_ResidentData[Over1],1,Tbl_ResidentData[Cohort],"Original")</f>
        <v>0</v>
      </c>
      <c r="M118" s="310">
        <f>COUNTIFS(Tbl_ResidentData[Exclusion Flag],0,Tbl_ResidentData[M2],TRUE,Tbl_ResidentData[Over2],1,Tbl_ResidentData[Cohort],"Original")</f>
        <v>0</v>
      </c>
      <c r="N118" s="310">
        <f>COUNTIFS(Tbl_ResidentData[Exclusion Flag],0,Tbl_ResidentData[M3],TRUE,Tbl_ResidentData[Over3],1,Tbl_ResidentData[Cohort],"Original")</f>
        <v>0</v>
      </c>
      <c r="O118" s="310">
        <f>COUNTIFS(Tbl_ResidentData[Exclusion Flag],0,Tbl_ResidentData[M4],TRUE,Tbl_ResidentData[Over4],1,Tbl_ResidentData[Cohort],"Original")</f>
        <v>0</v>
      </c>
      <c r="P118" s="310">
        <f>COUNTIFS(Tbl_ResidentData[Exclusion Flag],0,Tbl_ResidentData[M5],TRUE,Tbl_ResidentData[Over5],1,Tbl_ResidentData[Cohort],"Original")</f>
        <v>0</v>
      </c>
      <c r="Q118" s="310">
        <f>COUNTIFS(Tbl_ResidentData[Exclusion Flag],0,Tbl_ResidentData[M6],TRUE,Tbl_ResidentData[Over6],1,Tbl_ResidentData[Cohort],"Original")</f>
        <v>0</v>
      </c>
      <c r="R118" s="310">
        <f>COUNTIFS(Tbl_ResidentData[Exclusion Flag],0,Tbl_ResidentData[M7],TRUE,Tbl_ResidentData[Over7],1,Tbl_ResidentData[Cohort],"Original")</f>
        <v>0</v>
      </c>
      <c r="S118" s="310">
        <f>COUNTIFS(Tbl_ResidentData[Exclusion Flag],0,Tbl_ResidentData[M8],TRUE,Tbl_ResidentData[Over8],1,Tbl_ResidentData[Cohort],"Original")</f>
        <v>0</v>
      </c>
      <c r="T118" s="310">
        <f>COUNTIFS(Tbl_ResidentData[Exclusion Flag],0,Tbl_ResidentData[M9],TRUE,Tbl_ResidentData[Over9],1,Tbl_ResidentData[Cohort],"Original")</f>
        <v>0</v>
      </c>
      <c r="U118" s="310">
        <f>COUNTIFS(Tbl_ResidentData[Exclusion Flag],0,Tbl_ResidentData[M10],TRUE,Tbl_ResidentData[Over10],1,Tbl_ResidentData[Cohort],"Original")</f>
        <v>0</v>
      </c>
      <c r="V118" s="310">
        <f>COUNTIFS(Tbl_ResidentData[Exclusion Flag],0,Tbl_ResidentData[M11],TRUE,Tbl_ResidentData[Over11],1,Tbl_ResidentData[Cohort],"Original")</f>
        <v>0</v>
      </c>
      <c r="W118" s="310">
        <f>COUNTIFS(Tbl_ResidentData[Exclusion Flag],0,Tbl_ResidentData[M12],TRUE,Tbl_ResidentData[Over12],1,Tbl_ResidentData[Cohort],"Original")</f>
        <v>0</v>
      </c>
      <c r="X118" s="310">
        <f>COUNTIFS(Tbl_ResidentData[Exclusion Flag],0,Tbl_ResidentData[M13],TRUE,Tbl_ResidentData[Over13],1,Tbl_ResidentData[Cohort],"Original")</f>
        <v>0</v>
      </c>
      <c r="Y118" s="310">
        <f>COUNTIFS(Tbl_ResidentData[Exclusion Flag],0,Tbl_ResidentData[M14],TRUE,Tbl_ResidentData[Over14],1,Tbl_ResidentData[Cohort],"Original")</f>
        <v>0</v>
      </c>
      <c r="Z118" s="310">
        <f>COUNTIFS(Tbl_ResidentData[Exclusion Flag],0,Tbl_ResidentData[M15],TRUE,Tbl_ResidentData[Over15],1,Tbl_ResidentData[Cohort],"Original")</f>
        <v>0</v>
      </c>
      <c r="AA118" s="310">
        <f>COUNTIFS(Tbl_ResidentData[Exclusion Flag],0,Tbl_ResidentData[M16],TRUE,Tbl_ResidentData[Over16],1,Tbl_ResidentData[Cohort],"Original")</f>
        <v>0</v>
      </c>
      <c r="AB118" s="310">
        <f>COUNTIFS(Tbl_ResidentData[Exclusion Flag],0,Tbl_ResidentData[M17],TRUE,Tbl_ResidentData[Over17],1,Tbl_ResidentData[Cohort],"Original")</f>
        <v>0</v>
      </c>
      <c r="AC118" s="310">
        <f>COUNTIFS(Tbl_ResidentData[Exclusion Flag],0,Tbl_ResidentData[M18],TRUE,Tbl_ResidentData[Over18],1,Tbl_ResidentData[Cohort],"Original")</f>
        <v>0</v>
      </c>
      <c r="AD118" s="310">
        <f>COUNTIFS(Tbl_ResidentData[Exclusion Flag],0,Tbl_ResidentData[M19],TRUE,Tbl_ResidentData[Over19],1,Tbl_ResidentData[Cohort],"Original")</f>
        <v>0</v>
      </c>
      <c r="AE118" s="310">
        <f>COUNTIFS(Tbl_ResidentData[Exclusion Flag],0,Tbl_ResidentData[M20],TRUE,Tbl_ResidentData[Over20],1,Tbl_ResidentData[Cohort],"Original")</f>
        <v>0</v>
      </c>
      <c r="AF118" s="310">
        <f>COUNTIFS(Tbl_ResidentData[Exclusion Flag],0,Tbl_ResidentData[M21],TRUE,Tbl_ResidentData[Over21],1,Tbl_ResidentData[Cohort],"Original")</f>
        <v>0</v>
      </c>
      <c r="AG118" s="310">
        <f>COUNTIFS(Tbl_ResidentData[Exclusion Flag],0,Tbl_ResidentData[M22],TRUE,Tbl_ResidentData[Over22],1,Tbl_ResidentData[Cohort],"Original")</f>
        <v>0</v>
      </c>
      <c r="AH118" s="310">
        <f>COUNTIFS(Tbl_ResidentData[Exclusion Flag],0,Tbl_ResidentData[M23],TRUE,Tbl_ResidentData[Over23],1,Tbl_ResidentData[Cohort],"Original")</f>
        <v>0</v>
      </c>
      <c r="AI118" s="311">
        <f>COUNTIFS(Tbl_ResidentData[Exclusion Flag],0,Tbl_ResidentData[M24],TRUE,Tbl_ResidentData[Over24],1,Tbl_ResidentData[Cohort],"Original")</f>
        <v>0</v>
      </c>
    </row>
    <row r="119" spans="1:37" hidden="1" x14ac:dyDescent="0.25">
      <c r="A119" s="273"/>
      <c r="B119" s="460" t="s">
        <v>239</v>
      </c>
      <c r="D119" s="281"/>
      <c r="E119" s="281"/>
      <c r="F119" s="281"/>
      <c r="G119" s="281"/>
      <c r="H119" s="281"/>
      <c r="I119" s="281"/>
      <c r="J119" s="281"/>
      <c r="K119" s="281"/>
      <c r="L119" s="310">
        <f>COUNTIFS(Tbl_ResidentData[Exclusion Flag],0,Tbl_ResidentData[M1],TRUE,Tbl_ResidentData[S1],TRUE,Tbl_ResidentData[Cohort],"Original")</f>
        <v>0</v>
      </c>
      <c r="M119" s="310">
        <f>COUNTIFS(Tbl_ResidentData[Exclusion Flag],0,Tbl_ResidentData[M2],TRUE,Tbl_ResidentData[S2],TRUE,Tbl_ResidentData[Cohort],"Original")</f>
        <v>0</v>
      </c>
      <c r="N119" s="310">
        <f>COUNTIFS(Tbl_ResidentData[Exclusion Flag],0,Tbl_ResidentData[M3],TRUE,Tbl_ResidentData[S3],TRUE,Tbl_ResidentData[Cohort],"Original")</f>
        <v>0</v>
      </c>
      <c r="O119" s="310">
        <f>COUNTIFS(Tbl_ResidentData[Exclusion Flag],0,Tbl_ResidentData[M4],TRUE,Tbl_ResidentData[S4],TRUE,Tbl_ResidentData[Cohort],"Original")</f>
        <v>0</v>
      </c>
      <c r="P119" s="310">
        <f>COUNTIFS(Tbl_ResidentData[Exclusion Flag],0,Tbl_ResidentData[M5],TRUE,Tbl_ResidentData[S5],TRUE,Tbl_ResidentData[Cohort],"Original")</f>
        <v>0</v>
      </c>
      <c r="Q119" s="310">
        <f>COUNTIFS(Tbl_ResidentData[Exclusion Flag],0,Tbl_ResidentData[M6],TRUE,Tbl_ResidentData[S6],TRUE,Tbl_ResidentData[Cohort],"Original")</f>
        <v>0</v>
      </c>
      <c r="R119" s="310">
        <f>COUNTIFS(Tbl_ResidentData[Exclusion Flag],0,Tbl_ResidentData[M7],TRUE,Tbl_ResidentData[S7],TRUE,Tbl_ResidentData[Cohort],"Original")</f>
        <v>0</v>
      </c>
      <c r="S119" s="310">
        <f>COUNTIFS(Tbl_ResidentData[Exclusion Flag],0,Tbl_ResidentData[M8],TRUE,Tbl_ResidentData[S8],TRUE,Tbl_ResidentData[Cohort],"Original")</f>
        <v>0</v>
      </c>
      <c r="T119" s="310">
        <f>COUNTIFS(Tbl_ResidentData[Exclusion Flag],0,Tbl_ResidentData[M9],TRUE,Tbl_ResidentData[S9],TRUE,Tbl_ResidentData[Cohort],"Original")</f>
        <v>0</v>
      </c>
      <c r="U119" s="310">
        <f>COUNTIFS(Tbl_ResidentData[Exclusion Flag],0,Tbl_ResidentData[M10],TRUE,Tbl_ResidentData[S10],TRUE,Tbl_ResidentData[Cohort],"Original")</f>
        <v>0</v>
      </c>
      <c r="V119" s="310">
        <f>COUNTIFS(Tbl_ResidentData[Exclusion Flag],0,Tbl_ResidentData[M11],TRUE,Tbl_ResidentData[S11],TRUE,Tbl_ResidentData[Cohort],"Original")</f>
        <v>0</v>
      </c>
      <c r="W119" s="310">
        <f>COUNTIFS(Tbl_ResidentData[Exclusion Flag],0,Tbl_ResidentData[M12],TRUE,Tbl_ResidentData[S12],TRUE,Tbl_ResidentData[Cohort],"Original")</f>
        <v>0</v>
      </c>
      <c r="X119" s="310">
        <f>COUNTIFS(Tbl_ResidentData[Exclusion Flag],0,Tbl_ResidentData[M13],TRUE,Tbl_ResidentData[S13],TRUE,Tbl_ResidentData[Cohort],"Original")</f>
        <v>0</v>
      </c>
      <c r="Y119" s="310">
        <f>COUNTIFS(Tbl_ResidentData[Exclusion Flag],0,Tbl_ResidentData[M14],TRUE,Tbl_ResidentData[S14],TRUE,Tbl_ResidentData[Cohort],"Original")</f>
        <v>0</v>
      </c>
      <c r="Z119" s="310">
        <f>COUNTIFS(Tbl_ResidentData[Exclusion Flag],0,Tbl_ResidentData[M15],TRUE,Tbl_ResidentData[S15],TRUE,Tbl_ResidentData[Cohort],"Original")</f>
        <v>0</v>
      </c>
      <c r="AA119" s="310">
        <f>COUNTIFS(Tbl_ResidentData[Exclusion Flag],0,Tbl_ResidentData[M16],TRUE,Tbl_ResidentData[S16],TRUE,Tbl_ResidentData[Cohort],"Original")</f>
        <v>0</v>
      </c>
      <c r="AB119" s="310">
        <f>COUNTIFS(Tbl_ResidentData[Exclusion Flag],0,Tbl_ResidentData[M17],TRUE,Tbl_ResidentData[S17],TRUE,Tbl_ResidentData[Cohort],"Original")</f>
        <v>0</v>
      </c>
      <c r="AC119" s="310">
        <f>COUNTIFS(Tbl_ResidentData[Exclusion Flag],0,Tbl_ResidentData[M18],TRUE,Tbl_ResidentData[S18],TRUE,Tbl_ResidentData[Cohort],"Original")</f>
        <v>0</v>
      </c>
      <c r="AD119" s="310">
        <f>COUNTIFS(Tbl_ResidentData[Exclusion Flag],0,Tbl_ResidentData[M19],TRUE,Tbl_ResidentData[S19],TRUE,Tbl_ResidentData[Cohort],"Original")</f>
        <v>0</v>
      </c>
      <c r="AE119" s="310">
        <f>COUNTIFS(Tbl_ResidentData[Exclusion Flag],0,Tbl_ResidentData[M20],TRUE,Tbl_ResidentData[S20],TRUE,Tbl_ResidentData[Cohort],"Original")</f>
        <v>0</v>
      </c>
      <c r="AF119" s="310">
        <f>COUNTIFS(Tbl_ResidentData[Exclusion Flag],0,Tbl_ResidentData[M21],TRUE,Tbl_ResidentData[S21],TRUE,Tbl_ResidentData[Cohort],"Original")</f>
        <v>0</v>
      </c>
      <c r="AG119" s="310">
        <f>COUNTIFS(Tbl_ResidentData[Exclusion Flag],0,Tbl_ResidentData[M22],TRUE,Tbl_ResidentData[S22],TRUE,Tbl_ResidentData[Cohort],"Original")</f>
        <v>0</v>
      </c>
      <c r="AH119" s="310">
        <f>COUNTIFS(Tbl_ResidentData[Exclusion Flag],0,Tbl_ResidentData[M23],TRUE,Tbl_ResidentData[S23],TRUE,Tbl_ResidentData[Cohort],"Original")</f>
        <v>0</v>
      </c>
      <c r="AI119" s="311">
        <f>COUNTIFS(Tbl_ResidentData[Exclusion Flag],0,Tbl_ResidentData[M24],TRUE,Tbl_ResidentData[S24],TRUE,Tbl_ResidentData[Cohort],"Original")</f>
        <v>0</v>
      </c>
    </row>
    <row r="120" spans="1:37" hidden="1" x14ac:dyDescent="0.25">
      <c r="A120" s="273"/>
      <c r="B120" s="460" t="s">
        <v>240</v>
      </c>
      <c r="D120" s="281"/>
      <c r="E120" s="281"/>
      <c r="F120" s="281"/>
      <c r="G120" s="281"/>
      <c r="H120" s="281"/>
      <c r="I120" s="281"/>
      <c r="J120" s="281"/>
      <c r="K120" s="281"/>
      <c r="L120" s="310">
        <f>COUNTIFS(Tbl_ResidentData[Exclusion Flag],0,Tbl_ResidentData[M1],TRUE,Tbl_ResidentData[P1],TRUE,Tbl_ResidentData[Cohort],"Original")</f>
        <v>0</v>
      </c>
      <c r="M120" s="310">
        <f>COUNTIFS(Tbl_ResidentData[Exclusion Flag],0,Tbl_ResidentData[M2],TRUE,Tbl_ResidentData[P2],TRUE,Tbl_ResidentData[Cohort],"Original")</f>
        <v>0</v>
      </c>
      <c r="N120" s="310">
        <f>COUNTIFS(Tbl_ResidentData[Exclusion Flag],0,Tbl_ResidentData[M3],TRUE,Tbl_ResidentData[P3],TRUE,Tbl_ResidentData[Cohort],"Original")</f>
        <v>0</v>
      </c>
      <c r="O120" s="310">
        <f>COUNTIFS(Tbl_ResidentData[Exclusion Flag],0,Tbl_ResidentData[M4],TRUE,Tbl_ResidentData[P4],TRUE,Tbl_ResidentData[Cohort],"Original")</f>
        <v>0</v>
      </c>
      <c r="P120" s="310">
        <f>COUNTIFS(Tbl_ResidentData[Exclusion Flag],0,Tbl_ResidentData[M5],TRUE,Tbl_ResidentData[P5],TRUE,Tbl_ResidentData[Cohort],"Original")</f>
        <v>0</v>
      </c>
      <c r="Q120" s="310">
        <f>COUNTIFS(Tbl_ResidentData[Exclusion Flag],0,Tbl_ResidentData[M6],TRUE,Tbl_ResidentData[P6],TRUE,Tbl_ResidentData[Cohort],"Original")</f>
        <v>0</v>
      </c>
      <c r="R120" s="310">
        <f>COUNTIFS(Tbl_ResidentData[Exclusion Flag],0,Tbl_ResidentData[M7],TRUE,Tbl_ResidentData[P7],TRUE,Tbl_ResidentData[Cohort],"Original")</f>
        <v>0</v>
      </c>
      <c r="S120" s="310">
        <f>COUNTIFS(Tbl_ResidentData[Exclusion Flag],0,Tbl_ResidentData[M8],TRUE,Tbl_ResidentData[P8],TRUE,Tbl_ResidentData[Cohort],"Original")</f>
        <v>0</v>
      </c>
      <c r="T120" s="310">
        <f>COUNTIFS(Tbl_ResidentData[Exclusion Flag],0,Tbl_ResidentData[M9],TRUE,Tbl_ResidentData[P9],TRUE,Tbl_ResidentData[Cohort],"Original")</f>
        <v>0</v>
      </c>
      <c r="U120" s="310">
        <f>COUNTIFS(Tbl_ResidentData[Exclusion Flag],0,Tbl_ResidentData[M10],TRUE,Tbl_ResidentData[P10],TRUE,Tbl_ResidentData[Cohort],"Original")</f>
        <v>0</v>
      </c>
      <c r="V120" s="310">
        <f>COUNTIFS(Tbl_ResidentData[Exclusion Flag],0,Tbl_ResidentData[M11],TRUE,Tbl_ResidentData[P11],TRUE,Tbl_ResidentData[Cohort],"Original")</f>
        <v>0</v>
      </c>
      <c r="W120" s="310">
        <f>COUNTIFS(Tbl_ResidentData[Exclusion Flag],0,Tbl_ResidentData[M12],TRUE,Tbl_ResidentData[P12],TRUE,Tbl_ResidentData[Cohort],"Original")</f>
        <v>0</v>
      </c>
      <c r="X120" s="310">
        <f>COUNTIFS(Tbl_ResidentData[Exclusion Flag],0,Tbl_ResidentData[M13],TRUE,Tbl_ResidentData[P13],TRUE,Tbl_ResidentData[Cohort],"Original")</f>
        <v>0</v>
      </c>
      <c r="Y120" s="310">
        <f>COUNTIFS(Tbl_ResidentData[Exclusion Flag],0,Tbl_ResidentData[M14],TRUE,Tbl_ResidentData[P14],TRUE,Tbl_ResidentData[Cohort],"Original")</f>
        <v>0</v>
      </c>
      <c r="Z120" s="310">
        <f>COUNTIFS(Tbl_ResidentData[Exclusion Flag],0,Tbl_ResidentData[M15],TRUE,Tbl_ResidentData[P15],TRUE,Tbl_ResidentData[Cohort],"Original")</f>
        <v>0</v>
      </c>
      <c r="AA120" s="310">
        <f>COUNTIFS(Tbl_ResidentData[Exclusion Flag],0,Tbl_ResidentData[M16],TRUE,Tbl_ResidentData[P16],TRUE,Tbl_ResidentData[Cohort],"Original")</f>
        <v>0</v>
      </c>
      <c r="AB120" s="310">
        <f>COUNTIFS(Tbl_ResidentData[Exclusion Flag],0,Tbl_ResidentData[M17],TRUE,Tbl_ResidentData[P17],TRUE,Tbl_ResidentData[Cohort],"Original")</f>
        <v>0</v>
      </c>
      <c r="AC120" s="310">
        <f>COUNTIFS(Tbl_ResidentData[Exclusion Flag],0,Tbl_ResidentData[M18],TRUE,Tbl_ResidentData[P18],TRUE,Tbl_ResidentData[Cohort],"Original")</f>
        <v>0</v>
      </c>
      <c r="AD120" s="310">
        <f>COUNTIFS(Tbl_ResidentData[Exclusion Flag],0,Tbl_ResidentData[M19],TRUE,Tbl_ResidentData[P19],TRUE,Tbl_ResidentData[Cohort],"Original")</f>
        <v>0</v>
      </c>
      <c r="AE120" s="310">
        <f>COUNTIFS(Tbl_ResidentData[Exclusion Flag],0,Tbl_ResidentData[M20],TRUE,Tbl_ResidentData[P20],TRUE,Tbl_ResidentData[Cohort],"Original")</f>
        <v>0</v>
      </c>
      <c r="AF120" s="310">
        <f>COUNTIFS(Tbl_ResidentData[Exclusion Flag],0,Tbl_ResidentData[M21],TRUE,Tbl_ResidentData[P21],TRUE,Tbl_ResidentData[Cohort],"Original")</f>
        <v>0</v>
      </c>
      <c r="AG120" s="310">
        <f>COUNTIFS(Tbl_ResidentData[Exclusion Flag],0,Tbl_ResidentData[M22],TRUE,Tbl_ResidentData[P22],TRUE,Tbl_ResidentData[Cohort],"Original")</f>
        <v>0</v>
      </c>
      <c r="AH120" s="310">
        <f>COUNTIFS(Tbl_ResidentData[Exclusion Flag],0,Tbl_ResidentData[M23],TRUE,Tbl_ResidentData[P23],TRUE,Tbl_ResidentData[Cohort],"Original")</f>
        <v>0</v>
      </c>
      <c r="AI120" s="311">
        <f>COUNTIFS(Tbl_ResidentData[Exclusion Flag],0,Tbl_ResidentData[M24],TRUE,Tbl_ResidentData[P24],TRUE,Tbl_ResidentData[Cohort],"Original")</f>
        <v>0</v>
      </c>
    </row>
    <row r="121" spans="1:37" ht="15.75" thickBot="1" x14ac:dyDescent="0.3">
      <c r="A121" s="276"/>
      <c r="B121" s="461" t="s">
        <v>304</v>
      </c>
      <c r="C121" s="414"/>
      <c r="D121" s="282"/>
      <c r="E121" s="282"/>
      <c r="F121" s="282"/>
      <c r="G121" s="282"/>
      <c r="H121" s="282"/>
      <c r="I121" s="282"/>
      <c r="J121" s="282"/>
      <c r="K121" s="282"/>
      <c r="L121" s="312" t="str">
        <f t="shared" ref="L121:AI121" si="16">IFERROR(L$118/L$108,"-")</f>
        <v>-</v>
      </c>
      <c r="M121" s="312" t="str">
        <f t="shared" si="16"/>
        <v>-</v>
      </c>
      <c r="N121" s="312" t="str">
        <f t="shared" si="16"/>
        <v>-</v>
      </c>
      <c r="O121" s="312" t="str">
        <f t="shared" si="16"/>
        <v>-</v>
      </c>
      <c r="P121" s="312" t="str">
        <f t="shared" si="16"/>
        <v>-</v>
      </c>
      <c r="Q121" s="312" t="str">
        <f t="shared" si="16"/>
        <v>-</v>
      </c>
      <c r="R121" s="312" t="str">
        <f t="shared" si="16"/>
        <v>-</v>
      </c>
      <c r="S121" s="312" t="str">
        <f t="shared" si="16"/>
        <v>-</v>
      </c>
      <c r="T121" s="312" t="str">
        <f t="shared" si="16"/>
        <v>-</v>
      </c>
      <c r="U121" s="312" t="str">
        <f t="shared" si="16"/>
        <v>-</v>
      </c>
      <c r="V121" s="312" t="str">
        <f t="shared" si="16"/>
        <v>-</v>
      </c>
      <c r="W121" s="312" t="str">
        <f t="shared" si="16"/>
        <v>-</v>
      </c>
      <c r="X121" s="312" t="str">
        <f t="shared" si="16"/>
        <v>-</v>
      </c>
      <c r="Y121" s="312" t="str">
        <f t="shared" si="16"/>
        <v>-</v>
      </c>
      <c r="Z121" s="312" t="str">
        <f t="shared" si="16"/>
        <v>-</v>
      </c>
      <c r="AA121" s="312" t="str">
        <f t="shared" si="16"/>
        <v>-</v>
      </c>
      <c r="AB121" s="312" t="str">
        <f t="shared" si="16"/>
        <v>-</v>
      </c>
      <c r="AC121" s="312" t="str">
        <f t="shared" si="16"/>
        <v>-</v>
      </c>
      <c r="AD121" s="312" t="str">
        <f t="shared" si="16"/>
        <v>-</v>
      </c>
      <c r="AE121" s="312" t="str">
        <f t="shared" si="16"/>
        <v>-</v>
      </c>
      <c r="AF121" s="312" t="str">
        <f t="shared" si="16"/>
        <v>-</v>
      </c>
      <c r="AG121" s="312" t="str">
        <f t="shared" si="16"/>
        <v>-</v>
      </c>
      <c r="AH121" s="312" t="str">
        <f t="shared" si="16"/>
        <v>-</v>
      </c>
      <c r="AI121" s="313" t="str">
        <f t="shared" si="16"/>
        <v>-</v>
      </c>
    </row>
    <row r="122" spans="1:37" hidden="1" x14ac:dyDescent="0.25">
      <c r="A122" s="273"/>
      <c r="B122" s="460" t="s">
        <v>241</v>
      </c>
      <c r="C122" s="281"/>
      <c r="D122" s="281"/>
      <c r="E122" s="281"/>
      <c r="F122" s="281"/>
      <c r="G122" s="281"/>
      <c r="H122" s="281"/>
      <c r="I122" s="281"/>
      <c r="J122" s="281"/>
      <c r="K122" s="281"/>
      <c r="L122" s="314" t="str">
        <f t="shared" ref="L122:AI122" si="17">IFERROR(L$119/L$108,"-")</f>
        <v>-</v>
      </c>
      <c r="M122" s="314" t="str">
        <f t="shared" si="17"/>
        <v>-</v>
      </c>
      <c r="N122" s="314" t="str">
        <f t="shared" si="17"/>
        <v>-</v>
      </c>
      <c r="O122" s="314" t="str">
        <f t="shared" si="17"/>
        <v>-</v>
      </c>
      <c r="P122" s="314" t="str">
        <f t="shared" si="17"/>
        <v>-</v>
      </c>
      <c r="Q122" s="314" t="str">
        <f t="shared" si="17"/>
        <v>-</v>
      </c>
      <c r="R122" s="314" t="str">
        <f t="shared" si="17"/>
        <v>-</v>
      </c>
      <c r="S122" s="314" t="str">
        <f t="shared" si="17"/>
        <v>-</v>
      </c>
      <c r="T122" s="314" t="str">
        <f t="shared" si="17"/>
        <v>-</v>
      </c>
      <c r="U122" s="314" t="str">
        <f t="shared" si="17"/>
        <v>-</v>
      </c>
      <c r="V122" s="314" t="str">
        <f t="shared" si="17"/>
        <v>-</v>
      </c>
      <c r="W122" s="314" t="str">
        <f t="shared" si="17"/>
        <v>-</v>
      </c>
      <c r="X122" s="314" t="str">
        <f t="shared" si="17"/>
        <v>-</v>
      </c>
      <c r="Y122" s="314" t="str">
        <f t="shared" si="17"/>
        <v>-</v>
      </c>
      <c r="Z122" s="314" t="str">
        <f t="shared" si="17"/>
        <v>-</v>
      </c>
      <c r="AA122" s="314" t="str">
        <f t="shared" si="17"/>
        <v>-</v>
      </c>
      <c r="AB122" s="314" t="str">
        <f t="shared" si="17"/>
        <v>-</v>
      </c>
      <c r="AC122" s="314" t="str">
        <f t="shared" si="17"/>
        <v>-</v>
      </c>
      <c r="AD122" s="314" t="str">
        <f t="shared" si="17"/>
        <v>-</v>
      </c>
      <c r="AE122" s="314" t="str">
        <f t="shared" si="17"/>
        <v>-</v>
      </c>
      <c r="AF122" s="314" t="str">
        <f t="shared" si="17"/>
        <v>-</v>
      </c>
      <c r="AG122" s="314" t="str">
        <f t="shared" si="17"/>
        <v>-</v>
      </c>
      <c r="AH122" s="314" t="str">
        <f t="shared" si="17"/>
        <v>-</v>
      </c>
      <c r="AI122" s="315" t="str">
        <f t="shared" si="17"/>
        <v>-</v>
      </c>
    </row>
    <row r="123" spans="1:37" ht="15.75" hidden="1" thickBot="1" x14ac:dyDescent="0.3">
      <c r="A123" s="276"/>
      <c r="B123" s="461" t="s">
        <v>242</v>
      </c>
      <c r="C123" s="282"/>
      <c r="D123" s="282"/>
      <c r="E123" s="282"/>
      <c r="F123" s="282"/>
      <c r="G123" s="282"/>
      <c r="H123" s="282"/>
      <c r="I123" s="282"/>
      <c r="J123" s="282"/>
      <c r="K123" s="282"/>
      <c r="L123" s="312" t="str">
        <f t="shared" ref="L123:AI123" si="18">IFERROR(L$120/L$108,"-")</f>
        <v>-</v>
      </c>
      <c r="M123" s="312" t="str">
        <f t="shared" si="18"/>
        <v>-</v>
      </c>
      <c r="N123" s="312" t="str">
        <f t="shared" si="18"/>
        <v>-</v>
      </c>
      <c r="O123" s="312" t="str">
        <f t="shared" si="18"/>
        <v>-</v>
      </c>
      <c r="P123" s="312" t="str">
        <f t="shared" si="18"/>
        <v>-</v>
      </c>
      <c r="Q123" s="312" t="str">
        <f t="shared" si="18"/>
        <v>-</v>
      </c>
      <c r="R123" s="312" t="str">
        <f t="shared" si="18"/>
        <v>-</v>
      </c>
      <c r="S123" s="312" t="str">
        <f t="shared" si="18"/>
        <v>-</v>
      </c>
      <c r="T123" s="312" t="str">
        <f t="shared" si="18"/>
        <v>-</v>
      </c>
      <c r="U123" s="312" t="str">
        <f t="shared" si="18"/>
        <v>-</v>
      </c>
      <c r="V123" s="312" t="str">
        <f t="shared" si="18"/>
        <v>-</v>
      </c>
      <c r="W123" s="312" t="str">
        <f t="shared" si="18"/>
        <v>-</v>
      </c>
      <c r="X123" s="312" t="str">
        <f t="shared" si="18"/>
        <v>-</v>
      </c>
      <c r="Y123" s="312" t="str">
        <f t="shared" si="18"/>
        <v>-</v>
      </c>
      <c r="Z123" s="312" t="str">
        <f t="shared" si="18"/>
        <v>-</v>
      </c>
      <c r="AA123" s="312" t="str">
        <f t="shared" si="18"/>
        <v>-</v>
      </c>
      <c r="AB123" s="312" t="str">
        <f t="shared" si="18"/>
        <v>-</v>
      </c>
      <c r="AC123" s="312" t="str">
        <f t="shared" si="18"/>
        <v>-</v>
      </c>
      <c r="AD123" s="312" t="str">
        <f t="shared" si="18"/>
        <v>-</v>
      </c>
      <c r="AE123" s="312" t="str">
        <f t="shared" si="18"/>
        <v>-</v>
      </c>
      <c r="AF123" s="312" t="str">
        <f t="shared" si="18"/>
        <v>-</v>
      </c>
      <c r="AG123" s="312" t="str">
        <f t="shared" si="18"/>
        <v>-</v>
      </c>
      <c r="AH123" s="312" t="str">
        <f t="shared" si="18"/>
        <v>-</v>
      </c>
      <c r="AI123" s="313" t="str">
        <f t="shared" si="18"/>
        <v>-</v>
      </c>
    </row>
    <row r="124" spans="1:37" hidden="1" x14ac:dyDescent="0.25">
      <c r="A124" s="301" t="e">
        <f>MEDIAN($L$121:$AI$121)</f>
        <v>#NUM!</v>
      </c>
      <c r="B124" s="460" t="s">
        <v>88</v>
      </c>
      <c r="C124" s="281"/>
      <c r="D124" s="281"/>
      <c r="E124" s="281"/>
      <c r="F124" s="281"/>
      <c r="G124" s="281"/>
      <c r="H124" s="281"/>
      <c r="I124" s="281"/>
      <c r="J124" s="281"/>
      <c r="K124" s="281"/>
      <c r="L124" s="314" t="str">
        <f>IFERROR($A$124,"")</f>
        <v/>
      </c>
      <c r="M124" s="314" t="str">
        <f t="shared" ref="M124:AI124" si="19">IFERROR($A$124,"")</f>
        <v/>
      </c>
      <c r="N124" s="314" t="str">
        <f t="shared" si="19"/>
        <v/>
      </c>
      <c r="O124" s="314" t="str">
        <f t="shared" si="19"/>
        <v/>
      </c>
      <c r="P124" s="314" t="str">
        <f t="shared" si="19"/>
        <v/>
      </c>
      <c r="Q124" s="314" t="str">
        <f t="shared" si="19"/>
        <v/>
      </c>
      <c r="R124" s="314" t="str">
        <f t="shared" si="19"/>
        <v/>
      </c>
      <c r="S124" s="314" t="str">
        <f t="shared" si="19"/>
        <v/>
      </c>
      <c r="T124" s="314" t="str">
        <f t="shared" si="19"/>
        <v/>
      </c>
      <c r="U124" s="314" t="str">
        <f t="shared" si="19"/>
        <v/>
      </c>
      <c r="V124" s="314" t="str">
        <f t="shared" si="19"/>
        <v/>
      </c>
      <c r="W124" s="314" t="str">
        <f t="shared" si="19"/>
        <v/>
      </c>
      <c r="X124" s="314" t="str">
        <f t="shared" si="19"/>
        <v/>
      </c>
      <c r="Y124" s="314" t="str">
        <f t="shared" si="19"/>
        <v/>
      </c>
      <c r="Z124" s="314" t="str">
        <f t="shared" si="19"/>
        <v/>
      </c>
      <c r="AA124" s="314" t="str">
        <f t="shared" si="19"/>
        <v/>
      </c>
      <c r="AB124" s="314" t="str">
        <f t="shared" si="19"/>
        <v/>
      </c>
      <c r="AC124" s="314" t="str">
        <f t="shared" si="19"/>
        <v/>
      </c>
      <c r="AD124" s="314" t="str">
        <f t="shared" si="19"/>
        <v/>
      </c>
      <c r="AE124" s="314" t="str">
        <f t="shared" si="19"/>
        <v/>
      </c>
      <c r="AF124" s="314" t="str">
        <f t="shared" si="19"/>
        <v/>
      </c>
      <c r="AG124" s="314" t="str">
        <f t="shared" si="19"/>
        <v/>
      </c>
      <c r="AH124" s="314" t="str">
        <f t="shared" si="19"/>
        <v/>
      </c>
      <c r="AI124" s="314" t="str">
        <f t="shared" si="19"/>
        <v/>
      </c>
    </row>
    <row r="125" spans="1:37" x14ac:dyDescent="0.25">
      <c r="A125" s="301"/>
      <c r="B125" s="460"/>
      <c r="C125" s="281"/>
      <c r="D125" s="281"/>
      <c r="E125" s="281"/>
      <c r="F125" s="281"/>
      <c r="G125" s="281"/>
      <c r="H125" s="281"/>
      <c r="I125" s="281"/>
      <c r="J125" s="281"/>
      <c r="K125" s="281"/>
      <c r="L125" s="314"/>
      <c r="M125" s="314"/>
      <c r="N125" s="314"/>
      <c r="O125" s="314"/>
      <c r="P125" s="314"/>
      <c r="Q125" s="314"/>
      <c r="R125" s="314"/>
      <c r="S125" s="314"/>
      <c r="T125" s="314"/>
      <c r="U125" s="314"/>
      <c r="V125" s="314"/>
      <c r="W125" s="314"/>
      <c r="X125" s="314"/>
      <c r="Y125" s="314"/>
      <c r="Z125" s="314"/>
      <c r="AA125" s="314"/>
      <c r="AB125" s="314"/>
      <c r="AC125" s="314"/>
      <c r="AD125" s="314"/>
      <c r="AE125" s="314"/>
      <c r="AF125" s="314"/>
      <c r="AG125" s="314"/>
      <c r="AH125" s="314"/>
      <c r="AI125" s="314"/>
    </row>
    <row r="126" spans="1:37" x14ac:dyDescent="0.25">
      <c r="A126" s="301"/>
      <c r="B126" s="460"/>
      <c r="C126" s="281"/>
      <c r="D126" s="281"/>
      <c r="E126" s="281"/>
      <c r="F126" s="281"/>
      <c r="G126" s="281"/>
      <c r="H126" s="281"/>
      <c r="I126" s="281"/>
      <c r="J126" s="281"/>
      <c r="K126" s="281"/>
      <c r="L126" s="314"/>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c r="AH126" s="314"/>
      <c r="AI126" s="314"/>
    </row>
    <row r="127" spans="1:37" x14ac:dyDescent="0.25">
      <c r="A127" s="331"/>
      <c r="B127" s="474"/>
      <c r="C127" s="331"/>
      <c r="D127" s="331"/>
      <c r="E127" s="331"/>
      <c r="F127" s="331"/>
      <c r="G127" s="331"/>
      <c r="H127" s="331"/>
      <c r="I127" s="331"/>
      <c r="J127" s="331"/>
      <c r="K127" s="331"/>
      <c r="L127" s="322">
        <f>YEAR(L128)</f>
        <v>2018</v>
      </c>
      <c r="M127" s="332" t="str">
        <f>IF(MONTH(M128)=12,"",IF(MONTH(M128)=1,YEAR(M128),""))</f>
        <v/>
      </c>
      <c r="N127" s="332" t="str">
        <f t="shared" ref="N127:AI127" si="20">IF(MONTH(N128)=12,"",IF(MONTH(N128)=1,YEAR(N128),""))</f>
        <v/>
      </c>
      <c r="O127" s="332" t="str">
        <f t="shared" si="20"/>
        <v/>
      </c>
      <c r="P127" s="322" t="str">
        <f t="shared" si="20"/>
        <v/>
      </c>
      <c r="Q127" s="332" t="str">
        <f t="shared" si="20"/>
        <v/>
      </c>
      <c r="R127" s="332" t="str">
        <f t="shared" si="20"/>
        <v/>
      </c>
      <c r="S127" s="332" t="str">
        <f t="shared" si="20"/>
        <v/>
      </c>
      <c r="T127" s="332" t="str">
        <f t="shared" si="20"/>
        <v/>
      </c>
      <c r="U127" s="332" t="str">
        <f t="shared" si="20"/>
        <v/>
      </c>
      <c r="V127" s="332" t="str">
        <f t="shared" si="20"/>
        <v/>
      </c>
      <c r="W127" s="332">
        <f t="shared" si="20"/>
        <v>2019</v>
      </c>
      <c r="X127" s="332" t="str">
        <f t="shared" si="20"/>
        <v/>
      </c>
      <c r="Y127" s="332" t="str">
        <f t="shared" si="20"/>
        <v/>
      </c>
      <c r="Z127" s="332" t="str">
        <f t="shared" si="20"/>
        <v/>
      </c>
      <c r="AA127" s="332" t="str">
        <f t="shared" si="20"/>
        <v/>
      </c>
      <c r="AB127" s="322" t="str">
        <f t="shared" si="20"/>
        <v/>
      </c>
      <c r="AC127" s="332" t="str">
        <f t="shared" si="20"/>
        <v/>
      </c>
      <c r="AD127" s="332" t="str">
        <f t="shared" si="20"/>
        <v/>
      </c>
      <c r="AE127" s="332" t="str">
        <f t="shared" si="20"/>
        <v/>
      </c>
      <c r="AF127" s="332" t="str">
        <f t="shared" si="20"/>
        <v/>
      </c>
      <c r="AG127" s="332" t="str">
        <f t="shared" si="20"/>
        <v/>
      </c>
      <c r="AH127" s="332" t="str">
        <f t="shared" si="20"/>
        <v/>
      </c>
      <c r="AI127" s="332">
        <f t="shared" si="20"/>
        <v>2020</v>
      </c>
    </row>
    <row r="128" spans="1:37" s="272" customFormat="1" ht="19.5" thickBot="1" x14ac:dyDescent="0.35">
      <c r="A128" s="323" t="s">
        <v>248</v>
      </c>
      <c r="B128" s="475"/>
      <c r="C128" s="333"/>
      <c r="D128" s="333"/>
      <c r="E128" s="333"/>
      <c r="F128" s="333"/>
      <c r="G128" s="333"/>
      <c r="H128" s="333"/>
      <c r="I128" s="333"/>
      <c r="J128" s="333"/>
      <c r="K128" s="333"/>
      <c r="L128" s="324">
        <f>VLOOKUP(L$6,ListLookup!$J$2:$L$27,2,0)</f>
        <v>43132</v>
      </c>
      <c r="M128" s="324">
        <f>VLOOKUP(M$6,ListLookup!$J$2:$L$27,2,0)</f>
        <v>43160</v>
      </c>
      <c r="N128" s="324">
        <f>VLOOKUP(N$6,ListLookup!$J$2:$L$27,2,0)</f>
        <v>43191</v>
      </c>
      <c r="O128" s="324">
        <f>VLOOKUP(O$6,ListLookup!$J$2:$L$27,2,0)</f>
        <v>43221</v>
      </c>
      <c r="P128" s="324">
        <f>VLOOKUP(P$6,ListLookup!$J$2:$L$27,2,0)</f>
        <v>43252</v>
      </c>
      <c r="Q128" s="324">
        <f>VLOOKUP(Q$6,ListLookup!$J$2:$L$27,2,0)</f>
        <v>43282</v>
      </c>
      <c r="R128" s="324">
        <f>VLOOKUP(R$6,ListLookup!$J$2:$L$27,2,0)</f>
        <v>43313</v>
      </c>
      <c r="S128" s="324">
        <f>VLOOKUP(S$6,ListLookup!$J$2:$L$27,2,0)</f>
        <v>43344</v>
      </c>
      <c r="T128" s="324">
        <f>VLOOKUP(T$6,ListLookup!$J$2:$L$27,2,0)</f>
        <v>43374</v>
      </c>
      <c r="U128" s="324">
        <f>VLOOKUP(U$6,ListLookup!$J$2:$L$27,2,0)</f>
        <v>43405</v>
      </c>
      <c r="V128" s="324">
        <f>VLOOKUP(V$6,ListLookup!$J$2:$L$27,2,0)</f>
        <v>43435</v>
      </c>
      <c r="W128" s="324">
        <f>VLOOKUP(W$6,ListLookup!$J$2:$L$27,2,0)</f>
        <v>43466</v>
      </c>
      <c r="X128" s="324">
        <f>VLOOKUP(X$6,ListLookup!$J$2:$L$27,2,0)</f>
        <v>43497</v>
      </c>
      <c r="Y128" s="324">
        <f>VLOOKUP(Y$6,ListLookup!$J$2:$L$27,2,0)</f>
        <v>43525</v>
      </c>
      <c r="Z128" s="324">
        <f>VLOOKUP(Z$6,ListLookup!$J$2:$L$27,2,0)</f>
        <v>43556</v>
      </c>
      <c r="AA128" s="324">
        <f>VLOOKUP(AA$6,ListLookup!$J$2:$L$27,2,0)</f>
        <v>43586</v>
      </c>
      <c r="AB128" s="324">
        <f>VLOOKUP(AB$6,ListLookup!$J$2:$L$27,2,0)</f>
        <v>43617</v>
      </c>
      <c r="AC128" s="324">
        <f>VLOOKUP(AC$6,ListLookup!$J$2:$L$27,2,0)</f>
        <v>43647</v>
      </c>
      <c r="AD128" s="324">
        <f>VLOOKUP(AD$6,ListLookup!$J$2:$L$27,2,0)</f>
        <v>43678</v>
      </c>
      <c r="AE128" s="324">
        <f>VLOOKUP(AE$6,ListLookup!$J$2:$L$27,2,0)</f>
        <v>43709</v>
      </c>
      <c r="AF128" s="324">
        <f>VLOOKUP(AF$6,ListLookup!$J$2:$L$27,2,0)</f>
        <v>43739</v>
      </c>
      <c r="AG128" s="324">
        <f>VLOOKUP(AG$6,ListLookup!$J$2:$L$27,2,0)</f>
        <v>43770</v>
      </c>
      <c r="AH128" s="324">
        <f>VLOOKUP(AH$6,ListLookup!$J$2:$L$27,2,0)</f>
        <v>43800</v>
      </c>
      <c r="AI128" s="324">
        <f>VLOOKUP(AI$6,ListLookup!$J$2:$L$27,2,0)</f>
        <v>43831</v>
      </c>
    </row>
    <row r="129" spans="1:35" s="511" customFormat="1" ht="17.25" x14ac:dyDescent="0.3">
      <c r="A129" s="515" t="s">
        <v>197</v>
      </c>
      <c r="B129" s="516"/>
      <c r="C129" s="517"/>
      <c r="D129" s="517"/>
      <c r="E129" s="517"/>
      <c r="F129" s="517"/>
      <c r="G129" s="517"/>
      <c r="H129" s="517"/>
      <c r="I129" s="517"/>
      <c r="J129" s="517"/>
      <c r="K129" s="517"/>
      <c r="L129" s="517"/>
      <c r="M129" s="519"/>
      <c r="N129" s="518"/>
      <c r="O129" s="518"/>
      <c r="P129" s="518"/>
      <c r="Q129" s="518"/>
      <c r="R129" s="519"/>
      <c r="S129" s="519"/>
      <c r="T129" s="519"/>
      <c r="U129" s="517"/>
      <c r="V129" s="530"/>
      <c r="W129" s="519"/>
      <c r="X129" s="517"/>
      <c r="Y129" s="519"/>
      <c r="Z129" s="517"/>
      <c r="AA129" s="519"/>
      <c r="AB129" s="517"/>
      <c r="AC129" s="517"/>
      <c r="AD129" s="517"/>
      <c r="AE129" s="517"/>
      <c r="AF129" s="517"/>
      <c r="AG129" s="517"/>
      <c r="AH129" s="517"/>
      <c r="AI129" s="521"/>
    </row>
    <row r="130" spans="1:35" x14ac:dyDescent="0.25">
      <c r="A130" s="273"/>
      <c r="B130" s="458" t="s">
        <v>245</v>
      </c>
      <c r="D130" s="274"/>
      <c r="E130" s="274"/>
      <c r="F130" s="274"/>
      <c r="G130" s="274"/>
      <c r="H130" s="274"/>
      <c r="I130" s="274"/>
      <c r="J130" s="274"/>
      <c r="K130" s="274"/>
      <c r="L130" s="280">
        <f>COUNTIFS(Tbl_ResidentData[Exclusion Flag],0,Tbl_ResidentData[M1],TRUE,Tbl_ResidentData[Cohort],"Additional")</f>
        <v>0</v>
      </c>
      <c r="M130" s="280">
        <f>COUNTIFS(Tbl_ResidentData[Exclusion Flag],0,Tbl_ResidentData[M2],TRUE,Tbl_ResidentData[Cohort],"Additional")</f>
        <v>0</v>
      </c>
      <c r="N130" s="280">
        <f>COUNTIFS(Tbl_ResidentData[Exclusion Flag],0,Tbl_ResidentData[M3],TRUE,Tbl_ResidentData[Cohort],"Additional")</f>
        <v>0</v>
      </c>
      <c r="O130" s="280">
        <f>COUNTIFS(Tbl_ResidentData[Exclusion Flag],0,Tbl_ResidentData[M4],TRUE,Tbl_ResidentData[Cohort],"Additional")</f>
        <v>0</v>
      </c>
      <c r="P130" s="280">
        <f>COUNTIFS(Tbl_ResidentData[Exclusion Flag],0,Tbl_ResidentData[M5],TRUE,Tbl_ResidentData[Cohort],"Additional")</f>
        <v>0</v>
      </c>
      <c r="Q130" s="280">
        <f>COUNTIFS(Tbl_ResidentData[Exclusion Flag],0,Tbl_ResidentData[M6],TRUE,Tbl_ResidentData[Cohort],"Additional")</f>
        <v>0</v>
      </c>
      <c r="R130" s="280">
        <f>COUNTIFS(Tbl_ResidentData[Exclusion Flag],0,Tbl_ResidentData[M7],TRUE,Tbl_ResidentData[Cohort],"Additional")</f>
        <v>0</v>
      </c>
      <c r="S130" s="280">
        <f>COUNTIFS(Tbl_ResidentData[Exclusion Flag],0,Tbl_ResidentData[M8],TRUE,Tbl_ResidentData[Cohort],"Additional")</f>
        <v>0</v>
      </c>
      <c r="T130" s="280">
        <f>COUNTIFS(Tbl_ResidentData[Exclusion Flag],0,Tbl_ResidentData[M9],TRUE,Tbl_ResidentData[Cohort],"Additional")</f>
        <v>0</v>
      </c>
      <c r="U130" s="280">
        <f>COUNTIFS(Tbl_ResidentData[Exclusion Flag],0,Tbl_ResidentData[M10],TRUE,Tbl_ResidentData[Cohort],"Additional")</f>
        <v>0</v>
      </c>
      <c r="V130" s="280">
        <f>COUNTIFS(Tbl_ResidentData[Exclusion Flag],0,Tbl_ResidentData[M11],TRUE,Tbl_ResidentData[Cohort],"Additional")</f>
        <v>0</v>
      </c>
      <c r="W130" s="280">
        <f>COUNTIFS(Tbl_ResidentData[Exclusion Flag],0,Tbl_ResidentData[M12],TRUE,Tbl_ResidentData[Cohort],"Additional")</f>
        <v>0</v>
      </c>
      <c r="X130" s="280">
        <f>COUNTIFS(Tbl_ResidentData[Exclusion Flag],0,Tbl_ResidentData[M13],TRUE,Tbl_ResidentData[Cohort],"Additional")</f>
        <v>0</v>
      </c>
      <c r="Y130" s="280">
        <f>COUNTIFS(Tbl_ResidentData[Exclusion Flag],0,Tbl_ResidentData[M14],TRUE,Tbl_ResidentData[Cohort],"Additional")</f>
        <v>0</v>
      </c>
      <c r="Z130" s="280">
        <f>COUNTIFS(Tbl_ResidentData[Exclusion Flag],0,Tbl_ResidentData[M15],TRUE,Tbl_ResidentData[Cohort],"Additional")</f>
        <v>0</v>
      </c>
      <c r="AA130" s="280">
        <f>COUNTIFS(Tbl_ResidentData[Exclusion Flag],0,Tbl_ResidentData[M16],TRUE,Tbl_ResidentData[Cohort],"Additional")</f>
        <v>0</v>
      </c>
      <c r="AB130" s="280">
        <f>COUNTIFS(Tbl_ResidentData[Exclusion Flag],0,Tbl_ResidentData[M17],TRUE,Tbl_ResidentData[Cohort],"Additional")</f>
        <v>0</v>
      </c>
      <c r="AC130" s="280">
        <f>COUNTIFS(Tbl_ResidentData[Exclusion Flag],0,Tbl_ResidentData[M18],TRUE,Tbl_ResidentData[Cohort],"Additional")</f>
        <v>0</v>
      </c>
      <c r="AD130" s="280">
        <f>COUNTIFS(Tbl_ResidentData[Exclusion Flag],0,Tbl_ResidentData[M19],TRUE,Tbl_ResidentData[Cohort],"Additional")</f>
        <v>0</v>
      </c>
      <c r="AE130" s="280">
        <f>COUNTIFS(Tbl_ResidentData[Exclusion Flag],0,Tbl_ResidentData[M20],TRUE,Tbl_ResidentData[Cohort],"Additional")</f>
        <v>0</v>
      </c>
      <c r="AF130" s="280">
        <f>COUNTIFS(Tbl_ResidentData[Exclusion Flag],0,Tbl_ResidentData[M21],TRUE,Tbl_ResidentData[Cohort],"Additional")</f>
        <v>0</v>
      </c>
      <c r="AG130" s="280">
        <f>COUNTIFS(Tbl_ResidentData[Exclusion Flag],0,Tbl_ResidentData[M22],TRUE,Tbl_ResidentData[Cohort],"Additional")</f>
        <v>0</v>
      </c>
      <c r="AH130" s="280">
        <f>COUNTIFS(Tbl_ResidentData[Exclusion Flag],0,Tbl_ResidentData[M23],TRUE,Tbl_ResidentData[Cohort],"Additional")</f>
        <v>0</v>
      </c>
      <c r="AI130" s="307">
        <f>COUNTIFS(Tbl_ResidentData[Exclusion Flag],0,Tbl_ResidentData[M24],TRUE,Tbl_ResidentData[Cohort],"Additional")</f>
        <v>0</v>
      </c>
    </row>
    <row r="131" spans="1:35" ht="15.75" thickBot="1" x14ac:dyDescent="0.3">
      <c r="A131" s="276"/>
      <c r="B131" s="459" t="s">
        <v>246</v>
      </c>
      <c r="C131" s="414"/>
      <c r="D131" s="277"/>
      <c r="E131" s="277"/>
      <c r="F131" s="277"/>
      <c r="G131" s="277"/>
      <c r="H131" s="277"/>
      <c r="I131" s="277"/>
      <c r="J131" s="277"/>
      <c r="K131" s="277"/>
      <c r="L131" s="308">
        <f>COUNTIFS(Tbl_ResidentData[Exclusion Flag],1,Tbl_ResidentData[M1],TRUE,Tbl_ResidentData[Cohort],"Additional")</f>
        <v>0</v>
      </c>
      <c r="M131" s="308">
        <f>COUNTIFS(Tbl_ResidentData[Exclusion Flag],1,Tbl_ResidentData[M2],TRUE,Tbl_ResidentData[Cohort],"Additional")</f>
        <v>0</v>
      </c>
      <c r="N131" s="308">
        <f>COUNTIFS(Tbl_ResidentData[Exclusion Flag],1,Tbl_ResidentData[M3],TRUE,Tbl_ResidentData[Cohort],"Additional")</f>
        <v>0</v>
      </c>
      <c r="O131" s="308">
        <f>COUNTIFS(Tbl_ResidentData[Exclusion Flag],1,Tbl_ResidentData[M4],TRUE,Tbl_ResidentData[Cohort],"Additional")</f>
        <v>0</v>
      </c>
      <c r="P131" s="308">
        <f>COUNTIFS(Tbl_ResidentData[Exclusion Flag],1,Tbl_ResidentData[M5],TRUE,Tbl_ResidentData[Cohort],"Additional")</f>
        <v>0</v>
      </c>
      <c r="Q131" s="308">
        <f>COUNTIFS(Tbl_ResidentData[Exclusion Flag],1,Tbl_ResidentData[M6],TRUE,Tbl_ResidentData[Cohort],"Additional")</f>
        <v>0</v>
      </c>
      <c r="R131" s="308">
        <f>COUNTIFS(Tbl_ResidentData[Exclusion Flag],1,Tbl_ResidentData[M7],TRUE,Tbl_ResidentData[Cohort],"Additional")</f>
        <v>0</v>
      </c>
      <c r="S131" s="308">
        <f>COUNTIFS(Tbl_ResidentData[Exclusion Flag],1,Tbl_ResidentData[M8],TRUE,Tbl_ResidentData[Cohort],"Additional")</f>
        <v>0</v>
      </c>
      <c r="T131" s="308">
        <f>COUNTIFS(Tbl_ResidentData[Exclusion Flag],1,Tbl_ResidentData[M9],TRUE,Tbl_ResidentData[Cohort],"Additional")</f>
        <v>0</v>
      </c>
      <c r="U131" s="308">
        <f>COUNTIFS(Tbl_ResidentData[Exclusion Flag],1,Tbl_ResidentData[M10],TRUE,Tbl_ResidentData[Cohort],"Additional")</f>
        <v>0</v>
      </c>
      <c r="V131" s="308">
        <f>COUNTIFS(Tbl_ResidentData[Exclusion Flag],1,Tbl_ResidentData[M11],TRUE,Tbl_ResidentData[Cohort],"Additional")</f>
        <v>0</v>
      </c>
      <c r="W131" s="308">
        <f>COUNTIFS(Tbl_ResidentData[Exclusion Flag],1,Tbl_ResidentData[M12],TRUE,Tbl_ResidentData[Cohort],"Additional")</f>
        <v>0</v>
      </c>
      <c r="X131" s="308">
        <f>COUNTIFS(Tbl_ResidentData[Exclusion Flag],1,Tbl_ResidentData[M13],TRUE,Tbl_ResidentData[Cohort],"Additional")</f>
        <v>0</v>
      </c>
      <c r="Y131" s="308">
        <f>COUNTIFS(Tbl_ResidentData[Exclusion Flag],1,Tbl_ResidentData[M14],TRUE,Tbl_ResidentData[Cohort],"Additional")</f>
        <v>0</v>
      </c>
      <c r="Z131" s="308">
        <f>COUNTIFS(Tbl_ResidentData[Exclusion Flag],1,Tbl_ResidentData[M15],TRUE,Tbl_ResidentData[Cohort],"Additional")</f>
        <v>0</v>
      </c>
      <c r="AA131" s="308">
        <f>COUNTIFS(Tbl_ResidentData[Exclusion Flag],1,Tbl_ResidentData[M16],TRUE,Tbl_ResidentData[Cohort],"Additional")</f>
        <v>0</v>
      </c>
      <c r="AB131" s="308">
        <f>COUNTIFS(Tbl_ResidentData[Exclusion Flag],1,Tbl_ResidentData[M17],TRUE,Tbl_ResidentData[Cohort],"Additional")</f>
        <v>0</v>
      </c>
      <c r="AC131" s="308">
        <f>COUNTIFS(Tbl_ResidentData[Exclusion Flag],1,Tbl_ResidentData[M18],TRUE,Tbl_ResidentData[Cohort],"Additional")</f>
        <v>0</v>
      </c>
      <c r="AD131" s="308">
        <f>COUNTIFS(Tbl_ResidentData[Exclusion Flag],1,Tbl_ResidentData[M19],TRUE,Tbl_ResidentData[Cohort],"Additional")</f>
        <v>0</v>
      </c>
      <c r="AE131" s="308">
        <f>COUNTIFS(Tbl_ResidentData[Exclusion Flag],1,Tbl_ResidentData[M20],TRUE,Tbl_ResidentData[Cohort],"Additional")</f>
        <v>0</v>
      </c>
      <c r="AF131" s="308">
        <f>COUNTIFS(Tbl_ResidentData[Exclusion Flag],1,Tbl_ResidentData[M21],TRUE,Tbl_ResidentData[Cohort],"Additional")</f>
        <v>0</v>
      </c>
      <c r="AG131" s="308">
        <f>COUNTIFS(Tbl_ResidentData[Exclusion Flag],1,Tbl_ResidentData[M22],TRUE,Tbl_ResidentData[Cohort],"Additional")</f>
        <v>0</v>
      </c>
      <c r="AH131" s="308">
        <f>COUNTIFS(Tbl_ResidentData[Exclusion Flag],1,Tbl_ResidentData[M23],TRUE,Tbl_ResidentData[Cohort],"Additional")</f>
        <v>0</v>
      </c>
      <c r="AI131" s="309">
        <f>COUNTIFS(Tbl_ResidentData[Exclusion Flag],1,Tbl_ResidentData[M24],TRUE,Tbl_ResidentData[Cohort],"Additional")</f>
        <v>0</v>
      </c>
    </row>
    <row r="132" spans="1:35" ht="5.0999999999999996" customHeight="1" thickBot="1" x14ac:dyDescent="0.3">
      <c r="B132" s="274"/>
      <c r="D132" s="274"/>
      <c r="E132" s="274"/>
      <c r="F132" s="274"/>
      <c r="G132" s="274"/>
      <c r="H132" s="274"/>
      <c r="I132" s="274"/>
      <c r="J132" s="274"/>
      <c r="K132" s="274"/>
      <c r="L132" s="280"/>
      <c r="M132" s="280"/>
      <c r="N132" s="280"/>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row>
    <row r="133" spans="1:35" s="509" customFormat="1" ht="17.25" x14ac:dyDescent="0.3">
      <c r="A133" s="515" t="s">
        <v>113</v>
      </c>
      <c r="B133" s="531"/>
      <c r="C133" s="532"/>
      <c r="D133" s="531"/>
      <c r="E133" s="531"/>
      <c r="F133" s="531"/>
      <c r="G133" s="531"/>
      <c r="H133" s="531"/>
      <c r="I133" s="531"/>
      <c r="J133" s="531"/>
      <c r="K133" s="531"/>
      <c r="L133" s="533"/>
      <c r="M133" s="533"/>
      <c r="N133" s="533"/>
      <c r="O133" s="533"/>
      <c r="P133" s="533"/>
      <c r="Q133" s="533"/>
      <c r="R133" s="533"/>
      <c r="S133" s="533"/>
      <c r="T133" s="533"/>
      <c r="U133" s="533"/>
      <c r="V133" s="533"/>
      <c r="W133" s="533"/>
      <c r="X133" s="533"/>
      <c r="Y133" s="533"/>
      <c r="Z133" s="533"/>
      <c r="AA133" s="533"/>
      <c r="AB133" s="533"/>
      <c r="AC133" s="533"/>
      <c r="AD133" s="533"/>
      <c r="AE133" s="533"/>
      <c r="AF133" s="533"/>
      <c r="AG133" s="533"/>
      <c r="AH133" s="533"/>
      <c r="AI133" s="534"/>
    </row>
    <row r="134" spans="1:35" x14ac:dyDescent="0.25">
      <c r="A134" s="273"/>
      <c r="B134" s="460" t="s">
        <v>308</v>
      </c>
      <c r="D134" s="281"/>
      <c r="E134" s="281"/>
      <c r="F134" s="281"/>
      <c r="G134" s="281"/>
      <c r="H134" s="281"/>
      <c r="I134" s="281"/>
      <c r="J134" s="281"/>
      <c r="K134" s="281"/>
      <c r="L134" s="310">
        <f ca="1">COUNTIFS(Tbl_ResidentData[M1],TRUE,Tbl_ResidentData[Over1],1,Tbl_ResidentData[Cohort],"Additional")</f>
        <v>0</v>
      </c>
      <c r="M134" s="310">
        <f ca="1">COUNTIFS(Tbl_ResidentData[M2],TRUE,Tbl_ResidentData[Over2],1,Tbl_ResidentData[Cohort],"Additional")</f>
        <v>0</v>
      </c>
      <c r="N134" s="310">
        <f ca="1">COUNTIFS(Tbl_ResidentData[M3],TRUE,Tbl_ResidentData[Over3],1,Tbl_ResidentData[Cohort],"Additional")</f>
        <v>0</v>
      </c>
      <c r="O134" s="310">
        <f ca="1">COUNTIFS(Tbl_ResidentData[M4],TRUE,Tbl_ResidentData[Over4],1,Tbl_ResidentData[Cohort],"Additional")</f>
        <v>0</v>
      </c>
      <c r="P134" s="310">
        <f ca="1">COUNTIFS(Tbl_ResidentData[M5],TRUE,Tbl_ResidentData[Over5],1,Tbl_ResidentData[Cohort],"Additional")</f>
        <v>0</v>
      </c>
      <c r="Q134" s="310">
        <f ca="1">COUNTIFS(Tbl_ResidentData[M6],TRUE,Tbl_ResidentData[Over6],1,Tbl_ResidentData[Cohort],"Additional")</f>
        <v>0</v>
      </c>
      <c r="R134" s="310">
        <f ca="1">COUNTIFS(Tbl_ResidentData[M7],TRUE,Tbl_ResidentData[Over7],1,Tbl_ResidentData[Cohort],"Additional")</f>
        <v>0</v>
      </c>
      <c r="S134" s="310">
        <f ca="1">COUNTIFS(Tbl_ResidentData[M8],TRUE,Tbl_ResidentData[Over8],1,Tbl_ResidentData[Cohort],"Additional")</f>
        <v>0</v>
      </c>
      <c r="T134" s="310">
        <f ca="1">COUNTIFS(Tbl_ResidentData[M9],TRUE,Tbl_ResidentData[Over9],1,Tbl_ResidentData[Cohort],"Additional")</f>
        <v>0</v>
      </c>
      <c r="U134" s="310">
        <f ca="1">COUNTIFS(Tbl_ResidentData[M10],TRUE,Tbl_ResidentData[Over10],1,Tbl_ResidentData[Cohort],"Additional")</f>
        <v>0</v>
      </c>
      <c r="V134" s="310">
        <f ca="1">COUNTIFS(Tbl_ResidentData[M11],TRUE,Tbl_ResidentData[Over11],1,Tbl_ResidentData[Cohort],"Additional")</f>
        <v>0</v>
      </c>
      <c r="W134" s="310">
        <f ca="1">COUNTIFS(Tbl_ResidentData[M12],TRUE,Tbl_ResidentData[Over12],1,Tbl_ResidentData[Cohort],"Additional")</f>
        <v>0</v>
      </c>
      <c r="X134" s="310">
        <f ca="1">COUNTIFS(Tbl_ResidentData[M13],TRUE,Tbl_ResidentData[Over13],1,Tbl_ResidentData[Cohort],"Additional")</f>
        <v>0</v>
      </c>
      <c r="Y134" s="310">
        <f ca="1">COUNTIFS(Tbl_ResidentData[M14],TRUE,Tbl_ResidentData[Over14],1,Tbl_ResidentData[Cohort],"Additional")</f>
        <v>0</v>
      </c>
      <c r="Z134" s="310">
        <f ca="1">COUNTIFS(Tbl_ResidentData[M15],TRUE,Tbl_ResidentData[Over15],1,Tbl_ResidentData[Cohort],"Additional")</f>
        <v>0</v>
      </c>
      <c r="AA134" s="310">
        <f ca="1">COUNTIFS(Tbl_ResidentData[M16],TRUE,Tbl_ResidentData[Over16],1,Tbl_ResidentData[Cohort],"Additional")</f>
        <v>0</v>
      </c>
      <c r="AB134" s="310">
        <f ca="1">COUNTIFS(Tbl_ResidentData[M17],TRUE,Tbl_ResidentData[Over17],1,Tbl_ResidentData[Cohort],"Additional")</f>
        <v>0</v>
      </c>
      <c r="AC134" s="310">
        <f ca="1">COUNTIFS(Tbl_ResidentData[M18],TRUE,Tbl_ResidentData[Over18],1,Tbl_ResidentData[Cohort],"Additional")</f>
        <v>0</v>
      </c>
      <c r="AD134" s="310">
        <f ca="1">COUNTIFS(Tbl_ResidentData[M19],TRUE,Tbl_ResidentData[Over19],1,Tbl_ResidentData[Cohort],"Additional")</f>
        <v>0</v>
      </c>
      <c r="AE134" s="310">
        <f ca="1">COUNTIFS(Tbl_ResidentData[M20],TRUE,Tbl_ResidentData[Over20],1,Tbl_ResidentData[Cohort],"Additional")</f>
        <v>0</v>
      </c>
      <c r="AF134" s="310">
        <f ca="1">COUNTIFS(Tbl_ResidentData[M21],TRUE,Tbl_ResidentData[Over21],1,Tbl_ResidentData[Cohort],"Additional")</f>
        <v>0</v>
      </c>
      <c r="AG134" s="310">
        <f ca="1">COUNTIFS(Tbl_ResidentData[M22],TRUE,Tbl_ResidentData[Over22],1,Tbl_ResidentData[Cohort],"Additional")</f>
        <v>0</v>
      </c>
      <c r="AH134" s="310">
        <f ca="1">COUNTIFS(Tbl_ResidentData[M23],TRUE,Tbl_ResidentData[Over23],1,Tbl_ResidentData[Cohort],"Additional")</f>
        <v>0</v>
      </c>
      <c r="AI134" s="311">
        <f ca="1">COUNTIFS(Tbl_ResidentData[M24],TRUE,Tbl_ResidentData[Over24],1,Tbl_ResidentData[Cohort],"Additional")</f>
        <v>0</v>
      </c>
    </row>
    <row r="135" spans="1:35" x14ac:dyDescent="0.25">
      <c r="A135" s="273"/>
      <c r="B135" s="458" t="s">
        <v>231</v>
      </c>
      <c r="D135" s="274"/>
      <c r="E135" s="274"/>
      <c r="F135" s="274"/>
      <c r="G135" s="274"/>
      <c r="H135" s="274"/>
      <c r="I135" s="274"/>
      <c r="J135" s="274"/>
      <c r="K135" s="274"/>
      <c r="L135" s="310">
        <f ca="1">COUNTIFS(Tbl_ResidentData[M1],TRUE,Tbl_ResidentData[Over1],0,Tbl_ResidentData[Cohort],"Additional")</f>
        <v>0</v>
      </c>
      <c r="M135" s="310">
        <f ca="1">COUNTIFS(Tbl_ResidentData[M2],TRUE,Tbl_ResidentData[Over2],0,Tbl_ResidentData[Cohort],"Additional")</f>
        <v>0</v>
      </c>
      <c r="N135" s="310">
        <f ca="1">COUNTIFS(Tbl_ResidentData[M3],TRUE,Tbl_ResidentData[Over3],0,Tbl_ResidentData[Cohort],"Additional")</f>
        <v>0</v>
      </c>
      <c r="O135" s="310">
        <f ca="1">COUNTIFS(Tbl_ResidentData[M4],TRUE,Tbl_ResidentData[Over4],0,Tbl_ResidentData[Cohort],"Additional")</f>
        <v>0</v>
      </c>
      <c r="P135" s="310">
        <f ca="1">COUNTIFS(Tbl_ResidentData[M5],TRUE,Tbl_ResidentData[Over5],0,Tbl_ResidentData[Cohort],"Additional")</f>
        <v>0</v>
      </c>
      <c r="Q135" s="310">
        <f ca="1">COUNTIFS(Tbl_ResidentData[M6],TRUE,Tbl_ResidentData[Over6],0,Tbl_ResidentData[Cohort],"Additional")</f>
        <v>0</v>
      </c>
      <c r="R135" s="310">
        <f ca="1">COUNTIFS(Tbl_ResidentData[M7],TRUE,Tbl_ResidentData[Over7],0,Tbl_ResidentData[Cohort],"Additional")</f>
        <v>0</v>
      </c>
      <c r="S135" s="310">
        <f ca="1">COUNTIFS(Tbl_ResidentData[M8],TRUE,Tbl_ResidentData[Over8],0,Tbl_ResidentData[Cohort],"Additional")</f>
        <v>0</v>
      </c>
      <c r="T135" s="310">
        <f ca="1">COUNTIFS(Tbl_ResidentData[M9],TRUE,Tbl_ResidentData[Over9],0,Tbl_ResidentData[Cohort],"Additional")</f>
        <v>0</v>
      </c>
      <c r="U135" s="310">
        <f ca="1">COUNTIFS(Tbl_ResidentData[M10],TRUE,Tbl_ResidentData[Over10],0,Tbl_ResidentData[Cohort],"Additional")</f>
        <v>0</v>
      </c>
      <c r="V135" s="310">
        <f ca="1">COUNTIFS(Tbl_ResidentData[M11],TRUE,Tbl_ResidentData[Over11],0,Tbl_ResidentData[Cohort],"Additional")</f>
        <v>0</v>
      </c>
      <c r="W135" s="310">
        <f ca="1">COUNTIFS(Tbl_ResidentData[M12],TRUE,Tbl_ResidentData[Over12],0,Tbl_ResidentData[Cohort],"Additional")</f>
        <v>0</v>
      </c>
      <c r="X135" s="310">
        <f ca="1">COUNTIFS(Tbl_ResidentData[M13],TRUE,Tbl_ResidentData[Over13],0,Tbl_ResidentData[Cohort],"Additional")</f>
        <v>0</v>
      </c>
      <c r="Y135" s="310">
        <f ca="1">COUNTIFS(Tbl_ResidentData[M14],TRUE,Tbl_ResidentData[Over14],0,Tbl_ResidentData[Cohort],"Additional")</f>
        <v>0</v>
      </c>
      <c r="Z135" s="310">
        <f ca="1">COUNTIFS(Tbl_ResidentData[M15],TRUE,Tbl_ResidentData[Over15],0,Tbl_ResidentData[Cohort],"Additional")</f>
        <v>0</v>
      </c>
      <c r="AA135" s="310">
        <f ca="1">COUNTIFS(Tbl_ResidentData[M16],TRUE,Tbl_ResidentData[Over16],0,Tbl_ResidentData[Cohort],"Additional")</f>
        <v>0</v>
      </c>
      <c r="AB135" s="310">
        <f ca="1">COUNTIFS(Tbl_ResidentData[M17],TRUE,Tbl_ResidentData[Over17],0,Tbl_ResidentData[Cohort],"Additional")</f>
        <v>0</v>
      </c>
      <c r="AC135" s="310">
        <f ca="1">COUNTIFS(Tbl_ResidentData[M18],TRUE,Tbl_ResidentData[Over18],0,Tbl_ResidentData[Cohort],"Additional")</f>
        <v>0</v>
      </c>
      <c r="AD135" s="310">
        <f ca="1">COUNTIFS(Tbl_ResidentData[M19],TRUE,Tbl_ResidentData[Over19],0,Tbl_ResidentData[Cohort],"Additional")</f>
        <v>0</v>
      </c>
      <c r="AE135" s="310">
        <f ca="1">COUNTIFS(Tbl_ResidentData[M20],TRUE,Tbl_ResidentData[Over20],0,Tbl_ResidentData[Cohort],"Additional")</f>
        <v>0</v>
      </c>
      <c r="AF135" s="310">
        <f ca="1">COUNTIFS(Tbl_ResidentData[M21],TRUE,Tbl_ResidentData[Over21],0,Tbl_ResidentData[Cohort],"Additional")</f>
        <v>0</v>
      </c>
      <c r="AG135" s="310">
        <f ca="1">COUNTIFS(Tbl_ResidentData[M22],TRUE,Tbl_ResidentData[Over22],0,Tbl_ResidentData[Cohort],"Additional")</f>
        <v>0</v>
      </c>
      <c r="AH135" s="310">
        <f ca="1">COUNTIFS(Tbl_ResidentData[M23],TRUE,Tbl_ResidentData[Over23],0,Tbl_ResidentData[Cohort],"Additional")</f>
        <v>0</v>
      </c>
      <c r="AI135" s="311">
        <f ca="1">COUNTIFS(Tbl_ResidentData[M24],TRUE,Tbl_ResidentData[Over24],0,Tbl_ResidentData[Cohort],"Additional")</f>
        <v>0</v>
      </c>
    </row>
    <row r="136" spans="1:35" ht="15.75" thickBot="1" x14ac:dyDescent="0.3">
      <c r="A136" s="276"/>
      <c r="B136" s="461" t="s">
        <v>232</v>
      </c>
      <c r="C136" s="414"/>
      <c r="D136" s="282"/>
      <c r="E136" s="282"/>
      <c r="F136" s="282"/>
      <c r="G136" s="282"/>
      <c r="H136" s="282"/>
      <c r="I136" s="282"/>
      <c r="J136" s="282"/>
      <c r="K136" s="282"/>
      <c r="L136" s="312" t="str">
        <f t="shared" ref="L136:AI136" ca="1" si="21">IFERROR(L$134/(L$134+L$135),"-")</f>
        <v>-</v>
      </c>
      <c r="M136" s="312" t="str">
        <f t="shared" ca="1" si="21"/>
        <v>-</v>
      </c>
      <c r="N136" s="312" t="str">
        <f t="shared" ca="1" si="21"/>
        <v>-</v>
      </c>
      <c r="O136" s="312" t="str">
        <f t="shared" ca="1" si="21"/>
        <v>-</v>
      </c>
      <c r="P136" s="312" t="str">
        <f t="shared" ca="1" si="21"/>
        <v>-</v>
      </c>
      <c r="Q136" s="312" t="str">
        <f t="shared" ca="1" si="21"/>
        <v>-</v>
      </c>
      <c r="R136" s="312" t="str">
        <f t="shared" ca="1" si="21"/>
        <v>-</v>
      </c>
      <c r="S136" s="312" t="str">
        <f t="shared" ca="1" si="21"/>
        <v>-</v>
      </c>
      <c r="T136" s="312" t="str">
        <f t="shared" ca="1" si="21"/>
        <v>-</v>
      </c>
      <c r="U136" s="312" t="str">
        <f t="shared" ca="1" si="21"/>
        <v>-</v>
      </c>
      <c r="V136" s="312" t="str">
        <f t="shared" ca="1" si="21"/>
        <v>-</v>
      </c>
      <c r="W136" s="312" t="str">
        <f t="shared" ca="1" si="21"/>
        <v>-</v>
      </c>
      <c r="X136" s="312" t="str">
        <f t="shared" ca="1" si="21"/>
        <v>-</v>
      </c>
      <c r="Y136" s="312" t="str">
        <f t="shared" ca="1" si="21"/>
        <v>-</v>
      </c>
      <c r="Z136" s="312" t="str">
        <f t="shared" ca="1" si="21"/>
        <v>-</v>
      </c>
      <c r="AA136" s="312" t="str">
        <f t="shared" ca="1" si="21"/>
        <v>-</v>
      </c>
      <c r="AB136" s="312" t="str">
        <f t="shared" ca="1" si="21"/>
        <v>-</v>
      </c>
      <c r="AC136" s="312" t="str">
        <f t="shared" ca="1" si="21"/>
        <v>-</v>
      </c>
      <c r="AD136" s="312" t="str">
        <f t="shared" ca="1" si="21"/>
        <v>-</v>
      </c>
      <c r="AE136" s="312" t="str">
        <f t="shared" ca="1" si="21"/>
        <v>-</v>
      </c>
      <c r="AF136" s="312" t="str">
        <f t="shared" ca="1" si="21"/>
        <v>-</v>
      </c>
      <c r="AG136" s="312" t="str">
        <f t="shared" ca="1" si="21"/>
        <v>-</v>
      </c>
      <c r="AH136" s="312" t="str">
        <f t="shared" ca="1" si="21"/>
        <v>-</v>
      </c>
      <c r="AI136" s="313" t="str">
        <f t="shared" ca="1" si="21"/>
        <v>-</v>
      </c>
    </row>
    <row r="137" spans="1:35" ht="15.75" hidden="1" thickBot="1" x14ac:dyDescent="0.3">
      <c r="A137" s="476" t="e">
        <f ca="1">MEDIAN($L$136:$AI$136)</f>
        <v>#NUM!</v>
      </c>
      <c r="B137" s="282"/>
      <c r="D137" s="282"/>
      <c r="E137" s="282"/>
      <c r="F137" s="282"/>
      <c r="G137" s="282"/>
      <c r="H137" s="282"/>
      <c r="I137" s="282"/>
      <c r="J137" s="282"/>
      <c r="K137" s="282"/>
      <c r="L137" s="312" t="str">
        <f t="shared" ref="L137:AI137" ca="1" si="22">IFERROR($A$137,"")</f>
        <v/>
      </c>
      <c r="M137" s="312" t="str">
        <f t="shared" ca="1" si="22"/>
        <v/>
      </c>
      <c r="N137" s="312" t="str">
        <f t="shared" ca="1" si="22"/>
        <v/>
      </c>
      <c r="O137" s="312" t="str">
        <f t="shared" ca="1" si="22"/>
        <v/>
      </c>
      <c r="P137" s="312" t="str">
        <f t="shared" ca="1" si="22"/>
        <v/>
      </c>
      <c r="Q137" s="312" t="str">
        <f t="shared" ca="1" si="22"/>
        <v/>
      </c>
      <c r="R137" s="312" t="str">
        <f t="shared" ca="1" si="22"/>
        <v/>
      </c>
      <c r="S137" s="312" t="str">
        <f t="shared" ca="1" si="22"/>
        <v/>
      </c>
      <c r="T137" s="312" t="str">
        <f t="shared" ca="1" si="22"/>
        <v/>
      </c>
      <c r="U137" s="312" t="str">
        <f t="shared" ca="1" si="22"/>
        <v/>
      </c>
      <c r="V137" s="312" t="str">
        <f t="shared" ca="1" si="22"/>
        <v/>
      </c>
      <c r="W137" s="312" t="str">
        <f t="shared" ca="1" si="22"/>
        <v/>
      </c>
      <c r="X137" s="312" t="str">
        <f t="shared" ca="1" si="22"/>
        <v/>
      </c>
      <c r="Y137" s="312" t="str">
        <f t="shared" ca="1" si="22"/>
        <v/>
      </c>
      <c r="Z137" s="312" t="str">
        <f t="shared" ca="1" si="22"/>
        <v/>
      </c>
      <c r="AA137" s="312" t="str">
        <f t="shared" ca="1" si="22"/>
        <v/>
      </c>
      <c r="AB137" s="312" t="str">
        <f t="shared" ca="1" si="22"/>
        <v/>
      </c>
      <c r="AC137" s="312" t="str">
        <f t="shared" ca="1" si="22"/>
        <v/>
      </c>
      <c r="AD137" s="312" t="str">
        <f t="shared" ca="1" si="22"/>
        <v/>
      </c>
      <c r="AE137" s="312" t="str">
        <f t="shared" ca="1" si="22"/>
        <v/>
      </c>
      <c r="AF137" s="312" t="str">
        <f t="shared" ca="1" si="22"/>
        <v/>
      </c>
      <c r="AG137" s="312" t="str">
        <f t="shared" ca="1" si="22"/>
        <v/>
      </c>
      <c r="AH137" s="312" t="str">
        <f t="shared" ca="1" si="22"/>
        <v/>
      </c>
      <c r="AI137" s="313" t="str">
        <f t="shared" ca="1" si="22"/>
        <v/>
      </c>
    </row>
    <row r="138" spans="1:35" ht="5.0999999999999996" customHeight="1" thickBot="1" x14ac:dyDescent="0.3">
      <c r="A138" s="301"/>
      <c r="B138" s="281"/>
      <c r="D138" s="281"/>
      <c r="E138" s="281"/>
      <c r="F138" s="281"/>
      <c r="G138" s="281"/>
      <c r="H138" s="281"/>
      <c r="I138" s="281"/>
      <c r="J138" s="281"/>
      <c r="K138" s="281"/>
      <c r="L138" s="314"/>
      <c r="M138" s="314"/>
      <c r="N138" s="314"/>
      <c r="O138" s="314"/>
      <c r="P138" s="314"/>
      <c r="Q138" s="314"/>
      <c r="R138" s="314"/>
      <c r="S138" s="314"/>
      <c r="T138" s="314"/>
      <c r="U138" s="314"/>
      <c r="V138" s="314"/>
      <c r="W138" s="314"/>
      <c r="X138" s="314"/>
      <c r="Y138" s="314"/>
      <c r="Z138" s="314"/>
      <c r="AA138" s="314"/>
      <c r="AB138" s="314"/>
      <c r="AC138" s="314"/>
      <c r="AD138" s="314"/>
      <c r="AE138" s="314"/>
      <c r="AF138" s="314"/>
      <c r="AG138" s="314"/>
      <c r="AH138" s="314"/>
      <c r="AI138" s="314"/>
    </row>
    <row r="139" spans="1:35" s="511" customFormat="1" ht="17.25" x14ac:dyDescent="0.3">
      <c r="A139" s="515" t="s">
        <v>198</v>
      </c>
      <c r="B139" s="529"/>
      <c r="C139" s="517"/>
      <c r="D139" s="529"/>
      <c r="E139" s="529"/>
      <c r="F139" s="529"/>
      <c r="G139" s="529"/>
      <c r="H139" s="529"/>
      <c r="I139" s="529"/>
      <c r="J139" s="529"/>
      <c r="K139" s="529"/>
      <c r="L139" s="522"/>
      <c r="M139" s="522"/>
      <c r="N139" s="519"/>
      <c r="O139" s="519"/>
      <c r="P139" s="519"/>
      <c r="Q139" s="519"/>
      <c r="R139" s="522"/>
      <c r="S139" s="522"/>
      <c r="T139" s="522"/>
      <c r="U139" s="519"/>
      <c r="V139" s="520"/>
      <c r="W139" s="519"/>
      <c r="X139" s="519"/>
      <c r="Y139" s="519"/>
      <c r="Z139" s="519"/>
      <c r="AA139" s="519"/>
      <c r="AB139" s="519"/>
      <c r="AC139" s="519"/>
      <c r="AD139" s="519"/>
      <c r="AE139" s="519"/>
      <c r="AF139" s="519"/>
      <c r="AG139" s="519"/>
      <c r="AH139" s="519"/>
      <c r="AI139" s="523"/>
    </row>
    <row r="140" spans="1:35" x14ac:dyDescent="0.25">
      <c r="A140" s="273"/>
      <c r="B140" s="460" t="s">
        <v>309</v>
      </c>
      <c r="D140" s="281"/>
      <c r="E140" s="281"/>
      <c r="F140" s="281"/>
      <c r="G140" s="281"/>
      <c r="H140" s="281"/>
      <c r="I140" s="281"/>
      <c r="J140" s="281"/>
      <c r="K140" s="281"/>
      <c r="L140" s="310">
        <f>COUNTIFS(Tbl_ResidentData[Exclusion Flag],0,Tbl_ResidentData[M1],TRUE,Tbl_ResidentData[Over1],1,Tbl_ResidentData[Cohort],"Additional")</f>
        <v>0</v>
      </c>
      <c r="M140" s="310">
        <f>COUNTIFS(Tbl_ResidentData[Exclusion Flag],0,Tbl_ResidentData[M2],TRUE,Tbl_ResidentData[Over2],1,Tbl_ResidentData[Cohort],"Additional")</f>
        <v>0</v>
      </c>
      <c r="N140" s="310">
        <f>COUNTIFS(Tbl_ResidentData[Exclusion Flag],0,Tbl_ResidentData[M3],TRUE,Tbl_ResidentData[Over3],1,Tbl_ResidentData[Cohort],"Additional")</f>
        <v>0</v>
      </c>
      <c r="O140" s="310">
        <f>COUNTIFS(Tbl_ResidentData[Exclusion Flag],0,Tbl_ResidentData[M4],TRUE,Tbl_ResidentData[Over4],1,Tbl_ResidentData[Cohort],"Additional")</f>
        <v>0</v>
      </c>
      <c r="P140" s="310">
        <f>COUNTIFS(Tbl_ResidentData[Exclusion Flag],0,Tbl_ResidentData[M5],TRUE,Tbl_ResidentData[Over5],1,Tbl_ResidentData[Cohort],"Additional")</f>
        <v>0</v>
      </c>
      <c r="Q140" s="310">
        <f>COUNTIFS(Tbl_ResidentData[Exclusion Flag],0,Tbl_ResidentData[M6],TRUE,Tbl_ResidentData[Over6],1,Tbl_ResidentData[Cohort],"Additional")</f>
        <v>0</v>
      </c>
      <c r="R140" s="310">
        <f>COUNTIFS(Tbl_ResidentData[Exclusion Flag],0,Tbl_ResidentData[M7],TRUE,Tbl_ResidentData[Over7],1,Tbl_ResidentData[Cohort],"Additional")</f>
        <v>0</v>
      </c>
      <c r="S140" s="310">
        <f>COUNTIFS(Tbl_ResidentData[Exclusion Flag],0,Tbl_ResidentData[M8],TRUE,Tbl_ResidentData[Over8],1,Tbl_ResidentData[Cohort],"Additional")</f>
        <v>0</v>
      </c>
      <c r="T140" s="310">
        <f>COUNTIFS(Tbl_ResidentData[Exclusion Flag],0,Tbl_ResidentData[M9],TRUE,Tbl_ResidentData[Over9],1,Tbl_ResidentData[Cohort],"Additional")</f>
        <v>0</v>
      </c>
      <c r="U140" s="310">
        <f>COUNTIFS(Tbl_ResidentData[Exclusion Flag],0,Tbl_ResidentData[M10],TRUE,Tbl_ResidentData[Over10],1,Tbl_ResidentData[Cohort],"Additional")</f>
        <v>0</v>
      </c>
      <c r="V140" s="310">
        <f>COUNTIFS(Tbl_ResidentData[Exclusion Flag],0,Tbl_ResidentData[M11],TRUE,Tbl_ResidentData[Over11],1,Tbl_ResidentData[Cohort],"Additional")</f>
        <v>0</v>
      </c>
      <c r="W140" s="310">
        <f>COUNTIFS(Tbl_ResidentData[Exclusion Flag],0,Tbl_ResidentData[M12],TRUE,Tbl_ResidentData[Over12],1,Tbl_ResidentData[Cohort],"Additional")</f>
        <v>0</v>
      </c>
      <c r="X140" s="310">
        <f>COUNTIFS(Tbl_ResidentData[Exclusion Flag],0,Tbl_ResidentData[M13],TRUE,Tbl_ResidentData[Over13],1,Tbl_ResidentData[Cohort],"Additional")</f>
        <v>0</v>
      </c>
      <c r="Y140" s="310">
        <f>COUNTIFS(Tbl_ResidentData[Exclusion Flag],0,Tbl_ResidentData[M14],TRUE,Tbl_ResidentData[Over14],1,Tbl_ResidentData[Cohort],"Additional")</f>
        <v>0</v>
      </c>
      <c r="Z140" s="310">
        <f>COUNTIFS(Tbl_ResidentData[Exclusion Flag],0,Tbl_ResidentData[M15],TRUE,Tbl_ResidentData[Over15],1,Tbl_ResidentData[Cohort],"Additional")</f>
        <v>0</v>
      </c>
      <c r="AA140" s="310">
        <f>COUNTIFS(Tbl_ResidentData[Exclusion Flag],0,Tbl_ResidentData[M16],TRUE,Tbl_ResidentData[Over16],1,Tbl_ResidentData[Cohort],"Additional")</f>
        <v>0</v>
      </c>
      <c r="AB140" s="310">
        <f>COUNTIFS(Tbl_ResidentData[Exclusion Flag],0,Tbl_ResidentData[M17],TRUE,Tbl_ResidentData[Over17],1,Tbl_ResidentData[Cohort],"Additional")</f>
        <v>0</v>
      </c>
      <c r="AC140" s="310">
        <f>COUNTIFS(Tbl_ResidentData[Exclusion Flag],0,Tbl_ResidentData[M18],TRUE,Tbl_ResidentData[Over18],1,Tbl_ResidentData[Cohort],"Additional")</f>
        <v>0</v>
      </c>
      <c r="AD140" s="310">
        <f>COUNTIFS(Tbl_ResidentData[Exclusion Flag],0,Tbl_ResidentData[M19],TRUE,Tbl_ResidentData[Over19],1,Tbl_ResidentData[Cohort],"Additional")</f>
        <v>0</v>
      </c>
      <c r="AE140" s="310">
        <f>COUNTIFS(Tbl_ResidentData[Exclusion Flag],0,Tbl_ResidentData[M20],TRUE,Tbl_ResidentData[Over20],1,Tbl_ResidentData[Cohort],"Additional")</f>
        <v>0</v>
      </c>
      <c r="AF140" s="310">
        <f>COUNTIFS(Tbl_ResidentData[Exclusion Flag],0,Tbl_ResidentData[M21],TRUE,Tbl_ResidentData[Over21],1,Tbl_ResidentData[Cohort],"Additional")</f>
        <v>0</v>
      </c>
      <c r="AG140" s="310">
        <f>COUNTIFS(Tbl_ResidentData[Exclusion Flag],0,Tbl_ResidentData[M22],TRUE,Tbl_ResidentData[Over22],1,Tbl_ResidentData[Cohort],"Additional")</f>
        <v>0</v>
      </c>
      <c r="AH140" s="310">
        <f>COUNTIFS(Tbl_ResidentData[Exclusion Flag],0,Tbl_ResidentData[M23],TRUE,Tbl_ResidentData[Over23],1,Tbl_ResidentData[Cohort],"Additional")</f>
        <v>0</v>
      </c>
      <c r="AI140" s="311">
        <f>COUNTIFS(Tbl_ResidentData[Exclusion Flag],0,Tbl_ResidentData[M24],TRUE,Tbl_ResidentData[Over24],1,Tbl_ResidentData[Cohort],"Additional")</f>
        <v>0</v>
      </c>
    </row>
    <row r="141" spans="1:35" hidden="1" x14ac:dyDescent="0.25">
      <c r="A141" s="273"/>
      <c r="B141" s="460" t="s">
        <v>233</v>
      </c>
      <c r="D141" s="281"/>
      <c r="E141" s="281"/>
      <c r="F141" s="281"/>
      <c r="G141" s="281"/>
      <c r="H141" s="281"/>
      <c r="I141" s="281"/>
      <c r="J141" s="281"/>
      <c r="K141" s="281"/>
      <c r="L141" s="310">
        <f>COUNTIFS(Tbl_ResidentData[Exclusion Flag],0,Tbl_ResidentData[M1],TRUE,Tbl_ResidentData[S1],TRUE,Tbl_ResidentData[Cohort],"Additional")</f>
        <v>0</v>
      </c>
      <c r="M141" s="310">
        <f>COUNTIFS(Tbl_ResidentData[Exclusion Flag],0,Tbl_ResidentData[M2],TRUE,Tbl_ResidentData[S2],TRUE,Tbl_ResidentData[Cohort],"Additional")</f>
        <v>0</v>
      </c>
      <c r="N141" s="310">
        <f>COUNTIFS(Tbl_ResidentData[Exclusion Flag],0,Tbl_ResidentData[M3],TRUE,Tbl_ResidentData[S3],TRUE,Tbl_ResidentData[Cohort],"Additional")</f>
        <v>0</v>
      </c>
      <c r="O141" s="310">
        <f>COUNTIFS(Tbl_ResidentData[Exclusion Flag],0,Tbl_ResidentData[M4],TRUE,Tbl_ResidentData[S4],TRUE,Tbl_ResidentData[Cohort],"Additional")</f>
        <v>0</v>
      </c>
      <c r="P141" s="310">
        <f>COUNTIFS(Tbl_ResidentData[Exclusion Flag],0,Tbl_ResidentData[M5],TRUE,Tbl_ResidentData[S5],TRUE,Tbl_ResidentData[Cohort],"Additional")</f>
        <v>0</v>
      </c>
      <c r="Q141" s="310">
        <f>COUNTIFS(Tbl_ResidentData[Exclusion Flag],0,Tbl_ResidentData[M6],TRUE,Tbl_ResidentData[S6],TRUE,Tbl_ResidentData[Cohort],"Additional")</f>
        <v>0</v>
      </c>
      <c r="R141" s="310">
        <f>COUNTIFS(Tbl_ResidentData[Exclusion Flag],0,Tbl_ResidentData[M7],TRUE,Tbl_ResidentData[S7],TRUE,Tbl_ResidentData[Cohort],"Additional")</f>
        <v>0</v>
      </c>
      <c r="S141" s="310">
        <f>COUNTIFS(Tbl_ResidentData[Exclusion Flag],0,Tbl_ResidentData[M8],TRUE,Tbl_ResidentData[S8],TRUE,Tbl_ResidentData[Cohort],"Additional")</f>
        <v>0</v>
      </c>
      <c r="T141" s="310">
        <f>COUNTIFS(Tbl_ResidentData[Exclusion Flag],0,Tbl_ResidentData[M9],TRUE,Tbl_ResidentData[S9],TRUE,Tbl_ResidentData[Cohort],"Additional")</f>
        <v>0</v>
      </c>
      <c r="U141" s="310">
        <f>COUNTIFS(Tbl_ResidentData[Exclusion Flag],0,Tbl_ResidentData[M10],TRUE,Tbl_ResidentData[S10],TRUE,Tbl_ResidentData[Cohort],"Additional")</f>
        <v>0</v>
      </c>
      <c r="V141" s="310">
        <f>COUNTIFS(Tbl_ResidentData[Exclusion Flag],0,Tbl_ResidentData[M11],TRUE,Tbl_ResidentData[S11],TRUE,Tbl_ResidentData[Cohort],"Additional")</f>
        <v>0</v>
      </c>
      <c r="W141" s="310">
        <f>COUNTIFS(Tbl_ResidentData[Exclusion Flag],0,Tbl_ResidentData[M12],TRUE,Tbl_ResidentData[S12],TRUE,Tbl_ResidentData[Cohort],"Additional")</f>
        <v>0</v>
      </c>
      <c r="X141" s="310">
        <f>COUNTIFS(Tbl_ResidentData[Exclusion Flag],0,Tbl_ResidentData[M13],TRUE,Tbl_ResidentData[S13],TRUE,Tbl_ResidentData[Cohort],"Additional")</f>
        <v>0</v>
      </c>
      <c r="Y141" s="310">
        <f>COUNTIFS(Tbl_ResidentData[Exclusion Flag],0,Tbl_ResidentData[M14],TRUE,Tbl_ResidentData[S14],TRUE,Tbl_ResidentData[Cohort],"Additional")</f>
        <v>0</v>
      </c>
      <c r="Z141" s="310">
        <f>COUNTIFS(Tbl_ResidentData[Exclusion Flag],0,Tbl_ResidentData[M15],TRUE,Tbl_ResidentData[S15],TRUE,Tbl_ResidentData[Cohort],"Additional")</f>
        <v>0</v>
      </c>
      <c r="AA141" s="310">
        <f>COUNTIFS(Tbl_ResidentData[Exclusion Flag],0,Tbl_ResidentData[M16],TRUE,Tbl_ResidentData[S16],TRUE,Tbl_ResidentData[Cohort],"Additional")</f>
        <v>0</v>
      </c>
      <c r="AB141" s="310">
        <f>COUNTIFS(Tbl_ResidentData[Exclusion Flag],0,Tbl_ResidentData[M17],TRUE,Tbl_ResidentData[S17],TRUE,Tbl_ResidentData[Cohort],"Additional")</f>
        <v>0</v>
      </c>
      <c r="AC141" s="310">
        <f>COUNTIFS(Tbl_ResidentData[Exclusion Flag],0,Tbl_ResidentData[M18],TRUE,Tbl_ResidentData[S18],TRUE,Tbl_ResidentData[Cohort],"Additional")</f>
        <v>0</v>
      </c>
      <c r="AD141" s="310">
        <f>COUNTIFS(Tbl_ResidentData[Exclusion Flag],0,Tbl_ResidentData[M19],TRUE,Tbl_ResidentData[S19],TRUE,Tbl_ResidentData[Cohort],"Additional")</f>
        <v>0</v>
      </c>
      <c r="AE141" s="310">
        <f>COUNTIFS(Tbl_ResidentData[Exclusion Flag],0,Tbl_ResidentData[M20],TRUE,Tbl_ResidentData[S20],TRUE,Tbl_ResidentData[Cohort],"Additional")</f>
        <v>0</v>
      </c>
      <c r="AF141" s="310">
        <f>COUNTIFS(Tbl_ResidentData[Exclusion Flag],0,Tbl_ResidentData[M21],TRUE,Tbl_ResidentData[S21],TRUE,Tbl_ResidentData[Cohort],"Additional")</f>
        <v>0</v>
      </c>
      <c r="AG141" s="310">
        <f>COUNTIFS(Tbl_ResidentData[Exclusion Flag],0,Tbl_ResidentData[M22],TRUE,Tbl_ResidentData[S22],TRUE,Tbl_ResidentData[Cohort],"Additional")</f>
        <v>0</v>
      </c>
      <c r="AH141" s="310">
        <f>COUNTIFS(Tbl_ResidentData[Exclusion Flag],0,Tbl_ResidentData[M23],TRUE,Tbl_ResidentData[S23],TRUE,Tbl_ResidentData[Cohort],"Additional")</f>
        <v>0</v>
      </c>
      <c r="AI141" s="311">
        <f>COUNTIFS(Tbl_ResidentData[Exclusion Flag],0,Tbl_ResidentData[M24],TRUE,Tbl_ResidentData[S24],TRUE,Tbl_ResidentData[Cohort],"Additional")</f>
        <v>0</v>
      </c>
    </row>
    <row r="142" spans="1:35" hidden="1" x14ac:dyDescent="0.25">
      <c r="A142" s="273"/>
      <c r="B142" s="460" t="s">
        <v>234</v>
      </c>
      <c r="D142" s="281"/>
      <c r="E142" s="281"/>
      <c r="F142" s="281"/>
      <c r="G142" s="281"/>
      <c r="H142" s="281"/>
      <c r="I142" s="281"/>
      <c r="J142" s="281"/>
      <c r="K142" s="281"/>
      <c r="L142" s="310">
        <f>COUNTIFS(Tbl_ResidentData[Exclusion Flag],0,Tbl_ResidentData[M1],TRUE,Tbl_ResidentData[P1],TRUE,Tbl_ResidentData[Cohort],"Additional")</f>
        <v>0</v>
      </c>
      <c r="M142" s="310">
        <f>COUNTIFS(Tbl_ResidentData[Exclusion Flag],0,Tbl_ResidentData[M2],TRUE,Tbl_ResidentData[P2],TRUE,Tbl_ResidentData[Cohort],"Additional")</f>
        <v>0</v>
      </c>
      <c r="N142" s="310">
        <f>COUNTIFS(Tbl_ResidentData[Exclusion Flag],0,Tbl_ResidentData[M3],TRUE,Tbl_ResidentData[P3],TRUE,Tbl_ResidentData[Cohort],"Additional")</f>
        <v>0</v>
      </c>
      <c r="O142" s="310">
        <f>COUNTIFS(Tbl_ResidentData[Exclusion Flag],0,Tbl_ResidentData[M4],TRUE,Tbl_ResidentData[P4],TRUE,Tbl_ResidentData[Cohort],"Additional")</f>
        <v>0</v>
      </c>
      <c r="P142" s="310">
        <f>COUNTIFS(Tbl_ResidentData[Exclusion Flag],0,Tbl_ResidentData[M5],TRUE,Tbl_ResidentData[P5],TRUE,Tbl_ResidentData[Cohort],"Additional")</f>
        <v>0</v>
      </c>
      <c r="Q142" s="310">
        <f>COUNTIFS(Tbl_ResidentData[Exclusion Flag],0,Tbl_ResidentData[M6],TRUE,Tbl_ResidentData[P6],TRUE,Tbl_ResidentData[Cohort],"Additional")</f>
        <v>0</v>
      </c>
      <c r="R142" s="310">
        <f>COUNTIFS(Tbl_ResidentData[Exclusion Flag],0,Tbl_ResidentData[M7],TRUE,Tbl_ResidentData[P7],TRUE,Tbl_ResidentData[Cohort],"Additional")</f>
        <v>0</v>
      </c>
      <c r="S142" s="310">
        <f>COUNTIFS(Tbl_ResidentData[Exclusion Flag],0,Tbl_ResidentData[M8],TRUE,Tbl_ResidentData[P8],TRUE,Tbl_ResidentData[Cohort],"Additional")</f>
        <v>0</v>
      </c>
      <c r="T142" s="310">
        <f>COUNTIFS(Tbl_ResidentData[Exclusion Flag],0,Tbl_ResidentData[M9],TRUE,Tbl_ResidentData[P9],TRUE,Tbl_ResidentData[Cohort],"Additional")</f>
        <v>0</v>
      </c>
      <c r="U142" s="310">
        <f>COUNTIFS(Tbl_ResidentData[Exclusion Flag],0,Tbl_ResidentData[M10],TRUE,Tbl_ResidentData[P10],TRUE,Tbl_ResidentData[Cohort],"Additional")</f>
        <v>0</v>
      </c>
      <c r="V142" s="310">
        <f>COUNTIFS(Tbl_ResidentData[Exclusion Flag],0,Tbl_ResidentData[M11],TRUE,Tbl_ResidentData[P11],TRUE,Tbl_ResidentData[Cohort],"Additional")</f>
        <v>0</v>
      </c>
      <c r="W142" s="310">
        <f>COUNTIFS(Tbl_ResidentData[Exclusion Flag],0,Tbl_ResidentData[M12],TRUE,Tbl_ResidentData[P12],TRUE,Tbl_ResidentData[Cohort],"Additional")</f>
        <v>0</v>
      </c>
      <c r="X142" s="310">
        <f>COUNTIFS(Tbl_ResidentData[Exclusion Flag],0,Tbl_ResidentData[M13],TRUE,Tbl_ResidentData[P13],TRUE,Tbl_ResidentData[Cohort],"Additional")</f>
        <v>0</v>
      </c>
      <c r="Y142" s="310">
        <f>COUNTIFS(Tbl_ResidentData[Exclusion Flag],0,Tbl_ResidentData[M14],TRUE,Tbl_ResidentData[P14],TRUE,Tbl_ResidentData[Cohort],"Additional")</f>
        <v>0</v>
      </c>
      <c r="Z142" s="310">
        <f>COUNTIFS(Tbl_ResidentData[Exclusion Flag],0,Tbl_ResidentData[M15],TRUE,Tbl_ResidentData[P15],TRUE,Tbl_ResidentData[Cohort],"Additional")</f>
        <v>0</v>
      </c>
      <c r="AA142" s="310">
        <f>COUNTIFS(Tbl_ResidentData[Exclusion Flag],0,Tbl_ResidentData[M16],TRUE,Tbl_ResidentData[P16],TRUE,Tbl_ResidentData[Cohort],"Additional")</f>
        <v>0</v>
      </c>
      <c r="AB142" s="310">
        <f>COUNTIFS(Tbl_ResidentData[Exclusion Flag],0,Tbl_ResidentData[M17],TRUE,Tbl_ResidentData[P17],TRUE,Tbl_ResidentData[Cohort],"Additional")</f>
        <v>0</v>
      </c>
      <c r="AC142" s="310">
        <f>COUNTIFS(Tbl_ResidentData[Exclusion Flag],0,Tbl_ResidentData[M18],TRUE,Tbl_ResidentData[P18],TRUE,Tbl_ResidentData[Cohort],"Additional")</f>
        <v>0</v>
      </c>
      <c r="AD142" s="310">
        <f>COUNTIFS(Tbl_ResidentData[Exclusion Flag],0,Tbl_ResidentData[M19],TRUE,Tbl_ResidentData[P19],TRUE,Tbl_ResidentData[Cohort],"Additional")</f>
        <v>0</v>
      </c>
      <c r="AE142" s="310">
        <f>COUNTIFS(Tbl_ResidentData[Exclusion Flag],0,Tbl_ResidentData[M20],TRUE,Tbl_ResidentData[P20],TRUE,Tbl_ResidentData[Cohort],"Additional")</f>
        <v>0</v>
      </c>
      <c r="AF142" s="310">
        <f>COUNTIFS(Tbl_ResidentData[Exclusion Flag],0,Tbl_ResidentData[M21],TRUE,Tbl_ResidentData[P21],TRUE,Tbl_ResidentData[Cohort],"Additional")</f>
        <v>0</v>
      </c>
      <c r="AG142" s="310">
        <f>COUNTIFS(Tbl_ResidentData[Exclusion Flag],0,Tbl_ResidentData[M22],TRUE,Tbl_ResidentData[P22],TRUE,Tbl_ResidentData[Cohort],"Additional")</f>
        <v>0</v>
      </c>
      <c r="AH142" s="310">
        <f>COUNTIFS(Tbl_ResidentData[Exclusion Flag],0,Tbl_ResidentData[M23],TRUE,Tbl_ResidentData[P23],TRUE,Tbl_ResidentData[Cohort],"Additional")</f>
        <v>0</v>
      </c>
      <c r="AI142" s="311">
        <f>COUNTIFS(Tbl_ResidentData[Exclusion Flag],0,Tbl_ResidentData[M24],TRUE,Tbl_ResidentData[P24],TRUE,Tbl_ResidentData[Cohort],"Additional")</f>
        <v>0</v>
      </c>
    </row>
    <row r="143" spans="1:35" ht="15.75" thickBot="1" x14ac:dyDescent="0.3">
      <c r="A143" s="276"/>
      <c r="B143" s="461" t="s">
        <v>310</v>
      </c>
      <c r="C143" s="414"/>
      <c r="D143" s="282"/>
      <c r="E143" s="282"/>
      <c r="F143" s="282"/>
      <c r="G143" s="282"/>
      <c r="H143" s="282"/>
      <c r="I143" s="282"/>
      <c r="J143" s="282"/>
      <c r="K143" s="282"/>
      <c r="L143" s="312" t="str">
        <f t="shared" ref="L143:AI143" si="23">IFERROR(L$140/L$130,"-")</f>
        <v>-</v>
      </c>
      <c r="M143" s="312" t="str">
        <f t="shared" si="23"/>
        <v>-</v>
      </c>
      <c r="N143" s="312" t="str">
        <f t="shared" si="23"/>
        <v>-</v>
      </c>
      <c r="O143" s="312" t="str">
        <f t="shared" si="23"/>
        <v>-</v>
      </c>
      <c r="P143" s="312" t="str">
        <f t="shared" si="23"/>
        <v>-</v>
      </c>
      <c r="Q143" s="312" t="str">
        <f t="shared" si="23"/>
        <v>-</v>
      </c>
      <c r="R143" s="312" t="str">
        <f t="shared" si="23"/>
        <v>-</v>
      </c>
      <c r="S143" s="312" t="str">
        <f t="shared" si="23"/>
        <v>-</v>
      </c>
      <c r="T143" s="312" t="str">
        <f t="shared" si="23"/>
        <v>-</v>
      </c>
      <c r="U143" s="312" t="str">
        <f t="shared" si="23"/>
        <v>-</v>
      </c>
      <c r="V143" s="312" t="str">
        <f t="shared" si="23"/>
        <v>-</v>
      </c>
      <c r="W143" s="312" t="str">
        <f t="shared" si="23"/>
        <v>-</v>
      </c>
      <c r="X143" s="312" t="str">
        <f t="shared" si="23"/>
        <v>-</v>
      </c>
      <c r="Y143" s="312" t="str">
        <f t="shared" si="23"/>
        <v>-</v>
      </c>
      <c r="Z143" s="312" t="str">
        <f t="shared" si="23"/>
        <v>-</v>
      </c>
      <c r="AA143" s="312" t="str">
        <f t="shared" si="23"/>
        <v>-</v>
      </c>
      <c r="AB143" s="312" t="str">
        <f t="shared" si="23"/>
        <v>-</v>
      </c>
      <c r="AC143" s="312" t="str">
        <f t="shared" si="23"/>
        <v>-</v>
      </c>
      <c r="AD143" s="312" t="str">
        <f t="shared" si="23"/>
        <v>-</v>
      </c>
      <c r="AE143" s="312" t="str">
        <f t="shared" si="23"/>
        <v>-</v>
      </c>
      <c r="AF143" s="312" t="str">
        <f t="shared" si="23"/>
        <v>-</v>
      </c>
      <c r="AG143" s="312" t="str">
        <f t="shared" si="23"/>
        <v>-</v>
      </c>
      <c r="AH143" s="312" t="str">
        <f t="shared" si="23"/>
        <v>-</v>
      </c>
      <c r="AI143" s="313" t="str">
        <f t="shared" si="23"/>
        <v>-</v>
      </c>
    </row>
    <row r="144" spans="1:35" hidden="1" x14ac:dyDescent="0.25">
      <c r="A144" s="273"/>
      <c r="B144" s="460" t="s">
        <v>235</v>
      </c>
      <c r="C144" s="281"/>
      <c r="D144" s="281"/>
      <c r="E144" s="281"/>
      <c r="F144" s="281"/>
      <c r="G144" s="281"/>
      <c r="H144" s="281"/>
      <c r="I144" s="281"/>
      <c r="J144" s="281"/>
      <c r="K144" s="281"/>
      <c r="L144" s="314" t="str">
        <f t="shared" ref="L144:AI144" si="24">IFERROR(L$141/L$130,"-")</f>
        <v>-</v>
      </c>
      <c r="M144" s="314" t="str">
        <f t="shared" si="24"/>
        <v>-</v>
      </c>
      <c r="N144" s="314" t="str">
        <f t="shared" si="24"/>
        <v>-</v>
      </c>
      <c r="O144" s="314" t="str">
        <f t="shared" si="24"/>
        <v>-</v>
      </c>
      <c r="P144" s="314" t="str">
        <f t="shared" si="24"/>
        <v>-</v>
      </c>
      <c r="Q144" s="314" t="str">
        <f t="shared" si="24"/>
        <v>-</v>
      </c>
      <c r="R144" s="314" t="str">
        <f t="shared" si="24"/>
        <v>-</v>
      </c>
      <c r="S144" s="314" t="str">
        <f t="shared" si="24"/>
        <v>-</v>
      </c>
      <c r="T144" s="314" t="str">
        <f t="shared" si="24"/>
        <v>-</v>
      </c>
      <c r="U144" s="314" t="str">
        <f t="shared" si="24"/>
        <v>-</v>
      </c>
      <c r="V144" s="314" t="str">
        <f t="shared" si="24"/>
        <v>-</v>
      </c>
      <c r="W144" s="314" t="str">
        <f t="shared" si="24"/>
        <v>-</v>
      </c>
      <c r="X144" s="314" t="str">
        <f t="shared" si="24"/>
        <v>-</v>
      </c>
      <c r="Y144" s="314" t="str">
        <f t="shared" si="24"/>
        <v>-</v>
      </c>
      <c r="Z144" s="314" t="str">
        <f t="shared" si="24"/>
        <v>-</v>
      </c>
      <c r="AA144" s="314" t="str">
        <f t="shared" si="24"/>
        <v>-</v>
      </c>
      <c r="AB144" s="314" t="str">
        <f t="shared" si="24"/>
        <v>-</v>
      </c>
      <c r="AC144" s="314" t="str">
        <f t="shared" si="24"/>
        <v>-</v>
      </c>
      <c r="AD144" s="314" t="str">
        <f t="shared" si="24"/>
        <v>-</v>
      </c>
      <c r="AE144" s="314" t="str">
        <f t="shared" si="24"/>
        <v>-</v>
      </c>
      <c r="AF144" s="314" t="str">
        <f t="shared" si="24"/>
        <v>-</v>
      </c>
      <c r="AG144" s="314" t="str">
        <f t="shared" si="24"/>
        <v>-</v>
      </c>
      <c r="AH144" s="314" t="str">
        <f t="shared" si="24"/>
        <v>-</v>
      </c>
      <c r="AI144" s="315" t="str">
        <f t="shared" si="24"/>
        <v>-</v>
      </c>
    </row>
    <row r="145" spans="1:35" ht="15.75" hidden="1" thickBot="1" x14ac:dyDescent="0.3">
      <c r="A145" s="276"/>
      <c r="B145" s="461" t="s">
        <v>236</v>
      </c>
      <c r="C145" s="282"/>
      <c r="D145" s="282"/>
      <c r="E145" s="282"/>
      <c r="F145" s="282"/>
      <c r="G145" s="282"/>
      <c r="H145" s="282"/>
      <c r="I145" s="282"/>
      <c r="J145" s="282"/>
      <c r="K145" s="282"/>
      <c r="L145" s="312" t="str">
        <f t="shared" ref="L145:AI145" si="25">IFERROR(L$142/L$130,"-")</f>
        <v>-</v>
      </c>
      <c r="M145" s="312" t="str">
        <f t="shared" si="25"/>
        <v>-</v>
      </c>
      <c r="N145" s="312" t="str">
        <f t="shared" si="25"/>
        <v>-</v>
      </c>
      <c r="O145" s="312" t="str">
        <f t="shared" si="25"/>
        <v>-</v>
      </c>
      <c r="P145" s="312" t="str">
        <f t="shared" si="25"/>
        <v>-</v>
      </c>
      <c r="Q145" s="312" t="str">
        <f t="shared" si="25"/>
        <v>-</v>
      </c>
      <c r="R145" s="312" t="str">
        <f t="shared" si="25"/>
        <v>-</v>
      </c>
      <c r="S145" s="312" t="str">
        <f t="shared" si="25"/>
        <v>-</v>
      </c>
      <c r="T145" s="312" t="str">
        <f t="shared" si="25"/>
        <v>-</v>
      </c>
      <c r="U145" s="312" t="str">
        <f t="shared" si="25"/>
        <v>-</v>
      </c>
      <c r="V145" s="312" t="str">
        <f t="shared" si="25"/>
        <v>-</v>
      </c>
      <c r="W145" s="312" t="str">
        <f t="shared" si="25"/>
        <v>-</v>
      </c>
      <c r="X145" s="312" t="str">
        <f t="shared" si="25"/>
        <v>-</v>
      </c>
      <c r="Y145" s="312" t="str">
        <f t="shared" si="25"/>
        <v>-</v>
      </c>
      <c r="Z145" s="312" t="str">
        <f t="shared" si="25"/>
        <v>-</v>
      </c>
      <c r="AA145" s="312" t="str">
        <f t="shared" si="25"/>
        <v>-</v>
      </c>
      <c r="AB145" s="312" t="str">
        <f t="shared" si="25"/>
        <v>-</v>
      </c>
      <c r="AC145" s="312" t="str">
        <f t="shared" si="25"/>
        <v>-</v>
      </c>
      <c r="AD145" s="312" t="str">
        <f t="shared" si="25"/>
        <v>-</v>
      </c>
      <c r="AE145" s="312" t="str">
        <f t="shared" si="25"/>
        <v>-</v>
      </c>
      <c r="AF145" s="312" t="str">
        <f t="shared" si="25"/>
        <v>-</v>
      </c>
      <c r="AG145" s="312" t="str">
        <f t="shared" si="25"/>
        <v>-</v>
      </c>
      <c r="AH145" s="312" t="str">
        <f t="shared" si="25"/>
        <v>-</v>
      </c>
      <c r="AI145" s="313" t="str">
        <f t="shared" si="25"/>
        <v>-</v>
      </c>
    </row>
    <row r="146" spans="1:35" hidden="1" x14ac:dyDescent="0.25">
      <c r="A146" s="301" t="e">
        <f>MEDIAN($L$143:$AI$143)</f>
        <v>#NUM!</v>
      </c>
      <c r="B146" s="460" t="s">
        <v>88</v>
      </c>
      <c r="C146" s="281"/>
      <c r="D146" s="281"/>
      <c r="E146" s="281"/>
      <c r="F146" s="281"/>
      <c r="G146" s="281"/>
      <c r="H146" s="281"/>
      <c r="I146" s="281"/>
      <c r="J146" s="281"/>
      <c r="K146" s="281"/>
      <c r="L146" s="314" t="str">
        <f t="shared" ref="L146:AI146" si="26">IFERROR($A$146,"")</f>
        <v/>
      </c>
      <c r="M146" s="314" t="str">
        <f t="shared" si="26"/>
        <v/>
      </c>
      <c r="N146" s="314" t="str">
        <f t="shared" si="26"/>
        <v/>
      </c>
      <c r="O146" s="314" t="str">
        <f t="shared" si="26"/>
        <v/>
      </c>
      <c r="P146" s="314" t="str">
        <f t="shared" si="26"/>
        <v/>
      </c>
      <c r="Q146" s="314" t="str">
        <f t="shared" si="26"/>
        <v/>
      </c>
      <c r="R146" s="314" t="str">
        <f t="shared" si="26"/>
        <v/>
      </c>
      <c r="S146" s="314" t="str">
        <f t="shared" si="26"/>
        <v/>
      </c>
      <c r="T146" s="314" t="str">
        <f t="shared" si="26"/>
        <v/>
      </c>
      <c r="U146" s="314" t="str">
        <f t="shared" si="26"/>
        <v/>
      </c>
      <c r="V146" s="314" t="str">
        <f t="shared" si="26"/>
        <v/>
      </c>
      <c r="W146" s="314" t="str">
        <f t="shared" si="26"/>
        <v/>
      </c>
      <c r="X146" s="314" t="str">
        <f t="shared" si="26"/>
        <v/>
      </c>
      <c r="Y146" s="314" t="str">
        <f t="shared" si="26"/>
        <v/>
      </c>
      <c r="Z146" s="314" t="str">
        <f t="shared" si="26"/>
        <v/>
      </c>
      <c r="AA146" s="314" t="str">
        <f t="shared" si="26"/>
        <v/>
      </c>
      <c r="AB146" s="314" t="str">
        <f t="shared" si="26"/>
        <v/>
      </c>
      <c r="AC146" s="314" t="str">
        <f t="shared" si="26"/>
        <v/>
      </c>
      <c r="AD146" s="314" t="str">
        <f t="shared" si="26"/>
        <v/>
      </c>
      <c r="AE146" s="314" t="str">
        <f t="shared" si="26"/>
        <v/>
      </c>
      <c r="AF146" s="314" t="str">
        <f t="shared" si="26"/>
        <v/>
      </c>
      <c r="AG146" s="314" t="str">
        <f t="shared" si="26"/>
        <v/>
      </c>
      <c r="AH146" s="314" t="str">
        <f t="shared" si="26"/>
        <v/>
      </c>
      <c r="AI146" s="314" t="str">
        <f t="shared" si="26"/>
        <v/>
      </c>
    </row>
    <row r="147" spans="1:35" ht="5.0999999999999996" customHeight="1" x14ac:dyDescent="0.25"/>
    <row r="148" spans="1:35" s="272" customFormat="1" ht="18.75" x14ac:dyDescent="0.3">
      <c r="A148" s="284" t="s">
        <v>343</v>
      </c>
      <c r="B148" s="502"/>
      <c r="M148" s="304"/>
      <c r="N148" s="411"/>
      <c r="O148" s="411"/>
      <c r="P148" s="411"/>
      <c r="Q148" s="411"/>
      <c r="R148" s="304"/>
      <c r="S148" s="304"/>
      <c r="T148" s="304"/>
      <c r="V148" s="412"/>
      <c r="W148" s="304"/>
      <c r="Y148" s="304"/>
      <c r="AA148" s="304"/>
    </row>
    <row r="149" spans="1:35" x14ac:dyDescent="0.25">
      <c r="C149" s="334"/>
      <c r="D149" s="334"/>
      <c r="E149" s="334"/>
      <c r="F149" s="334"/>
      <c r="G149" s="334"/>
      <c r="H149" s="334"/>
      <c r="I149" s="334"/>
      <c r="J149" s="334"/>
      <c r="K149" s="334" t="s">
        <v>251</v>
      </c>
      <c r="L149" s="279">
        <f>Var_DisplayMonth</f>
        <v>15</v>
      </c>
    </row>
    <row r="150" spans="1:35" ht="5.0999999999999996" customHeight="1" x14ac:dyDescent="0.25"/>
  </sheetData>
  <sheetProtection password="918C" sheet="1" objects="1" scenarios="1"/>
  <conditionalFormatting sqref="L10:AI13 L16:AI19 L22:AI27 L31:AI32 L108:AI109 L112:AI114 L118:AI121 L130:AI131 L134:AI136 L140:AI143">
    <cfRule type="expression" dxfId="2" priority="1">
      <formula>L$4=0</formula>
    </cfRule>
  </conditionalFormatting>
  <dataValidations count="1">
    <dataValidation type="list" allowBlank="1" showInputMessage="1" showErrorMessage="1" sqref="L35">
      <formula1>List_MonthNum</formula1>
    </dataValidation>
  </dataValidations>
  <pageMargins left="0.25" right="0.25" top="0.25" bottom="0.25" header="0" footer="0"/>
  <pageSetup scale="81" fitToHeight="0" orientation="landscape" r:id="rId1"/>
  <rowBreaks count="3" manualBreakCount="3">
    <brk id="56" max="34" man="1"/>
    <brk id="103" max="34" man="1"/>
    <brk id="147" max="3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3:I16"/>
  <sheetViews>
    <sheetView workbookViewId="0">
      <selection activeCell="Q10" sqref="Q10"/>
    </sheetView>
  </sheetViews>
  <sheetFormatPr defaultRowHeight="15" x14ac:dyDescent="0.25"/>
  <cols>
    <col min="2" max="2" width="12.28515625" customWidth="1"/>
    <col min="3" max="3" width="9.140625" customWidth="1"/>
  </cols>
  <sheetData>
    <row r="3" spans="2:9" ht="60" customHeight="1" x14ac:dyDescent="0.25">
      <c r="B3" s="1"/>
      <c r="C3" s="9" t="s">
        <v>0</v>
      </c>
      <c r="D3" s="9" t="s">
        <v>1</v>
      </c>
      <c r="E3" s="10" t="s">
        <v>2</v>
      </c>
      <c r="F3" s="11" t="s">
        <v>3</v>
      </c>
    </row>
    <row r="4" spans="2:9" x14ac:dyDescent="0.25">
      <c r="B4" s="3" t="e">
        <f>#REF!</f>
        <v>#REF!</v>
      </c>
      <c r="C4" s="2" t="e">
        <f>#REF!</f>
        <v>#REF!</v>
      </c>
      <c r="D4" s="7" t="e">
        <f>#REF!</f>
        <v>#REF!</v>
      </c>
      <c r="E4" s="7" t="e">
        <f>#REF!</f>
        <v>#REF!</v>
      </c>
      <c r="F4" s="7" t="e">
        <f>#REF!</f>
        <v>#REF!</v>
      </c>
    </row>
    <row r="5" spans="2:9" x14ac:dyDescent="0.25">
      <c r="B5" s="4" t="e">
        <f>#REF!</f>
        <v>#REF!</v>
      </c>
      <c r="C5" s="2" t="e">
        <f>#REF!</f>
        <v>#REF!</v>
      </c>
      <c r="D5" s="7" t="e">
        <f>#REF!</f>
        <v>#REF!</v>
      </c>
      <c r="E5" s="7" t="e">
        <f>#REF!</f>
        <v>#REF!</v>
      </c>
      <c r="F5" s="7" t="e">
        <f>#REF!</f>
        <v>#REF!</v>
      </c>
    </row>
    <row r="6" spans="2:9" x14ac:dyDescent="0.25">
      <c r="B6" s="4" t="e">
        <f>#REF!</f>
        <v>#REF!</v>
      </c>
      <c r="C6" s="2" t="e">
        <f>#REF!</f>
        <v>#REF!</v>
      </c>
      <c r="D6" s="7" t="e">
        <f>#REF!</f>
        <v>#REF!</v>
      </c>
      <c r="E6" s="7" t="e">
        <f>#REF!</f>
        <v>#REF!</v>
      </c>
      <c r="F6" s="7" t="e">
        <f>#REF!</f>
        <v>#REF!</v>
      </c>
    </row>
    <row r="7" spans="2:9" x14ac:dyDescent="0.25">
      <c r="B7" s="4" t="e">
        <f>#REF!</f>
        <v>#REF!</v>
      </c>
      <c r="C7" s="2" t="e">
        <f>#REF!</f>
        <v>#REF!</v>
      </c>
      <c r="D7" s="7" t="e">
        <f>#REF!</f>
        <v>#REF!</v>
      </c>
      <c r="E7" s="7" t="e">
        <f>#REF!</f>
        <v>#REF!</v>
      </c>
      <c r="F7" s="7" t="e">
        <f>#REF!</f>
        <v>#REF!</v>
      </c>
    </row>
    <row r="8" spans="2:9" x14ac:dyDescent="0.25">
      <c r="B8" s="4" t="e">
        <f>#REF!</f>
        <v>#REF!</v>
      </c>
      <c r="C8" s="2" t="e">
        <f>#REF!</f>
        <v>#REF!</v>
      </c>
      <c r="D8" s="7" t="e">
        <f>#REF!</f>
        <v>#REF!</v>
      </c>
      <c r="E8" s="7" t="e">
        <f>#REF!</f>
        <v>#REF!</v>
      </c>
      <c r="F8" s="7" t="e">
        <f>#REF!</f>
        <v>#REF!</v>
      </c>
    </row>
    <row r="9" spans="2:9" x14ac:dyDescent="0.25">
      <c r="B9" s="4" t="e">
        <f>#REF!</f>
        <v>#REF!</v>
      </c>
      <c r="C9" s="2" t="e">
        <f>#REF!</f>
        <v>#REF!</v>
      </c>
      <c r="D9" s="7" t="e">
        <f>#REF!</f>
        <v>#REF!</v>
      </c>
      <c r="E9" s="7" t="e">
        <f>#REF!</f>
        <v>#REF!</v>
      </c>
      <c r="F9" s="7" t="e">
        <f>#REF!</f>
        <v>#REF!</v>
      </c>
    </row>
    <row r="10" spans="2:9" x14ac:dyDescent="0.25">
      <c r="B10" s="4" t="e">
        <f>#REF!</f>
        <v>#REF!</v>
      </c>
      <c r="C10" s="2" t="e">
        <f>#REF!</f>
        <v>#REF!</v>
      </c>
      <c r="D10" s="7" t="e">
        <f>#REF!</f>
        <v>#REF!</v>
      </c>
      <c r="E10" s="7" t="e">
        <f>#REF!</f>
        <v>#REF!</v>
      </c>
      <c r="F10" s="7" t="e">
        <f>#REF!</f>
        <v>#REF!</v>
      </c>
    </row>
    <row r="11" spans="2:9" x14ac:dyDescent="0.25">
      <c r="B11" s="5" t="e">
        <f>#REF!</f>
        <v>#REF!</v>
      </c>
      <c r="C11" s="2" t="e">
        <f>#REF!</f>
        <v>#REF!</v>
      </c>
      <c r="D11" s="7" t="e">
        <f>#REF!</f>
        <v>#REF!</v>
      </c>
      <c r="E11" s="7" t="e">
        <f>#REF!</f>
        <v>#REF!</v>
      </c>
      <c r="F11" s="7" t="e">
        <f>#REF!</f>
        <v>#REF!</v>
      </c>
    </row>
    <row r="12" spans="2:9" x14ac:dyDescent="0.25">
      <c r="B12" s="4" t="e">
        <f>#REF!</f>
        <v>#REF!</v>
      </c>
      <c r="C12" s="2" t="e">
        <f>#REF!</f>
        <v>#REF!</v>
      </c>
      <c r="D12" s="7" t="e">
        <f>#REF!</f>
        <v>#REF!</v>
      </c>
      <c r="E12" s="7" t="e">
        <f>#REF!</f>
        <v>#REF!</v>
      </c>
      <c r="F12" s="7" t="e">
        <f>#REF!</f>
        <v>#REF!</v>
      </c>
    </row>
    <row r="13" spans="2:9" x14ac:dyDescent="0.25">
      <c r="B13" s="4" t="e">
        <f>#REF!</f>
        <v>#REF!</v>
      </c>
      <c r="C13" s="2" t="e">
        <f>#REF!</f>
        <v>#REF!</v>
      </c>
      <c r="D13" s="7" t="e">
        <f>#REF!</f>
        <v>#REF!</v>
      </c>
      <c r="E13" s="7" t="e">
        <f>#REF!</f>
        <v>#REF!</v>
      </c>
      <c r="F13" s="7" t="e">
        <f>#REF!</f>
        <v>#REF!</v>
      </c>
    </row>
    <row r="14" spans="2:9" x14ac:dyDescent="0.25">
      <c r="B14" s="4" t="e">
        <f>#REF!</f>
        <v>#REF!</v>
      </c>
      <c r="C14" s="6" t="e">
        <f>#REF!</f>
        <v>#REF!</v>
      </c>
      <c r="D14" s="7" t="e">
        <f>#REF!</f>
        <v>#REF!</v>
      </c>
      <c r="E14" s="7" t="e">
        <f>#REF!</f>
        <v>#REF!</v>
      </c>
      <c r="F14" s="7" t="e">
        <f>#REF!</f>
        <v>#REF!</v>
      </c>
      <c r="I14" s="8"/>
    </row>
    <row r="15" spans="2:9" x14ac:dyDescent="0.25">
      <c r="B15" s="4" t="e">
        <f>#REF!</f>
        <v>#REF!</v>
      </c>
      <c r="C15" s="6" t="e">
        <f>#REF!</f>
        <v>#REF!</v>
      </c>
      <c r="D15" s="7" t="e">
        <f>#REF!</f>
        <v>#REF!</v>
      </c>
      <c r="E15" s="7" t="e">
        <f>#REF!</f>
        <v>#REF!</v>
      </c>
      <c r="F15" s="7" t="e">
        <f>#REF!</f>
        <v>#REF!</v>
      </c>
    </row>
    <row r="16" spans="2:9" x14ac:dyDescent="0.25">
      <c r="B16" s="4" t="e">
        <f>#REF!</f>
        <v>#REF!</v>
      </c>
      <c r="C16" s="6" t="e">
        <f>#REF!</f>
        <v>#REF!</v>
      </c>
      <c r="D16" s="7" t="e">
        <f>#REF!</f>
        <v>#REF!</v>
      </c>
      <c r="E16" s="7" t="e">
        <f>#REF!</f>
        <v>#REF!</v>
      </c>
      <c r="F16" s="7" t="e">
        <f>#REF!</f>
        <v>#REF!</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0.249977111117893"/>
    <pageSetUpPr fitToPage="1"/>
  </sheetPr>
  <dimension ref="A1:AG49"/>
  <sheetViews>
    <sheetView showGridLines="0" zoomScaleNormal="100" zoomScaleSheetLayoutView="100" workbookViewId="0">
      <pane ySplit="2" topLeftCell="A3" activePane="bottomLeft" state="frozen"/>
      <selection pane="bottomLeft"/>
    </sheetView>
  </sheetViews>
  <sheetFormatPr defaultColWidth="6.28515625" defaultRowHeight="15" x14ac:dyDescent="0.25"/>
  <cols>
    <col min="1" max="14" width="6.28515625" customWidth="1"/>
    <col min="15" max="16" width="6.28515625" style="343" customWidth="1"/>
  </cols>
  <sheetData>
    <row r="1" spans="1:33" s="152" customFormat="1" ht="21" x14ac:dyDescent="0.35">
      <c r="A1" s="150" t="s">
        <v>209</v>
      </c>
    </row>
    <row r="2" spans="1:33" s="100" customFormat="1" ht="18.75" x14ac:dyDescent="0.3">
      <c r="A2" s="146" t="s">
        <v>206</v>
      </c>
      <c r="R2" s="146" t="s">
        <v>279</v>
      </c>
    </row>
    <row r="3" spans="1:33" s="74" customFormat="1" ht="27" thickBot="1" x14ac:dyDescent="0.45">
      <c r="A3" s="599" t="s">
        <v>124</v>
      </c>
      <c r="B3" s="599"/>
      <c r="C3" s="599"/>
      <c r="D3" s="599"/>
      <c r="E3" s="599"/>
      <c r="F3" s="599"/>
      <c r="G3" s="599"/>
      <c r="H3" s="599"/>
      <c r="I3" s="599"/>
      <c r="J3" s="599"/>
      <c r="K3" s="599"/>
      <c r="L3" s="599"/>
      <c r="M3" s="599"/>
      <c r="N3" s="599"/>
      <c r="O3" s="599"/>
      <c r="P3" s="599"/>
      <c r="R3" s="599" t="s">
        <v>361</v>
      </c>
      <c r="S3" s="599"/>
      <c r="T3" s="599"/>
      <c r="U3" s="599"/>
      <c r="V3" s="599"/>
      <c r="W3" s="599"/>
      <c r="X3" s="599"/>
      <c r="Y3" s="599"/>
      <c r="Z3" s="599"/>
      <c r="AA3" s="599"/>
      <c r="AB3" s="599"/>
      <c r="AC3" s="599"/>
      <c r="AD3" s="599"/>
      <c r="AE3" s="599"/>
      <c r="AF3" s="599"/>
      <c r="AG3" s="599"/>
    </row>
    <row r="4" spans="1:33" s="74" customFormat="1" x14ac:dyDescent="0.25">
      <c r="A4" s="610" t="s">
        <v>158</v>
      </c>
      <c r="B4" s="611"/>
      <c r="C4" s="613"/>
      <c r="D4" s="613"/>
      <c r="E4" s="613"/>
      <c r="F4" s="613"/>
      <c r="G4" s="613"/>
      <c r="H4" s="147" t="s">
        <v>199</v>
      </c>
      <c r="I4" s="148"/>
      <c r="J4" s="614" t="str">
        <f>IFERROR(INDEX(Tbl_ResidentData[Enrollment '[mmm-yyyy']],MATCH($C$4,Tbl_ResidentData[Resident Name '[last, first']],0)),"")</f>
        <v/>
      </c>
      <c r="K4" s="614"/>
      <c r="L4" s="379" t="s">
        <v>278</v>
      </c>
      <c r="M4" s="377"/>
      <c r="N4" s="377" t="str">
        <f>IFERROR(INDEX(Tbl_ResidentData[Dementia],MATCH($C$4,Tbl_ResidentData[Resident Name '[last, first']],0))&amp;"","")</f>
        <v/>
      </c>
      <c r="O4" s="377"/>
      <c r="P4" s="378"/>
      <c r="R4" s="610" t="s">
        <v>158</v>
      </c>
      <c r="S4" s="611"/>
      <c r="T4" s="615">
        <f>$C$4</f>
        <v>0</v>
      </c>
      <c r="U4" s="615"/>
      <c r="V4" s="615"/>
      <c r="W4" s="615"/>
      <c r="X4" s="615"/>
      <c r="Y4" s="147" t="s">
        <v>199</v>
      </c>
      <c r="Z4" s="148"/>
      <c r="AA4" s="614" t="str">
        <f>IFERROR(INDEX(Tbl_ResidentData[Enrollment '[mmm-yyyy']],MATCH($C$4,Tbl_ResidentData[Resident Name '[last, first']],0)),"")</f>
        <v/>
      </c>
      <c r="AB4" s="614"/>
      <c r="AC4" s="379" t="s">
        <v>278</v>
      </c>
      <c r="AD4" s="377"/>
      <c r="AE4" s="377" t="str">
        <f>IFERROR(INDEX(Tbl_ResidentData[Dementia],MATCH($C$4,Tbl_ResidentData[Resident Name '[last, first']],0))&amp;"","")</f>
        <v/>
      </c>
      <c r="AF4" s="148"/>
      <c r="AG4" s="544"/>
    </row>
    <row r="5" spans="1:33" s="74" customFormat="1" ht="15.75" thickBot="1" x14ac:dyDescent="0.3">
      <c r="A5" s="612" t="s">
        <v>155</v>
      </c>
      <c r="B5" s="607"/>
      <c r="C5" s="606" t="str">
        <f>IFERROR(INDEX(Tbl_ResidentData[Physician],MATCH($C$4,Tbl_ResidentData[Resident Name '[last, first']],0))&amp;"","")</f>
        <v/>
      </c>
      <c r="D5" s="606"/>
      <c r="E5" s="606"/>
      <c r="F5" s="606"/>
      <c r="G5" s="606"/>
      <c r="H5" s="607" t="s">
        <v>224</v>
      </c>
      <c r="I5" s="607"/>
      <c r="J5" s="606" t="str">
        <f>IFERROR(INDEX(Tbl_ResidentData[Diagnosis (RAI)],MATCH($C$4,Tbl_ResidentData[Resident Name '[last, first']],0))&amp;"","")</f>
        <v/>
      </c>
      <c r="K5" s="606"/>
      <c r="L5" s="606"/>
      <c r="M5" s="606"/>
      <c r="N5" s="606"/>
      <c r="O5" s="606"/>
      <c r="P5" s="608"/>
      <c r="R5" s="612" t="s">
        <v>155</v>
      </c>
      <c r="S5" s="607"/>
      <c r="T5" s="606" t="str">
        <f>IFERROR(INDEX(Tbl_ResidentData[Physician],MATCH($C$4,Tbl_ResidentData[Resident Name '[last, first']],0))&amp;"","")</f>
        <v/>
      </c>
      <c r="U5" s="606"/>
      <c r="V5" s="606"/>
      <c r="W5" s="606"/>
      <c r="X5" s="606"/>
      <c r="Y5" s="607" t="s">
        <v>224</v>
      </c>
      <c r="Z5" s="607"/>
      <c r="AA5" s="606" t="str">
        <f>IFERROR(INDEX(Tbl_ResidentData[Diagnosis (RAI)],MATCH($C$4,Tbl_ResidentData[Resident Name '[last, first']],0))&amp;"","")</f>
        <v/>
      </c>
      <c r="AB5" s="606"/>
      <c r="AC5" s="606"/>
      <c r="AD5" s="606"/>
      <c r="AE5" s="606"/>
      <c r="AF5" s="606"/>
      <c r="AG5" s="608"/>
    </row>
    <row r="6" spans="1:33" s="100" customFormat="1" ht="18.75" x14ac:dyDescent="0.3">
      <c r="A6" s="105" t="s">
        <v>154</v>
      </c>
      <c r="B6" s="106"/>
      <c r="C6" s="106"/>
      <c r="D6" s="106"/>
      <c r="E6" s="106"/>
      <c r="F6" s="106"/>
      <c r="G6" s="106"/>
      <c r="H6" s="106"/>
      <c r="I6" s="106"/>
      <c r="J6" s="106"/>
      <c r="K6" s="106"/>
      <c r="L6" s="106"/>
      <c r="M6" s="106"/>
      <c r="N6" s="106"/>
      <c r="O6" s="106"/>
      <c r="P6" s="142"/>
      <c r="R6" s="105" t="s">
        <v>154</v>
      </c>
      <c r="S6" s="106"/>
      <c r="T6" s="106"/>
      <c r="U6" s="106"/>
      <c r="V6" s="106"/>
      <c r="W6" s="106"/>
      <c r="X6" s="106"/>
      <c r="Y6" s="106"/>
      <c r="Z6" s="106"/>
      <c r="AA6" s="106"/>
      <c r="AB6" s="106"/>
      <c r="AC6" s="106"/>
      <c r="AD6" s="106"/>
      <c r="AE6" s="106"/>
      <c r="AF6" s="106"/>
      <c r="AG6" s="142"/>
    </row>
    <row r="7" spans="1:33" s="74" customFormat="1" x14ac:dyDescent="0.25">
      <c r="A7" s="604" t="s">
        <v>194</v>
      </c>
      <c r="B7" s="605"/>
      <c r="C7" s="609" t="str">
        <f>IFERROR(INDEX(Tbl_ResidentData[Scheduled Med Name(s)
'[free text']],MATCH($C$4,Tbl_ResidentData[Resident Name '[last, first']],0))&amp;"","")</f>
        <v/>
      </c>
      <c r="D7" s="609"/>
      <c r="E7" s="609"/>
      <c r="F7" s="609"/>
      <c r="G7" s="609"/>
      <c r="H7" s="609"/>
      <c r="I7" s="543" t="s">
        <v>353</v>
      </c>
      <c r="J7" s="103"/>
      <c r="K7" s="103"/>
      <c r="L7" s="103"/>
      <c r="M7" s="103"/>
      <c r="N7" s="103"/>
      <c r="O7" s="407"/>
      <c r="P7" s="408"/>
      <c r="R7" s="604" t="s">
        <v>194</v>
      </c>
      <c r="S7" s="605"/>
      <c r="T7" s="609" t="str">
        <f>IFERROR(INDEX(Tbl_ResidentData[Scheduled Med Name(s)
'[free text']],MATCH($C$4,Tbl_ResidentData[Resident Name '[last, first']],0))&amp;"","")</f>
        <v/>
      </c>
      <c r="U7" s="609"/>
      <c r="V7" s="609"/>
      <c r="W7" s="609"/>
      <c r="X7" s="609"/>
      <c r="Y7" s="609"/>
      <c r="Z7" s="543" t="s">
        <v>353</v>
      </c>
      <c r="AA7" s="407"/>
      <c r="AB7" s="407"/>
      <c r="AC7" s="103"/>
      <c r="AD7" s="103"/>
      <c r="AE7" s="103"/>
      <c r="AF7" s="103"/>
      <c r="AG7" s="143"/>
    </row>
    <row r="8" spans="1:33" s="74" customFormat="1" ht="15" customHeight="1" x14ac:dyDescent="0.25">
      <c r="A8" s="604" t="s">
        <v>193</v>
      </c>
      <c r="B8" s="605"/>
      <c r="C8" s="609" t="str">
        <f>IFERROR(INDEX(Tbl_ResidentData[PRN
Med Name(s)
'[free text']],MATCH($C$4,Tbl_ResidentData[Resident Name '[last, first']],0))&amp;"","")</f>
        <v/>
      </c>
      <c r="D8" s="609"/>
      <c r="E8" s="609"/>
      <c r="F8" s="609"/>
      <c r="G8" s="609"/>
      <c r="H8" s="609"/>
      <c r="I8" s="568" t="str">
        <f>IFERROR(INDEX(Tbl_ResidentData[Clinical Notes
'[free text']],MATCH($C$4,Tbl_ResidentData[Resident Name '[last, first']],0)),"")</f>
        <v/>
      </c>
      <c r="J8" s="568"/>
      <c r="K8" s="568"/>
      <c r="L8" s="568"/>
      <c r="M8" s="568"/>
      <c r="N8" s="568"/>
      <c r="O8" s="568"/>
      <c r="P8" s="569"/>
      <c r="R8" s="604" t="s">
        <v>193</v>
      </c>
      <c r="S8" s="605"/>
      <c r="T8" s="609" t="str">
        <f>IFERROR(INDEX(Tbl_ResidentData[PRN
Med Name(s)
'[free text']],MATCH($C$4,Tbl_ResidentData[Resident Name '[last, first']],0))&amp;"","")</f>
        <v/>
      </c>
      <c r="U8" s="609"/>
      <c r="V8" s="609"/>
      <c r="W8" s="609"/>
      <c r="X8" s="609"/>
      <c r="Y8" s="616"/>
      <c r="Z8" s="568" t="str">
        <f>IFERROR(INDEX(Tbl_ResidentData[Clinical Notes
'[free text']],MATCH($C$4,Tbl_ResidentData[Resident Name '[last, first']],0)),"")</f>
        <v/>
      </c>
      <c r="AA8" s="568"/>
      <c r="AB8" s="568"/>
      <c r="AC8" s="568"/>
      <c r="AD8" s="568"/>
      <c r="AE8" s="568"/>
      <c r="AF8" s="568"/>
      <c r="AG8" s="569"/>
    </row>
    <row r="9" spans="1:33" s="74" customFormat="1" x14ac:dyDescent="0.25">
      <c r="A9" s="604" t="s">
        <v>354</v>
      </c>
      <c r="B9" s="605"/>
      <c r="C9" s="619" t="str">
        <f>IFERROR(INDEX(Tbl_ResidentData[Scheduled Med Started],MATCH($C$4,Tbl_ResidentData[Resident Name '[last, first']],0)),"")</f>
        <v/>
      </c>
      <c r="D9" s="619"/>
      <c r="E9" s="605" t="s">
        <v>355</v>
      </c>
      <c r="F9" s="605"/>
      <c r="G9" s="619" t="str">
        <f>IFERROR(INDEX(Tbl_ResidentData[PRN Med Started],MATCH($C$4,Tbl_ResidentData[Resident Name '[last, first']],0)),"")</f>
        <v/>
      </c>
      <c r="H9" s="619"/>
      <c r="I9" s="568"/>
      <c r="J9" s="568"/>
      <c r="K9" s="568"/>
      <c r="L9" s="568"/>
      <c r="M9" s="568"/>
      <c r="N9" s="568"/>
      <c r="O9" s="568"/>
      <c r="P9" s="569"/>
      <c r="R9" s="604" t="s">
        <v>354</v>
      </c>
      <c r="S9" s="605"/>
      <c r="T9" s="619" t="str">
        <f>IFERROR(INDEX(Tbl_ResidentData[Scheduled Med Started],MATCH($C$4,Tbl_ResidentData[Resident Name '[last, first']],0)),"")</f>
        <v/>
      </c>
      <c r="U9" s="619"/>
      <c r="V9" s="605" t="s">
        <v>355</v>
      </c>
      <c r="W9" s="605"/>
      <c r="X9" s="619" t="str">
        <f>IFERROR(INDEX(Tbl_ResidentData[PRN Med Started],MATCH($C$4,Tbl_ResidentData[Resident Name '[last, first']],0)),"")</f>
        <v/>
      </c>
      <c r="Y9" s="619"/>
      <c r="Z9" s="568"/>
      <c r="AA9" s="568"/>
      <c r="AB9" s="568"/>
      <c r="AC9" s="568"/>
      <c r="AD9" s="568"/>
      <c r="AE9" s="568"/>
      <c r="AF9" s="568"/>
      <c r="AG9" s="569"/>
    </row>
    <row r="10" spans="1:33" s="74" customFormat="1" x14ac:dyDescent="0.25">
      <c r="A10" s="604" t="s">
        <v>356</v>
      </c>
      <c r="B10" s="605"/>
      <c r="C10" s="103"/>
      <c r="D10" s="103"/>
      <c r="E10" s="605" t="s">
        <v>357</v>
      </c>
      <c r="F10" s="605"/>
      <c r="G10" s="103"/>
      <c r="H10" s="103"/>
      <c r="I10" s="568"/>
      <c r="J10" s="568"/>
      <c r="K10" s="568"/>
      <c r="L10" s="568"/>
      <c r="M10" s="568"/>
      <c r="N10" s="568"/>
      <c r="O10" s="568"/>
      <c r="P10" s="569"/>
      <c r="R10" s="604" t="s">
        <v>356</v>
      </c>
      <c r="S10" s="605"/>
      <c r="T10" s="103"/>
      <c r="U10" s="103"/>
      <c r="V10" s="605" t="s">
        <v>357</v>
      </c>
      <c r="W10" s="605"/>
      <c r="X10" s="103"/>
      <c r="Y10" s="103"/>
      <c r="Z10" s="568"/>
      <c r="AA10" s="568"/>
      <c r="AB10" s="568"/>
      <c r="AC10" s="568"/>
      <c r="AD10" s="568"/>
      <c r="AE10" s="568"/>
      <c r="AF10" s="568"/>
      <c r="AG10" s="569"/>
    </row>
    <row r="11" spans="1:33" s="74" customFormat="1" x14ac:dyDescent="0.25">
      <c r="A11" s="410"/>
      <c r="B11" s="409"/>
      <c r="C11" s="103"/>
      <c r="D11" s="103"/>
      <c r="E11" s="409"/>
      <c r="F11" s="409"/>
      <c r="G11" s="103"/>
      <c r="H11" s="103"/>
      <c r="I11" s="617"/>
      <c r="J11" s="617"/>
      <c r="K11" s="617"/>
      <c r="L11" s="617"/>
      <c r="M11" s="617"/>
      <c r="N11" s="617"/>
      <c r="O11" s="617"/>
      <c r="P11" s="618"/>
      <c r="R11" s="410"/>
      <c r="S11" s="409"/>
      <c r="T11" s="103"/>
      <c r="U11" s="103"/>
      <c r="V11" s="409"/>
      <c r="W11" s="409"/>
      <c r="X11" s="103"/>
      <c r="Y11" s="103"/>
      <c r="Z11" s="568"/>
      <c r="AA11" s="568"/>
      <c r="AB11" s="568"/>
      <c r="AC11" s="568"/>
      <c r="AD11" s="568"/>
      <c r="AE11" s="568"/>
      <c r="AF11" s="568"/>
      <c r="AG11" s="569"/>
    </row>
    <row r="12" spans="1:33" s="74" customFormat="1" x14ac:dyDescent="0.25">
      <c r="A12" s="620" t="s">
        <v>358</v>
      </c>
      <c r="B12" s="621"/>
      <c r="C12" s="621"/>
      <c r="D12" s="600" t="str">
        <f>IFERROR(INDEX(Tbl_ResidentData[Scheduled Med Notes
'[free text']],MATCH($C$4,Tbl_ResidentData[Resident Name '[last, first']],0)),"")</f>
        <v/>
      </c>
      <c r="E12" s="600"/>
      <c r="F12" s="600"/>
      <c r="G12" s="600"/>
      <c r="H12" s="600"/>
      <c r="I12" s="600"/>
      <c r="J12" s="600"/>
      <c r="K12" s="600"/>
      <c r="L12" s="600"/>
      <c r="M12" s="600"/>
      <c r="N12" s="600"/>
      <c r="O12" s="600"/>
      <c r="P12" s="601"/>
      <c r="R12" s="620" t="s">
        <v>358</v>
      </c>
      <c r="S12" s="621"/>
      <c r="T12" s="621"/>
      <c r="U12" s="600" t="str">
        <f>IFERROR(INDEX(Tbl_ResidentData[Scheduled Med Notes
'[free text']],MATCH($C$4,Tbl_ResidentData[Resident Name '[last, first']],0)),"")</f>
        <v/>
      </c>
      <c r="V12" s="600"/>
      <c r="W12" s="600"/>
      <c r="X12" s="600"/>
      <c r="Y12" s="600"/>
      <c r="Z12" s="600"/>
      <c r="AA12" s="600"/>
      <c r="AB12" s="600"/>
      <c r="AC12" s="600"/>
      <c r="AD12" s="600"/>
      <c r="AE12" s="600"/>
      <c r="AF12" s="600"/>
      <c r="AG12" s="601"/>
    </row>
    <row r="13" spans="1:33" s="74" customFormat="1" ht="15.75" thickBot="1" x14ac:dyDescent="0.3">
      <c r="A13" s="622" t="s">
        <v>359</v>
      </c>
      <c r="B13" s="623"/>
      <c r="C13" s="623"/>
      <c r="D13" s="602" t="str">
        <f>IFERROR(INDEX(Tbl_ResidentData[PRN Med Notes
'[free text']],MATCH($C$4,Tbl_ResidentData[Resident Name '[last, first']],0)),"")</f>
        <v/>
      </c>
      <c r="E13" s="602"/>
      <c r="F13" s="602"/>
      <c r="G13" s="602"/>
      <c r="H13" s="602"/>
      <c r="I13" s="602"/>
      <c r="J13" s="602"/>
      <c r="K13" s="602"/>
      <c r="L13" s="602"/>
      <c r="M13" s="602"/>
      <c r="N13" s="602"/>
      <c r="O13" s="602"/>
      <c r="P13" s="603"/>
      <c r="R13" s="622" t="s">
        <v>359</v>
      </c>
      <c r="S13" s="623"/>
      <c r="T13" s="623"/>
      <c r="U13" s="602" t="str">
        <f>IFERROR(INDEX(Tbl_ResidentData[PRN Med Notes
'[free text']],MATCH($C$4,Tbl_ResidentData[Resident Name '[last, first']],0)),"")</f>
        <v/>
      </c>
      <c r="V13" s="602"/>
      <c r="W13" s="602"/>
      <c r="X13" s="602"/>
      <c r="Y13" s="602"/>
      <c r="Z13" s="602"/>
      <c r="AA13" s="602"/>
      <c r="AB13" s="602"/>
      <c r="AC13" s="602"/>
      <c r="AD13" s="602"/>
      <c r="AE13" s="602"/>
      <c r="AF13" s="602"/>
      <c r="AG13" s="603"/>
    </row>
    <row r="14" spans="1:33" s="100" customFormat="1" ht="18.75" x14ac:dyDescent="0.3">
      <c r="A14" s="541" t="s">
        <v>177</v>
      </c>
      <c r="B14" s="540"/>
      <c r="C14" s="540"/>
      <c r="D14" s="540"/>
      <c r="E14" s="540"/>
      <c r="F14" s="540"/>
      <c r="G14" s="540"/>
      <c r="H14" s="540"/>
      <c r="I14" s="540"/>
      <c r="J14" s="540"/>
      <c r="K14" s="540"/>
      <c r="L14" s="540"/>
      <c r="M14" s="540"/>
      <c r="N14" s="540"/>
      <c r="O14" s="540"/>
      <c r="P14" s="542"/>
      <c r="R14" s="541" t="s">
        <v>177</v>
      </c>
      <c r="S14" s="540"/>
      <c r="T14" s="540"/>
      <c r="U14" s="540"/>
      <c r="V14" s="540"/>
      <c r="W14" s="540"/>
      <c r="X14" s="540"/>
      <c r="Y14" s="540"/>
      <c r="Z14" s="540"/>
      <c r="AA14" s="540"/>
      <c r="AB14" s="540"/>
      <c r="AC14" s="540"/>
      <c r="AD14" s="540"/>
      <c r="AE14" s="540"/>
      <c r="AF14" s="540"/>
      <c r="AG14" s="542"/>
    </row>
    <row r="15" spans="1:33" x14ac:dyDescent="0.25">
      <c r="A15" s="104" t="s">
        <v>161</v>
      </c>
      <c r="B15" s="76"/>
      <c r="C15" s="76"/>
      <c r="D15" s="76"/>
      <c r="E15" s="76"/>
      <c r="F15" s="76"/>
      <c r="G15" s="76"/>
      <c r="H15" s="80" t="s">
        <v>162</v>
      </c>
      <c r="I15" s="76"/>
      <c r="J15" s="76"/>
      <c r="K15" s="76"/>
      <c r="L15" s="76"/>
      <c r="M15" s="76"/>
      <c r="N15" s="76"/>
      <c r="O15" s="76"/>
      <c r="P15" s="140"/>
      <c r="R15" s="380"/>
      <c r="S15" s="381"/>
      <c r="T15" s="381"/>
      <c r="U15" s="381"/>
      <c r="V15" s="381"/>
      <c r="W15" s="381"/>
      <c r="X15" s="381"/>
      <c r="Y15" s="382"/>
      <c r="Z15" s="381"/>
      <c r="AA15" s="381"/>
      <c r="AB15" s="381"/>
      <c r="AC15" s="381"/>
      <c r="AD15" s="381"/>
      <c r="AE15" s="381"/>
      <c r="AF15" s="76"/>
      <c r="AG15" s="140"/>
    </row>
    <row r="16" spans="1:33" x14ac:dyDescent="0.25">
      <c r="A16" s="84"/>
      <c r="B16" s="76"/>
      <c r="C16" s="76"/>
      <c r="D16" s="76"/>
      <c r="E16" s="76"/>
      <c r="F16" s="76"/>
      <c r="G16" s="76"/>
      <c r="H16" s="76"/>
      <c r="I16" s="76"/>
      <c r="J16" s="76"/>
      <c r="K16" s="76"/>
      <c r="L16" s="76"/>
      <c r="M16" s="76"/>
      <c r="N16" s="76"/>
      <c r="O16" s="76"/>
      <c r="P16" s="140"/>
      <c r="R16" s="383"/>
      <c r="S16" s="381"/>
      <c r="T16" s="381"/>
      <c r="U16" s="381"/>
      <c r="V16" s="381"/>
      <c r="W16" s="381"/>
      <c r="X16" s="381"/>
      <c r="Y16" s="381"/>
      <c r="Z16" s="381"/>
      <c r="AA16" s="381"/>
      <c r="AB16" s="381"/>
      <c r="AC16" s="381"/>
      <c r="AD16" s="381"/>
      <c r="AE16" s="381"/>
      <c r="AF16" s="76"/>
      <c r="AG16" s="140"/>
    </row>
    <row r="17" spans="1:33" x14ac:dyDescent="0.25">
      <c r="A17" s="84" t="s">
        <v>152</v>
      </c>
      <c r="B17" s="76"/>
      <c r="C17" s="76"/>
      <c r="D17" s="76"/>
      <c r="E17" s="76"/>
      <c r="F17" s="76"/>
      <c r="G17" s="76"/>
      <c r="H17" s="76"/>
      <c r="I17" s="76"/>
      <c r="J17" s="76"/>
      <c r="K17" s="76"/>
      <c r="L17" s="76"/>
      <c r="M17" s="76"/>
      <c r="N17" s="76"/>
      <c r="O17" s="76"/>
      <c r="P17" s="140"/>
      <c r="R17" s="383"/>
      <c r="S17" s="381"/>
      <c r="T17" s="381"/>
      <c r="U17" s="381"/>
      <c r="V17" s="381"/>
      <c r="W17" s="381"/>
      <c r="X17" s="381"/>
      <c r="Y17" s="381"/>
      <c r="Z17" s="381"/>
      <c r="AA17" s="381"/>
      <c r="AB17" s="381"/>
      <c r="AC17" s="381"/>
      <c r="AD17" s="381"/>
      <c r="AE17" s="381"/>
      <c r="AF17" s="76"/>
      <c r="AG17" s="140"/>
    </row>
    <row r="18" spans="1:33" ht="15.75" thickBot="1" x14ac:dyDescent="0.3">
      <c r="A18" s="84"/>
      <c r="B18" s="76"/>
      <c r="C18" s="76"/>
      <c r="D18" s="76"/>
      <c r="E18" s="76"/>
      <c r="F18" s="76"/>
      <c r="G18" s="76"/>
      <c r="H18" s="76"/>
      <c r="I18" s="76"/>
      <c r="J18" s="76"/>
      <c r="K18" s="76"/>
      <c r="L18" s="76"/>
      <c r="M18" s="76"/>
      <c r="N18" s="76"/>
      <c r="O18" s="76"/>
      <c r="P18" s="140"/>
      <c r="R18" s="383"/>
      <c r="S18" s="381"/>
      <c r="T18" s="381"/>
      <c r="U18" s="381"/>
      <c r="V18" s="381"/>
      <c r="W18" s="381"/>
      <c r="X18" s="381"/>
      <c r="Y18" s="381"/>
      <c r="Z18" s="381"/>
      <c r="AA18" s="381"/>
      <c r="AB18" s="381"/>
      <c r="AC18" s="381"/>
      <c r="AD18" s="381"/>
      <c r="AE18" s="381"/>
      <c r="AF18" s="76"/>
      <c r="AG18" s="140"/>
    </row>
    <row r="19" spans="1:33" ht="15.75" thickBot="1" x14ac:dyDescent="0.3">
      <c r="A19" s="84" t="s">
        <v>153</v>
      </c>
      <c r="B19" s="76"/>
      <c r="C19" s="76"/>
      <c r="D19" s="76"/>
      <c r="E19" s="76"/>
      <c r="F19" s="83"/>
      <c r="G19" s="80" t="s">
        <v>163</v>
      </c>
      <c r="H19" s="76"/>
      <c r="I19" s="83"/>
      <c r="J19" s="80" t="s">
        <v>164</v>
      </c>
      <c r="K19" s="76"/>
      <c r="L19" s="83"/>
      <c r="M19" s="80" t="s">
        <v>165</v>
      </c>
      <c r="N19" s="76"/>
      <c r="O19" s="76"/>
      <c r="P19" s="140"/>
      <c r="R19" s="383"/>
      <c r="S19" s="381"/>
      <c r="T19" s="381"/>
      <c r="U19" s="381"/>
      <c r="V19" s="381"/>
      <c r="W19" s="381"/>
      <c r="X19" s="382"/>
      <c r="Y19" s="381"/>
      <c r="Z19" s="381"/>
      <c r="AA19" s="382"/>
      <c r="AB19" s="381"/>
      <c r="AC19" s="381"/>
      <c r="AD19" s="382"/>
      <c r="AE19" s="381"/>
      <c r="AF19" s="76"/>
      <c r="AG19" s="140"/>
    </row>
    <row r="20" spans="1:33" x14ac:dyDescent="0.25">
      <c r="A20" s="84"/>
      <c r="B20" s="76"/>
      <c r="C20" s="76"/>
      <c r="D20" s="76"/>
      <c r="E20" s="76"/>
      <c r="F20" s="76"/>
      <c r="G20" s="76"/>
      <c r="H20" s="76"/>
      <c r="I20" s="76"/>
      <c r="J20" s="76"/>
      <c r="K20" s="76"/>
      <c r="L20" s="76"/>
      <c r="M20" s="76"/>
      <c r="N20" s="76"/>
      <c r="O20" s="76"/>
      <c r="P20" s="140"/>
      <c r="R20" s="383"/>
      <c r="S20" s="381"/>
      <c r="T20" s="381"/>
      <c r="U20" s="381"/>
      <c r="V20" s="381"/>
      <c r="W20" s="381"/>
      <c r="X20" s="381"/>
      <c r="Y20" s="381"/>
      <c r="Z20" s="381"/>
      <c r="AA20" s="381"/>
      <c r="AB20" s="381"/>
      <c r="AC20" s="381"/>
      <c r="AD20" s="381"/>
      <c r="AE20" s="381"/>
      <c r="AF20" s="76"/>
      <c r="AG20" s="140"/>
    </row>
    <row r="21" spans="1:33" ht="15.75" thickBot="1" x14ac:dyDescent="0.3">
      <c r="A21" s="84"/>
      <c r="B21" s="76"/>
      <c r="C21" s="76"/>
      <c r="D21" s="76"/>
      <c r="E21" s="76"/>
      <c r="F21" s="76"/>
      <c r="G21" s="76"/>
      <c r="H21" s="76"/>
      <c r="I21" s="76"/>
      <c r="J21" s="76"/>
      <c r="K21" s="76"/>
      <c r="L21" s="76"/>
      <c r="M21" s="76"/>
      <c r="N21" s="76"/>
      <c r="O21" s="76"/>
      <c r="P21" s="140"/>
      <c r="R21" s="383"/>
      <c r="S21" s="381"/>
      <c r="T21" s="381"/>
      <c r="U21" s="381"/>
      <c r="V21" s="381"/>
      <c r="W21" s="381"/>
      <c r="X21" s="381"/>
      <c r="Y21" s="381"/>
      <c r="Z21" s="381"/>
      <c r="AA21" s="381"/>
      <c r="AB21" s="381"/>
      <c r="AC21" s="381"/>
      <c r="AD21" s="381"/>
      <c r="AE21" s="381"/>
      <c r="AF21" s="76"/>
      <c r="AG21" s="140"/>
    </row>
    <row r="22" spans="1:33" ht="15.75" thickBot="1" x14ac:dyDescent="0.3">
      <c r="A22" s="83"/>
      <c r="B22" s="76" t="s">
        <v>160</v>
      </c>
      <c r="C22" s="76"/>
      <c r="D22" s="76"/>
      <c r="E22" s="76"/>
      <c r="F22" s="76"/>
      <c r="G22" s="76"/>
      <c r="H22" s="76"/>
      <c r="I22" s="80" t="s">
        <v>161</v>
      </c>
      <c r="J22" s="138"/>
      <c r="K22" s="138"/>
      <c r="L22" s="138"/>
      <c r="M22" s="138"/>
      <c r="N22" s="138"/>
      <c r="O22" s="76"/>
      <c r="P22" s="140"/>
      <c r="R22" s="383"/>
      <c r="S22" s="381"/>
      <c r="T22" s="381"/>
      <c r="U22" s="381"/>
      <c r="V22" s="381"/>
      <c r="W22" s="381"/>
      <c r="X22" s="381"/>
      <c r="Y22" s="381"/>
      <c r="Z22" s="382"/>
      <c r="AA22" s="381"/>
      <c r="AB22" s="381"/>
      <c r="AC22" s="381"/>
      <c r="AD22" s="381"/>
      <c r="AE22" s="381"/>
      <c r="AF22" s="76"/>
      <c r="AG22" s="140"/>
    </row>
    <row r="23" spans="1:33" x14ac:dyDescent="0.25">
      <c r="A23" s="104" t="s">
        <v>230</v>
      </c>
      <c r="B23" s="76"/>
      <c r="C23" s="76"/>
      <c r="D23" s="76"/>
      <c r="E23" s="76"/>
      <c r="F23" s="76"/>
      <c r="G23" s="76"/>
      <c r="H23" s="76"/>
      <c r="I23" s="76"/>
      <c r="J23" s="76"/>
      <c r="K23" s="76"/>
      <c r="L23" s="76"/>
      <c r="M23" s="76"/>
      <c r="N23" s="76"/>
      <c r="O23" s="76"/>
      <c r="P23" s="140"/>
      <c r="R23" s="380"/>
      <c r="S23" s="381"/>
      <c r="T23" s="381"/>
      <c r="U23" s="381"/>
      <c r="V23" s="381"/>
      <c r="W23" s="381"/>
      <c r="X23" s="381"/>
      <c r="Y23" s="381"/>
      <c r="Z23" s="381"/>
      <c r="AA23" s="381"/>
      <c r="AB23" s="381"/>
      <c r="AC23" s="381"/>
      <c r="AD23" s="381"/>
      <c r="AE23" s="381"/>
      <c r="AF23" s="76"/>
      <c r="AG23" s="140"/>
    </row>
    <row r="24" spans="1:33" s="343" customFormat="1" x14ac:dyDescent="0.25">
      <c r="A24" s="104"/>
      <c r="B24" s="76"/>
      <c r="C24" s="76"/>
      <c r="D24" s="76"/>
      <c r="E24" s="76"/>
      <c r="F24" s="76"/>
      <c r="G24" s="76"/>
      <c r="H24" s="76"/>
      <c r="I24" s="76"/>
      <c r="J24" s="76"/>
      <c r="K24" s="76"/>
      <c r="L24" s="76"/>
      <c r="M24" s="76"/>
      <c r="N24" s="76"/>
      <c r="O24" s="76"/>
      <c r="P24" s="140"/>
      <c r="R24" s="380"/>
      <c r="S24" s="381"/>
      <c r="T24" s="381"/>
      <c r="U24" s="381"/>
      <c r="V24" s="381"/>
      <c r="W24" s="381"/>
      <c r="X24" s="381"/>
      <c r="Y24" s="381"/>
      <c r="Z24" s="381"/>
      <c r="AA24" s="381"/>
      <c r="AB24" s="381"/>
      <c r="AC24" s="381"/>
      <c r="AD24" s="381"/>
      <c r="AE24" s="381"/>
      <c r="AF24" s="76"/>
      <c r="AG24" s="140"/>
    </row>
    <row r="25" spans="1:33" ht="15.75" thickBot="1" x14ac:dyDescent="0.3">
      <c r="A25" s="345"/>
      <c r="B25" s="82"/>
      <c r="C25" s="82"/>
      <c r="D25" s="82"/>
      <c r="E25" s="82"/>
      <c r="F25" s="82"/>
      <c r="G25" s="82"/>
      <c r="H25" s="82"/>
      <c r="I25" s="82"/>
      <c r="J25" s="82"/>
      <c r="K25" s="82"/>
      <c r="L25" s="82"/>
      <c r="M25" s="82"/>
      <c r="N25" s="82"/>
      <c r="O25" s="82"/>
      <c r="P25" s="141"/>
      <c r="R25" s="384"/>
      <c r="S25" s="385"/>
      <c r="T25" s="385"/>
      <c r="U25" s="385"/>
      <c r="V25" s="385"/>
      <c r="W25" s="385"/>
      <c r="X25" s="385"/>
      <c r="Y25" s="385"/>
      <c r="Z25" s="385"/>
      <c r="AA25" s="385"/>
      <c r="AB25" s="385"/>
      <c r="AC25" s="385"/>
      <c r="AD25" s="385"/>
      <c r="AE25" s="385"/>
      <c r="AF25" s="82"/>
      <c r="AG25" s="141"/>
    </row>
    <row r="26" spans="1:33" s="100" customFormat="1" ht="18.75" x14ac:dyDescent="0.3">
      <c r="A26" s="105" t="s">
        <v>177</v>
      </c>
      <c r="B26" s="106"/>
      <c r="C26" s="106"/>
      <c r="D26" s="106"/>
      <c r="E26" s="106"/>
      <c r="F26" s="106"/>
      <c r="G26" s="106"/>
      <c r="H26" s="106"/>
      <c r="I26" s="106"/>
      <c r="J26" s="106"/>
      <c r="K26" s="106"/>
      <c r="L26" s="106"/>
      <c r="M26" s="106"/>
      <c r="N26" s="106"/>
      <c r="O26" s="106"/>
      <c r="P26" s="142"/>
      <c r="R26" s="105" t="s">
        <v>177</v>
      </c>
      <c r="S26" s="106"/>
      <c r="T26" s="106"/>
      <c r="U26" s="106"/>
      <c r="V26" s="106"/>
      <c r="W26" s="106"/>
      <c r="X26" s="106"/>
      <c r="Y26" s="106"/>
      <c r="Z26" s="106"/>
      <c r="AA26" s="106"/>
      <c r="AB26" s="106"/>
      <c r="AC26" s="106"/>
      <c r="AD26" s="106"/>
      <c r="AE26" s="106"/>
      <c r="AF26" s="106"/>
      <c r="AG26" s="142"/>
    </row>
    <row r="27" spans="1:33" x14ac:dyDescent="0.25">
      <c r="A27" s="104" t="s">
        <v>161</v>
      </c>
      <c r="B27" s="76"/>
      <c r="C27" s="76"/>
      <c r="D27" s="76"/>
      <c r="E27" s="76"/>
      <c r="F27" s="76"/>
      <c r="G27" s="76"/>
      <c r="H27" s="80" t="s">
        <v>162</v>
      </c>
      <c r="I27" s="76"/>
      <c r="J27" s="76"/>
      <c r="K27" s="76"/>
      <c r="L27" s="76"/>
      <c r="M27" s="76"/>
      <c r="N27" s="76"/>
      <c r="O27" s="76"/>
      <c r="P27" s="140"/>
      <c r="R27" s="380"/>
      <c r="S27" s="381"/>
      <c r="T27" s="381"/>
      <c r="U27" s="381"/>
      <c r="V27" s="381"/>
      <c r="W27" s="381"/>
      <c r="X27" s="381"/>
      <c r="Y27" s="382"/>
      <c r="Z27" s="381"/>
      <c r="AA27" s="381"/>
      <c r="AB27" s="381"/>
      <c r="AC27" s="381"/>
      <c r="AD27" s="381"/>
      <c r="AE27" s="381"/>
      <c r="AF27" s="76"/>
      <c r="AG27" s="140"/>
    </row>
    <row r="28" spans="1:33" x14ac:dyDescent="0.25">
      <c r="A28" s="84"/>
      <c r="B28" s="76"/>
      <c r="C28" s="76"/>
      <c r="D28" s="76"/>
      <c r="E28" s="76"/>
      <c r="F28" s="76"/>
      <c r="G28" s="76"/>
      <c r="H28" s="76"/>
      <c r="I28" s="76"/>
      <c r="J28" s="76"/>
      <c r="K28" s="76"/>
      <c r="L28" s="76"/>
      <c r="M28" s="76"/>
      <c r="N28" s="76"/>
      <c r="O28" s="76"/>
      <c r="P28" s="140"/>
      <c r="R28" s="383"/>
      <c r="S28" s="381"/>
      <c r="T28" s="381"/>
      <c r="U28" s="381"/>
      <c r="V28" s="381"/>
      <c r="W28" s="381"/>
      <c r="X28" s="381"/>
      <c r="Y28" s="381"/>
      <c r="Z28" s="381"/>
      <c r="AA28" s="381"/>
      <c r="AB28" s="381"/>
      <c r="AC28" s="381"/>
      <c r="AD28" s="381"/>
      <c r="AE28" s="381"/>
      <c r="AF28" s="76"/>
      <c r="AG28" s="140"/>
    </row>
    <row r="29" spans="1:33" x14ac:dyDescent="0.25">
      <c r="A29" s="84" t="s">
        <v>152</v>
      </c>
      <c r="B29" s="76"/>
      <c r="C29" s="76"/>
      <c r="D29" s="76"/>
      <c r="E29" s="76"/>
      <c r="F29" s="76"/>
      <c r="G29" s="76"/>
      <c r="H29" s="76"/>
      <c r="I29" s="76"/>
      <c r="J29" s="76"/>
      <c r="K29" s="76"/>
      <c r="L29" s="76"/>
      <c r="M29" s="76"/>
      <c r="N29" s="76"/>
      <c r="O29" s="76"/>
      <c r="P29" s="140"/>
      <c r="R29" s="383"/>
      <c r="S29" s="381"/>
      <c r="T29" s="381"/>
      <c r="U29" s="381"/>
      <c r="V29" s="381"/>
      <c r="W29" s="381"/>
      <c r="X29" s="381"/>
      <c r="Y29" s="381"/>
      <c r="Z29" s="381"/>
      <c r="AA29" s="381"/>
      <c r="AB29" s="381"/>
      <c r="AC29" s="381"/>
      <c r="AD29" s="381"/>
      <c r="AE29" s="381"/>
      <c r="AF29" s="76"/>
      <c r="AG29" s="140"/>
    </row>
    <row r="30" spans="1:33" ht="15.75" thickBot="1" x14ac:dyDescent="0.3">
      <c r="A30" s="84"/>
      <c r="B30" s="76"/>
      <c r="C30" s="76"/>
      <c r="D30" s="76"/>
      <c r="E30" s="76"/>
      <c r="F30" s="76"/>
      <c r="G30" s="76"/>
      <c r="H30" s="76"/>
      <c r="I30" s="76"/>
      <c r="J30" s="76"/>
      <c r="K30" s="76"/>
      <c r="L30" s="76"/>
      <c r="M30" s="76"/>
      <c r="N30" s="76"/>
      <c r="O30" s="76"/>
      <c r="P30" s="140"/>
      <c r="R30" s="383"/>
      <c r="S30" s="381"/>
      <c r="T30" s="381"/>
      <c r="U30" s="381"/>
      <c r="V30" s="381"/>
      <c r="W30" s="381"/>
      <c r="X30" s="381"/>
      <c r="Y30" s="381"/>
      <c r="Z30" s="381"/>
      <c r="AA30" s="381"/>
      <c r="AB30" s="381"/>
      <c r="AC30" s="381"/>
      <c r="AD30" s="381"/>
      <c r="AE30" s="381"/>
      <c r="AF30" s="76"/>
      <c r="AG30" s="140"/>
    </row>
    <row r="31" spans="1:33" ht="15.75" thickBot="1" x14ac:dyDescent="0.3">
      <c r="A31" s="84" t="s">
        <v>153</v>
      </c>
      <c r="B31" s="76"/>
      <c r="C31" s="76"/>
      <c r="D31" s="76"/>
      <c r="E31" s="76"/>
      <c r="F31" s="83"/>
      <c r="G31" s="80" t="s">
        <v>163</v>
      </c>
      <c r="H31" s="76"/>
      <c r="I31" s="83"/>
      <c r="J31" s="80" t="s">
        <v>164</v>
      </c>
      <c r="K31" s="76"/>
      <c r="L31" s="83"/>
      <c r="M31" s="80" t="s">
        <v>165</v>
      </c>
      <c r="N31" s="76"/>
      <c r="O31" s="76"/>
      <c r="P31" s="140"/>
      <c r="R31" s="383"/>
      <c r="S31" s="381"/>
      <c r="T31" s="381"/>
      <c r="U31" s="381"/>
      <c r="V31" s="381"/>
      <c r="W31" s="381"/>
      <c r="X31" s="382"/>
      <c r="Y31" s="381"/>
      <c r="Z31" s="381"/>
      <c r="AA31" s="382"/>
      <c r="AB31" s="381"/>
      <c r="AC31" s="381"/>
      <c r="AD31" s="382"/>
      <c r="AE31" s="381"/>
      <c r="AF31" s="76"/>
      <c r="AG31" s="140"/>
    </row>
    <row r="32" spans="1:33" x14ac:dyDescent="0.25">
      <c r="A32" s="84"/>
      <c r="B32" s="76"/>
      <c r="C32" s="76"/>
      <c r="D32" s="76"/>
      <c r="E32" s="76"/>
      <c r="F32" s="76"/>
      <c r="G32" s="76"/>
      <c r="H32" s="76"/>
      <c r="I32" s="76"/>
      <c r="J32" s="76"/>
      <c r="K32" s="76"/>
      <c r="L32" s="76"/>
      <c r="M32" s="76"/>
      <c r="N32" s="76"/>
      <c r="O32" s="76"/>
      <c r="P32" s="140"/>
      <c r="R32" s="383"/>
      <c r="S32" s="381"/>
      <c r="T32" s="381"/>
      <c r="U32" s="381"/>
      <c r="V32" s="381"/>
      <c r="W32" s="381"/>
      <c r="X32" s="381"/>
      <c r="Y32" s="381"/>
      <c r="Z32" s="381"/>
      <c r="AA32" s="381"/>
      <c r="AB32" s="381"/>
      <c r="AC32" s="381"/>
      <c r="AD32" s="381"/>
      <c r="AE32" s="381"/>
      <c r="AF32" s="76"/>
      <c r="AG32" s="140"/>
    </row>
    <row r="33" spans="1:33" ht="15.75" thickBot="1" x14ac:dyDescent="0.3">
      <c r="A33" s="84"/>
      <c r="B33" s="76"/>
      <c r="C33" s="76"/>
      <c r="D33" s="76"/>
      <c r="E33" s="76"/>
      <c r="F33" s="76"/>
      <c r="G33" s="76"/>
      <c r="H33" s="76"/>
      <c r="I33" s="76"/>
      <c r="J33" s="76"/>
      <c r="K33" s="76"/>
      <c r="L33" s="76"/>
      <c r="M33" s="76"/>
      <c r="N33" s="76"/>
      <c r="O33" s="76"/>
      <c r="P33" s="140"/>
      <c r="R33" s="383"/>
      <c r="S33" s="381"/>
      <c r="T33" s="381"/>
      <c r="U33" s="381"/>
      <c r="V33" s="381"/>
      <c r="W33" s="381"/>
      <c r="X33" s="381"/>
      <c r="Y33" s="381"/>
      <c r="Z33" s="381"/>
      <c r="AA33" s="381"/>
      <c r="AB33" s="381"/>
      <c r="AC33" s="381"/>
      <c r="AD33" s="381"/>
      <c r="AE33" s="381"/>
      <c r="AF33" s="76"/>
      <c r="AG33" s="140"/>
    </row>
    <row r="34" spans="1:33" ht="15.75" thickBot="1" x14ac:dyDescent="0.3">
      <c r="A34" s="83"/>
      <c r="B34" s="76" t="s">
        <v>160</v>
      </c>
      <c r="C34" s="76"/>
      <c r="D34" s="76"/>
      <c r="E34" s="76"/>
      <c r="F34" s="76"/>
      <c r="G34" s="76"/>
      <c r="H34" s="76"/>
      <c r="I34" s="80" t="s">
        <v>161</v>
      </c>
      <c r="J34" s="138"/>
      <c r="K34" s="138"/>
      <c r="L34" s="138"/>
      <c r="M34" s="138"/>
      <c r="N34" s="138"/>
      <c r="O34" s="76"/>
      <c r="P34" s="140"/>
      <c r="R34" s="383"/>
      <c r="S34" s="381"/>
      <c r="T34" s="381"/>
      <c r="U34" s="381"/>
      <c r="V34" s="381"/>
      <c r="W34" s="381"/>
      <c r="X34" s="381"/>
      <c r="Y34" s="381"/>
      <c r="Z34" s="382"/>
      <c r="AA34" s="381"/>
      <c r="AB34" s="381"/>
      <c r="AC34" s="381"/>
      <c r="AD34" s="381"/>
      <c r="AE34" s="381"/>
      <c r="AF34" s="76"/>
      <c r="AG34" s="140"/>
    </row>
    <row r="35" spans="1:33" x14ac:dyDescent="0.25">
      <c r="A35" s="104" t="s">
        <v>230</v>
      </c>
      <c r="B35" s="76"/>
      <c r="C35" s="76"/>
      <c r="D35" s="76"/>
      <c r="E35" s="76"/>
      <c r="F35" s="76"/>
      <c r="G35" s="76"/>
      <c r="H35" s="76"/>
      <c r="I35" s="76"/>
      <c r="J35" s="76"/>
      <c r="K35" s="76"/>
      <c r="L35" s="76"/>
      <c r="M35" s="76"/>
      <c r="N35" s="76"/>
      <c r="O35" s="76"/>
      <c r="P35" s="140"/>
      <c r="R35" s="380"/>
      <c r="S35" s="381"/>
      <c r="T35" s="381"/>
      <c r="U35" s="381"/>
      <c r="V35" s="381"/>
      <c r="W35" s="381"/>
      <c r="X35" s="381"/>
      <c r="Y35" s="381"/>
      <c r="Z35" s="381"/>
      <c r="AA35" s="381"/>
      <c r="AB35" s="381"/>
      <c r="AC35" s="381"/>
      <c r="AD35" s="381"/>
      <c r="AE35" s="381"/>
      <c r="AF35" s="76"/>
      <c r="AG35" s="140"/>
    </row>
    <row r="36" spans="1:33" s="343" customFormat="1" x14ac:dyDescent="0.25">
      <c r="A36" s="104"/>
      <c r="B36" s="76"/>
      <c r="C36" s="76"/>
      <c r="D36" s="76"/>
      <c r="E36" s="76"/>
      <c r="F36" s="76"/>
      <c r="G36" s="76"/>
      <c r="H36" s="76"/>
      <c r="I36" s="76"/>
      <c r="J36" s="76"/>
      <c r="K36" s="76"/>
      <c r="L36" s="76"/>
      <c r="M36" s="76"/>
      <c r="N36" s="76"/>
      <c r="O36" s="76"/>
      <c r="P36" s="140"/>
      <c r="R36" s="380"/>
      <c r="S36" s="381"/>
      <c r="T36" s="381"/>
      <c r="U36" s="381"/>
      <c r="V36" s="381"/>
      <c r="W36" s="381"/>
      <c r="X36" s="381"/>
      <c r="Y36" s="381"/>
      <c r="Z36" s="381"/>
      <c r="AA36" s="381"/>
      <c r="AB36" s="381"/>
      <c r="AC36" s="381"/>
      <c r="AD36" s="381"/>
      <c r="AE36" s="381"/>
      <c r="AF36" s="76"/>
      <c r="AG36" s="140"/>
    </row>
    <row r="37" spans="1:33" ht="15.75" thickBot="1" x14ac:dyDescent="0.3">
      <c r="A37" s="345"/>
      <c r="B37" s="82"/>
      <c r="C37" s="82"/>
      <c r="D37" s="82"/>
      <c r="E37" s="82"/>
      <c r="F37" s="82"/>
      <c r="G37" s="82"/>
      <c r="H37" s="82"/>
      <c r="I37" s="82"/>
      <c r="J37" s="82"/>
      <c r="K37" s="82"/>
      <c r="L37" s="82"/>
      <c r="M37" s="82"/>
      <c r="N37" s="82"/>
      <c r="O37" s="82"/>
      <c r="P37" s="141"/>
      <c r="R37" s="384"/>
      <c r="S37" s="385"/>
      <c r="T37" s="385"/>
      <c r="U37" s="385"/>
      <c r="V37" s="385"/>
      <c r="W37" s="385"/>
      <c r="X37" s="385"/>
      <c r="Y37" s="385"/>
      <c r="Z37" s="385"/>
      <c r="AA37" s="385"/>
      <c r="AB37" s="385"/>
      <c r="AC37" s="385"/>
      <c r="AD37" s="385"/>
      <c r="AE37" s="385"/>
      <c r="AF37" s="82"/>
      <c r="AG37" s="141"/>
    </row>
    <row r="38" spans="1:33" s="100" customFormat="1" ht="18.75" x14ac:dyDescent="0.3">
      <c r="A38" s="105" t="s">
        <v>177</v>
      </c>
      <c r="B38" s="106"/>
      <c r="C38" s="106"/>
      <c r="D38" s="106"/>
      <c r="E38" s="106"/>
      <c r="F38" s="106"/>
      <c r="G38" s="106"/>
      <c r="H38" s="106"/>
      <c r="I38" s="106"/>
      <c r="J38" s="106"/>
      <c r="K38" s="106"/>
      <c r="L38" s="106"/>
      <c r="M38" s="106"/>
      <c r="N38" s="106"/>
      <c r="O38" s="106"/>
      <c r="P38" s="142"/>
      <c r="R38" s="105" t="s">
        <v>177</v>
      </c>
      <c r="S38" s="106"/>
      <c r="T38" s="106"/>
      <c r="U38" s="106"/>
      <c r="V38" s="106"/>
      <c r="W38" s="106"/>
      <c r="X38" s="106"/>
      <c r="Y38" s="106"/>
      <c r="Z38" s="106"/>
      <c r="AA38" s="106"/>
      <c r="AB38" s="106"/>
      <c r="AC38" s="106"/>
      <c r="AD38" s="106"/>
      <c r="AE38" s="106"/>
      <c r="AF38" s="106"/>
      <c r="AG38" s="142"/>
    </row>
    <row r="39" spans="1:33" x14ac:dyDescent="0.25">
      <c r="A39" s="104" t="s">
        <v>161</v>
      </c>
      <c r="B39" s="76"/>
      <c r="C39" s="76"/>
      <c r="D39" s="76"/>
      <c r="E39" s="76"/>
      <c r="F39" s="76"/>
      <c r="G39" s="76"/>
      <c r="H39" s="80" t="s">
        <v>162</v>
      </c>
      <c r="I39" s="76"/>
      <c r="J39" s="76"/>
      <c r="K39" s="76"/>
      <c r="L39" s="76"/>
      <c r="M39" s="76"/>
      <c r="N39" s="76"/>
      <c r="O39" s="76"/>
      <c r="P39" s="140"/>
      <c r="R39" s="380"/>
      <c r="S39" s="381"/>
      <c r="T39" s="381"/>
      <c r="U39" s="381"/>
      <c r="V39" s="381"/>
      <c r="W39" s="381"/>
      <c r="X39" s="381"/>
      <c r="Y39" s="382"/>
      <c r="Z39" s="381"/>
      <c r="AA39" s="381"/>
      <c r="AB39" s="381"/>
      <c r="AC39" s="381"/>
      <c r="AD39" s="381"/>
      <c r="AE39" s="381"/>
      <c r="AF39" s="76"/>
      <c r="AG39" s="140"/>
    </row>
    <row r="40" spans="1:33" x14ac:dyDescent="0.25">
      <c r="A40" s="84"/>
      <c r="B40" s="76"/>
      <c r="C40" s="76"/>
      <c r="D40" s="76"/>
      <c r="E40" s="76"/>
      <c r="F40" s="76"/>
      <c r="G40" s="76"/>
      <c r="H40" s="76"/>
      <c r="I40" s="76"/>
      <c r="J40" s="76"/>
      <c r="K40" s="76"/>
      <c r="L40" s="76"/>
      <c r="M40" s="76"/>
      <c r="N40" s="76"/>
      <c r="O40" s="76"/>
      <c r="P40" s="140"/>
      <c r="R40" s="383"/>
      <c r="S40" s="381"/>
      <c r="T40" s="381"/>
      <c r="U40" s="381"/>
      <c r="V40" s="381"/>
      <c r="W40" s="381"/>
      <c r="X40" s="381"/>
      <c r="Y40" s="381"/>
      <c r="Z40" s="381"/>
      <c r="AA40" s="381"/>
      <c r="AB40" s="381"/>
      <c r="AC40" s="381"/>
      <c r="AD40" s="381"/>
      <c r="AE40" s="381"/>
      <c r="AF40" s="76"/>
      <c r="AG40" s="140"/>
    </row>
    <row r="41" spans="1:33" x14ac:dyDescent="0.25">
      <c r="A41" s="84" t="s">
        <v>152</v>
      </c>
      <c r="B41" s="76"/>
      <c r="C41" s="76"/>
      <c r="D41" s="76"/>
      <c r="E41" s="76"/>
      <c r="F41" s="76"/>
      <c r="G41" s="76"/>
      <c r="H41" s="76"/>
      <c r="I41" s="76"/>
      <c r="J41" s="76"/>
      <c r="K41" s="76"/>
      <c r="L41" s="76"/>
      <c r="M41" s="76"/>
      <c r="N41" s="76"/>
      <c r="O41" s="76"/>
      <c r="P41" s="140"/>
      <c r="R41" s="383"/>
      <c r="S41" s="381"/>
      <c r="T41" s="381"/>
      <c r="U41" s="381"/>
      <c r="V41" s="381"/>
      <c r="W41" s="381"/>
      <c r="X41" s="381"/>
      <c r="Y41" s="381"/>
      <c r="Z41" s="381"/>
      <c r="AA41" s="381"/>
      <c r="AB41" s="381"/>
      <c r="AC41" s="381"/>
      <c r="AD41" s="381"/>
      <c r="AE41" s="381"/>
      <c r="AF41" s="76"/>
      <c r="AG41" s="140"/>
    </row>
    <row r="42" spans="1:33" ht="15.75" thickBot="1" x14ac:dyDescent="0.3">
      <c r="A42" s="84"/>
      <c r="B42" s="76"/>
      <c r="C42" s="76"/>
      <c r="D42" s="76"/>
      <c r="E42" s="76"/>
      <c r="F42" s="76"/>
      <c r="G42" s="76"/>
      <c r="H42" s="76"/>
      <c r="I42" s="76"/>
      <c r="J42" s="76"/>
      <c r="K42" s="76"/>
      <c r="L42" s="76"/>
      <c r="M42" s="76"/>
      <c r="N42" s="76"/>
      <c r="O42" s="76"/>
      <c r="P42" s="140"/>
      <c r="R42" s="383"/>
      <c r="S42" s="381"/>
      <c r="T42" s="381"/>
      <c r="U42" s="381"/>
      <c r="V42" s="381"/>
      <c r="W42" s="381"/>
      <c r="X42" s="381"/>
      <c r="Y42" s="381"/>
      <c r="Z42" s="381"/>
      <c r="AA42" s="381"/>
      <c r="AB42" s="381"/>
      <c r="AC42" s="381"/>
      <c r="AD42" s="381"/>
      <c r="AE42" s="381"/>
      <c r="AF42" s="76"/>
      <c r="AG42" s="140"/>
    </row>
    <row r="43" spans="1:33" ht="15.75" thickBot="1" x14ac:dyDescent="0.3">
      <c r="A43" s="84" t="s">
        <v>153</v>
      </c>
      <c r="B43" s="76"/>
      <c r="C43" s="76"/>
      <c r="D43" s="76"/>
      <c r="E43" s="76"/>
      <c r="F43" s="83"/>
      <c r="G43" s="80" t="s">
        <v>163</v>
      </c>
      <c r="H43" s="76"/>
      <c r="I43" s="83"/>
      <c r="J43" s="80" t="s">
        <v>164</v>
      </c>
      <c r="K43" s="76"/>
      <c r="L43" s="83"/>
      <c r="M43" s="80" t="s">
        <v>165</v>
      </c>
      <c r="N43" s="76"/>
      <c r="O43" s="76"/>
      <c r="P43" s="140"/>
      <c r="R43" s="383"/>
      <c r="S43" s="381"/>
      <c r="T43" s="381"/>
      <c r="U43" s="381"/>
      <c r="V43" s="381"/>
      <c r="W43" s="381"/>
      <c r="X43" s="382"/>
      <c r="Y43" s="381"/>
      <c r="Z43" s="381"/>
      <c r="AA43" s="382"/>
      <c r="AB43" s="381"/>
      <c r="AC43" s="381"/>
      <c r="AD43" s="382"/>
      <c r="AE43" s="381"/>
      <c r="AF43" s="76"/>
      <c r="AG43" s="140"/>
    </row>
    <row r="44" spans="1:33" x14ac:dyDescent="0.25">
      <c r="A44" s="84"/>
      <c r="B44" s="76"/>
      <c r="C44" s="76"/>
      <c r="D44" s="76"/>
      <c r="E44" s="76"/>
      <c r="F44" s="76"/>
      <c r="G44" s="76"/>
      <c r="H44" s="76"/>
      <c r="I44" s="76"/>
      <c r="J44" s="76"/>
      <c r="K44" s="76"/>
      <c r="L44" s="76"/>
      <c r="M44" s="76"/>
      <c r="N44" s="76"/>
      <c r="O44" s="76"/>
      <c r="P44" s="140"/>
      <c r="R44" s="383"/>
      <c r="S44" s="381"/>
      <c r="T44" s="381"/>
      <c r="U44" s="381"/>
      <c r="V44" s="381"/>
      <c r="W44" s="381"/>
      <c r="X44" s="381"/>
      <c r="Y44" s="381"/>
      <c r="Z44" s="381"/>
      <c r="AA44" s="381"/>
      <c r="AB44" s="381"/>
      <c r="AC44" s="381"/>
      <c r="AD44" s="381"/>
      <c r="AE44" s="381"/>
      <c r="AF44" s="76"/>
      <c r="AG44" s="140"/>
    </row>
    <row r="45" spans="1:33" ht="15.75" thickBot="1" x14ac:dyDescent="0.3">
      <c r="A45" s="84"/>
      <c r="B45" s="76"/>
      <c r="C45" s="76"/>
      <c r="D45" s="76"/>
      <c r="E45" s="76"/>
      <c r="F45" s="76"/>
      <c r="G45" s="76"/>
      <c r="H45" s="76"/>
      <c r="I45" s="76"/>
      <c r="J45" s="76"/>
      <c r="K45" s="76"/>
      <c r="L45" s="76"/>
      <c r="M45" s="76"/>
      <c r="N45" s="76"/>
      <c r="O45" s="76"/>
      <c r="P45" s="140"/>
      <c r="R45" s="383"/>
      <c r="S45" s="381"/>
      <c r="T45" s="381"/>
      <c r="U45" s="381"/>
      <c r="V45" s="381"/>
      <c r="W45" s="381"/>
      <c r="X45" s="381"/>
      <c r="Y45" s="381"/>
      <c r="Z45" s="381"/>
      <c r="AA45" s="381"/>
      <c r="AB45" s="381"/>
      <c r="AC45" s="381"/>
      <c r="AD45" s="381"/>
      <c r="AE45" s="381"/>
      <c r="AF45" s="76"/>
      <c r="AG45" s="140"/>
    </row>
    <row r="46" spans="1:33" ht="15.75" thickBot="1" x14ac:dyDescent="0.3">
      <c r="A46" s="83"/>
      <c r="B46" s="76" t="s">
        <v>160</v>
      </c>
      <c r="C46" s="76"/>
      <c r="D46" s="76"/>
      <c r="E46" s="76"/>
      <c r="F46" s="76"/>
      <c r="G46" s="76"/>
      <c r="H46" s="76"/>
      <c r="I46" s="80" t="s">
        <v>161</v>
      </c>
      <c r="J46" s="138"/>
      <c r="K46" s="138"/>
      <c r="L46" s="138"/>
      <c r="M46" s="138"/>
      <c r="N46" s="138"/>
      <c r="O46" s="76"/>
      <c r="P46" s="140"/>
      <c r="R46" s="383"/>
      <c r="S46" s="381"/>
      <c r="T46" s="381"/>
      <c r="U46" s="381"/>
      <c r="V46" s="381"/>
      <c r="W46" s="381"/>
      <c r="X46" s="381"/>
      <c r="Y46" s="381"/>
      <c r="Z46" s="382"/>
      <c r="AA46" s="381"/>
      <c r="AB46" s="381"/>
      <c r="AC46" s="381"/>
      <c r="AD46" s="381"/>
      <c r="AE46" s="381"/>
      <c r="AF46" s="76"/>
      <c r="AG46" s="140"/>
    </row>
    <row r="47" spans="1:33" x14ac:dyDescent="0.25">
      <c r="A47" s="104" t="s">
        <v>230</v>
      </c>
      <c r="B47" s="76"/>
      <c r="C47" s="76"/>
      <c r="D47" s="76"/>
      <c r="E47" s="76"/>
      <c r="F47" s="76"/>
      <c r="G47" s="76"/>
      <c r="H47" s="76"/>
      <c r="I47" s="76"/>
      <c r="J47" s="76"/>
      <c r="K47" s="76"/>
      <c r="L47" s="76"/>
      <c r="M47" s="76"/>
      <c r="N47" s="76"/>
      <c r="O47" s="76"/>
      <c r="P47" s="140"/>
      <c r="R47" s="380"/>
      <c r="S47" s="381"/>
      <c r="T47" s="381"/>
      <c r="U47" s="381"/>
      <c r="V47" s="381"/>
      <c r="W47" s="381"/>
      <c r="X47" s="381"/>
      <c r="Y47" s="381"/>
      <c r="Z47" s="381"/>
      <c r="AA47" s="381"/>
      <c r="AB47" s="381"/>
      <c r="AC47" s="381"/>
      <c r="AD47" s="381"/>
      <c r="AE47" s="381"/>
      <c r="AF47" s="76"/>
      <c r="AG47" s="140"/>
    </row>
    <row r="48" spans="1:33" s="343" customFormat="1" x14ac:dyDescent="0.25">
      <c r="A48" s="104"/>
      <c r="B48" s="76"/>
      <c r="C48" s="76"/>
      <c r="D48" s="76"/>
      <c r="E48" s="76"/>
      <c r="F48" s="76"/>
      <c r="G48" s="76"/>
      <c r="H48" s="76"/>
      <c r="I48" s="76"/>
      <c r="J48" s="76"/>
      <c r="K48" s="76"/>
      <c r="L48" s="76"/>
      <c r="M48" s="76"/>
      <c r="N48" s="76"/>
      <c r="O48" s="76"/>
      <c r="P48" s="140"/>
      <c r="R48" s="380"/>
      <c r="S48" s="381"/>
      <c r="T48" s="381"/>
      <c r="U48" s="381"/>
      <c r="V48" s="381"/>
      <c r="W48" s="381"/>
      <c r="X48" s="381"/>
      <c r="Y48" s="381"/>
      <c r="Z48" s="381"/>
      <c r="AA48" s="381"/>
      <c r="AB48" s="381"/>
      <c r="AC48" s="381"/>
      <c r="AD48" s="381"/>
      <c r="AE48" s="381"/>
      <c r="AF48" s="76"/>
      <c r="AG48" s="140"/>
    </row>
    <row r="49" spans="1:33" ht="15.75" thickBot="1" x14ac:dyDescent="0.3">
      <c r="A49" s="345"/>
      <c r="B49" s="82"/>
      <c r="C49" s="82"/>
      <c r="D49" s="82"/>
      <c r="E49" s="82"/>
      <c r="F49" s="82"/>
      <c r="G49" s="82"/>
      <c r="H49" s="82"/>
      <c r="I49" s="82"/>
      <c r="J49" s="82"/>
      <c r="K49" s="82"/>
      <c r="L49" s="82"/>
      <c r="M49" s="82"/>
      <c r="N49" s="82"/>
      <c r="O49" s="82"/>
      <c r="P49" s="141"/>
      <c r="R49" s="384"/>
      <c r="S49" s="385"/>
      <c r="T49" s="385"/>
      <c r="U49" s="385"/>
      <c r="V49" s="385"/>
      <c r="W49" s="385"/>
      <c r="X49" s="385"/>
      <c r="Y49" s="385"/>
      <c r="Z49" s="385"/>
      <c r="AA49" s="385"/>
      <c r="AB49" s="385"/>
      <c r="AC49" s="385"/>
      <c r="AD49" s="385"/>
      <c r="AE49" s="385"/>
      <c r="AF49" s="82"/>
      <c r="AG49" s="141"/>
    </row>
  </sheetData>
  <sheetProtection password="918C" sheet="1" objects="1" scenarios="1"/>
  <mergeCells count="46">
    <mergeCell ref="R12:T12"/>
    <mergeCell ref="R13:T13"/>
    <mergeCell ref="A9:B9"/>
    <mergeCell ref="C9:D9"/>
    <mergeCell ref="A12:C12"/>
    <mergeCell ref="A13:C13"/>
    <mergeCell ref="D12:P12"/>
    <mergeCell ref="D13:P13"/>
    <mergeCell ref="R4:S4"/>
    <mergeCell ref="T4:X4"/>
    <mergeCell ref="AA4:AB4"/>
    <mergeCell ref="R5:S5"/>
    <mergeCell ref="A10:B10"/>
    <mergeCell ref="E10:F10"/>
    <mergeCell ref="V10:W10"/>
    <mergeCell ref="A8:B8"/>
    <mergeCell ref="C8:H8"/>
    <mergeCell ref="R8:S8"/>
    <mergeCell ref="T8:Y8"/>
    <mergeCell ref="I8:P11"/>
    <mergeCell ref="G9:H9"/>
    <mergeCell ref="T9:U9"/>
    <mergeCell ref="X9:Y9"/>
    <mergeCell ref="E9:F9"/>
    <mergeCell ref="H5:I5"/>
    <mergeCell ref="A5:B5"/>
    <mergeCell ref="C5:G5"/>
    <mergeCell ref="C4:G4"/>
    <mergeCell ref="J4:K4"/>
    <mergeCell ref="J5:P5"/>
    <mergeCell ref="A3:P3"/>
    <mergeCell ref="R3:AG3"/>
    <mergeCell ref="U12:AG12"/>
    <mergeCell ref="U13:AG13"/>
    <mergeCell ref="Z8:AG11"/>
    <mergeCell ref="R10:S10"/>
    <mergeCell ref="R7:S7"/>
    <mergeCell ref="T5:X5"/>
    <mergeCell ref="Y5:Z5"/>
    <mergeCell ref="AA5:AG5"/>
    <mergeCell ref="R9:S9"/>
    <mergeCell ref="V9:W9"/>
    <mergeCell ref="C7:H7"/>
    <mergeCell ref="T7:Y7"/>
    <mergeCell ref="A7:B7"/>
    <mergeCell ref="A4:B4"/>
  </mergeCells>
  <conditionalFormatting sqref="C4">
    <cfRule type="containsBlanks" dxfId="1" priority="6">
      <formula>LEN(TRIM(C4))=0</formula>
    </cfRule>
  </conditionalFormatting>
  <conditionalFormatting sqref="J4 C9 G9 I8 T4 AA4 T9 X9 Z8 D12:D13 U12:U13">
    <cfRule type="cellIs" dxfId="0" priority="3" operator="equal">
      <formula>0</formula>
    </cfRule>
  </conditionalFormatting>
  <dataValidations count="1">
    <dataValidation type="list" allowBlank="1" showInputMessage="1" showErrorMessage="1" sqref="C4">
      <formula1>List_ResidentNamesSorted</formula1>
    </dataValidation>
  </dataValidations>
  <printOptions horizontalCentered="1" verticalCentered="1"/>
  <pageMargins left="0.25" right="0.25" top="0.25" bottom="0.2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5"/>
  <sheetViews>
    <sheetView zoomScaleNormal="100" workbookViewId="0">
      <pane ySplit="2" topLeftCell="A3" activePane="bottomLeft" state="frozen"/>
      <selection pane="bottomLeft" activeCell="B19" sqref="B19"/>
    </sheetView>
  </sheetViews>
  <sheetFormatPr defaultColWidth="10.7109375" defaultRowHeight="15" x14ac:dyDescent="0.25"/>
  <cols>
    <col min="1" max="2" width="20.7109375" customWidth="1"/>
    <col min="3" max="6" width="10.7109375" customWidth="1"/>
  </cols>
  <sheetData>
    <row r="1" spans="1:10" s="100" customFormat="1" ht="18.75" x14ac:dyDescent="0.3">
      <c r="A1" s="16" t="s">
        <v>258</v>
      </c>
    </row>
    <row r="2" spans="1:10" ht="15.75" thickBot="1" x14ac:dyDescent="0.3">
      <c r="C2" s="344" t="s">
        <v>264</v>
      </c>
      <c r="E2" s="343"/>
      <c r="F2" s="343"/>
      <c r="G2" s="344" t="s">
        <v>265</v>
      </c>
      <c r="H2" s="343"/>
    </row>
    <row r="3" spans="1:10" x14ac:dyDescent="0.25">
      <c r="B3" s="346" t="s">
        <v>24</v>
      </c>
      <c r="C3" s="624" t="s">
        <v>259</v>
      </c>
      <c r="D3" s="625"/>
      <c r="G3" s="624" t="s">
        <v>259</v>
      </c>
      <c r="H3" s="625"/>
      <c r="I3" s="365" t="s">
        <v>262</v>
      </c>
      <c r="J3" s="366"/>
    </row>
    <row r="4" spans="1:10" ht="15.75" thickBot="1" x14ac:dyDescent="0.3">
      <c r="B4" s="347">
        <v>28</v>
      </c>
      <c r="C4" s="363" t="s">
        <v>260</v>
      </c>
      <c r="D4" s="350" t="s">
        <v>83</v>
      </c>
      <c r="G4" s="363" t="s">
        <v>260</v>
      </c>
      <c r="H4" s="350" t="s">
        <v>83</v>
      </c>
      <c r="I4" s="349" t="s">
        <v>260</v>
      </c>
      <c r="J4" s="350" t="s">
        <v>83</v>
      </c>
    </row>
    <row r="5" spans="1:10" ht="15.75" thickBot="1" x14ac:dyDescent="0.3">
      <c r="B5" s="361"/>
      <c r="C5" s="362"/>
      <c r="D5" s="351">
        <v>0</v>
      </c>
      <c r="G5" s="362"/>
      <c r="H5" s="351">
        <v>0</v>
      </c>
      <c r="I5" s="345"/>
      <c r="J5" s="351">
        <v>0</v>
      </c>
    </row>
    <row r="6" spans="1:10" x14ac:dyDescent="0.25">
      <c r="B6" s="352"/>
      <c r="C6" s="361"/>
      <c r="D6" s="353"/>
      <c r="I6" s="365" t="s">
        <v>263</v>
      </c>
      <c r="J6" s="366"/>
    </row>
    <row r="7" spans="1:10" x14ac:dyDescent="0.25">
      <c r="B7" s="354"/>
      <c r="I7" s="367" t="s">
        <v>260</v>
      </c>
      <c r="J7" s="368" t="s">
        <v>83</v>
      </c>
    </row>
    <row r="8" spans="1:10" ht="15.75" thickBot="1" x14ac:dyDescent="0.3">
      <c r="B8" s="352"/>
      <c r="I8" s="345"/>
      <c r="J8" s="351">
        <v>0</v>
      </c>
    </row>
    <row r="9" spans="1:10" x14ac:dyDescent="0.25">
      <c r="B9" s="352"/>
    </row>
    <row r="10" spans="1:10" ht="15.75" thickBot="1" x14ac:dyDescent="0.3">
      <c r="B10" s="358"/>
    </row>
    <row r="11" spans="1:10" x14ac:dyDescent="0.25">
      <c r="B11" s="352"/>
      <c r="C11" s="626" t="s">
        <v>261</v>
      </c>
      <c r="D11" s="627"/>
      <c r="E11" s="369" t="s">
        <v>262</v>
      </c>
      <c r="F11" s="370"/>
      <c r="I11" s="628" t="s">
        <v>17</v>
      </c>
      <c r="J11" s="629"/>
    </row>
    <row r="12" spans="1:10" x14ac:dyDescent="0.25">
      <c r="B12" s="352"/>
      <c r="C12" s="364" t="s">
        <v>260</v>
      </c>
      <c r="D12" s="355" t="s">
        <v>83</v>
      </c>
      <c r="E12" s="371" t="s">
        <v>260</v>
      </c>
      <c r="F12" s="355" t="s">
        <v>83</v>
      </c>
      <c r="I12" s="356" t="s">
        <v>260</v>
      </c>
      <c r="J12" s="357" t="s">
        <v>83</v>
      </c>
    </row>
    <row r="13" spans="1:10" ht="15.75" thickBot="1" x14ac:dyDescent="0.3">
      <c r="C13" s="348">
        <v>28</v>
      </c>
      <c r="D13" s="351">
        <v>0</v>
      </c>
      <c r="E13" s="345"/>
      <c r="F13" s="351">
        <v>0</v>
      </c>
      <c r="I13" s="348">
        <v>9</v>
      </c>
      <c r="J13" s="351">
        <v>0</v>
      </c>
    </row>
    <row r="14" spans="1:10" ht="15.75" thickBot="1" x14ac:dyDescent="0.3">
      <c r="C14" s="361"/>
      <c r="D14" s="353"/>
      <c r="E14" s="369" t="s">
        <v>263</v>
      </c>
      <c r="F14" s="370"/>
      <c r="I14" s="361"/>
      <c r="J14" s="353"/>
    </row>
    <row r="15" spans="1:10" x14ac:dyDescent="0.25">
      <c r="C15" s="358"/>
      <c r="D15" s="358"/>
      <c r="E15" s="372" t="s">
        <v>260</v>
      </c>
      <c r="F15" s="373" t="s">
        <v>83</v>
      </c>
      <c r="I15" s="630" t="s">
        <v>10</v>
      </c>
      <c r="J15" s="631"/>
    </row>
    <row r="16" spans="1:10" ht="15.75" thickBot="1" x14ac:dyDescent="0.3">
      <c r="C16" s="352"/>
      <c r="D16" s="352"/>
      <c r="E16" s="345"/>
      <c r="F16" s="351">
        <v>0</v>
      </c>
      <c r="I16" s="359" t="s">
        <v>260</v>
      </c>
      <c r="J16" s="360" t="s">
        <v>83</v>
      </c>
    </row>
    <row r="17" spans="3:10" ht="15.75" thickBot="1" x14ac:dyDescent="0.3">
      <c r="C17" s="352"/>
      <c r="D17" s="352"/>
      <c r="I17" s="348">
        <v>9</v>
      </c>
      <c r="J17" s="351">
        <v>0</v>
      </c>
    </row>
    <row r="19" spans="3:10" x14ac:dyDescent="0.25">
      <c r="I19" s="343"/>
      <c r="J19" s="343"/>
    </row>
    <row r="20" spans="3:10" x14ac:dyDescent="0.25">
      <c r="I20" s="343"/>
      <c r="J20" s="343"/>
    </row>
    <row r="21" spans="3:10" x14ac:dyDescent="0.25">
      <c r="I21" s="343"/>
      <c r="J21" s="343"/>
    </row>
    <row r="22" spans="3:10" x14ac:dyDescent="0.25">
      <c r="I22" s="343"/>
      <c r="J22" s="343"/>
    </row>
    <row r="23" spans="3:10" x14ac:dyDescent="0.25">
      <c r="I23" s="343"/>
      <c r="J23" s="343"/>
    </row>
    <row r="24" spans="3:10" x14ac:dyDescent="0.25">
      <c r="I24" s="343"/>
      <c r="J24" s="343"/>
    </row>
    <row r="25" spans="3:10" x14ac:dyDescent="0.25">
      <c r="I25" s="343"/>
      <c r="J25" s="343"/>
    </row>
  </sheetData>
  <mergeCells count="5">
    <mergeCell ref="C3:D3"/>
    <mergeCell ref="C11:D11"/>
    <mergeCell ref="I11:J11"/>
    <mergeCell ref="I15:J15"/>
    <mergeCell ref="G3: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39997558519241921"/>
    <pageSetUpPr fitToPage="1"/>
  </sheetPr>
  <dimension ref="A1:O56"/>
  <sheetViews>
    <sheetView showGridLines="0" zoomScaleNormal="100" workbookViewId="0">
      <pane ySplit="4" topLeftCell="A5" activePane="bottomLeft" state="frozen"/>
      <selection pane="bottomLeft"/>
    </sheetView>
  </sheetViews>
  <sheetFormatPr defaultColWidth="11.7109375" defaultRowHeight="15" x14ac:dyDescent="0.25"/>
  <cols>
    <col min="1" max="2" width="11.7109375" customWidth="1"/>
    <col min="3" max="3" width="3.7109375" customWidth="1"/>
    <col min="16" max="16" width="3.7109375" customWidth="1"/>
  </cols>
  <sheetData>
    <row r="1" spans="1:15" s="152" customFormat="1" ht="21" x14ac:dyDescent="0.35">
      <c r="A1" s="150" t="s">
        <v>68</v>
      </c>
    </row>
    <row r="2" spans="1:15" s="31" customFormat="1" ht="17.25" x14ac:dyDescent="0.3">
      <c r="A2" s="176" t="s">
        <v>171</v>
      </c>
      <c r="B2" s="112">
        <f>COUNTA(Tbl_ScatterPlot[x-axis Value])</f>
        <v>0</v>
      </c>
    </row>
    <row r="3" spans="1:15" ht="18" thickBot="1" x14ac:dyDescent="0.35">
      <c r="A3" s="194" t="s">
        <v>69</v>
      </c>
      <c r="B3" s="194"/>
      <c r="D3" s="632" t="s">
        <v>72</v>
      </c>
      <c r="E3" s="632"/>
      <c r="F3" s="632"/>
      <c r="G3" s="632"/>
      <c r="H3" s="632"/>
      <c r="I3" s="632"/>
      <c r="J3" s="632"/>
      <c r="K3" s="632"/>
      <c r="L3" s="632"/>
      <c r="M3" s="632"/>
      <c r="N3" s="632"/>
      <c r="O3" s="632"/>
    </row>
    <row r="4" spans="1:15" ht="15.75" thickBot="1" x14ac:dyDescent="0.3">
      <c r="A4" s="195" t="s">
        <v>70</v>
      </c>
      <c r="B4" s="196" t="s">
        <v>71</v>
      </c>
      <c r="D4" s="32" t="s">
        <v>73</v>
      </c>
      <c r="E4" s="633" t="s">
        <v>74</v>
      </c>
      <c r="F4" s="633"/>
      <c r="G4" s="633"/>
      <c r="H4" s="633"/>
      <c r="I4" s="633"/>
      <c r="J4" s="633"/>
      <c r="K4" s="633"/>
      <c r="L4" s="633"/>
      <c r="M4" s="633"/>
      <c r="N4" s="633"/>
      <c r="O4" s="634"/>
    </row>
    <row r="5" spans="1:15" ht="15" customHeight="1" x14ac:dyDescent="0.25">
      <c r="A5" s="47"/>
      <c r="B5" s="48"/>
    </row>
    <row r="6" spans="1:15" x14ac:dyDescent="0.25">
      <c r="A6" s="49"/>
      <c r="B6" s="50"/>
    </row>
    <row r="7" spans="1:15" x14ac:dyDescent="0.25">
      <c r="A7" s="49"/>
      <c r="B7" s="50"/>
    </row>
    <row r="8" spans="1:15" x14ac:dyDescent="0.25">
      <c r="A8" s="49"/>
      <c r="B8" s="50"/>
    </row>
    <row r="9" spans="1:15" x14ac:dyDescent="0.25">
      <c r="A9" s="49"/>
      <c r="B9" s="50"/>
    </row>
    <row r="10" spans="1:15" x14ac:dyDescent="0.25">
      <c r="A10" s="49"/>
      <c r="B10" s="50"/>
    </row>
    <row r="11" spans="1:15" x14ac:dyDescent="0.25">
      <c r="A11" s="49"/>
      <c r="B11" s="50"/>
    </row>
    <row r="12" spans="1:15" x14ac:dyDescent="0.25">
      <c r="A12" s="49"/>
      <c r="B12" s="50"/>
    </row>
    <row r="13" spans="1:15" x14ac:dyDescent="0.25">
      <c r="A13" s="49"/>
      <c r="B13" s="50"/>
    </row>
    <row r="14" spans="1:15" x14ac:dyDescent="0.25">
      <c r="A14" s="49"/>
      <c r="B14" s="50"/>
    </row>
    <row r="15" spans="1:15" x14ac:dyDescent="0.25">
      <c r="A15" s="49"/>
      <c r="B15" s="50"/>
    </row>
    <row r="16" spans="1:15" x14ac:dyDescent="0.25">
      <c r="A16" s="49"/>
      <c r="B16" s="50"/>
    </row>
    <row r="17" spans="1:2" x14ac:dyDescent="0.25">
      <c r="A17" s="49"/>
      <c r="B17" s="50"/>
    </row>
    <row r="18" spans="1:2" x14ac:dyDescent="0.25">
      <c r="A18" s="49"/>
      <c r="B18" s="50"/>
    </row>
    <row r="19" spans="1:2" x14ac:dyDescent="0.25">
      <c r="A19" s="49"/>
      <c r="B19" s="50"/>
    </row>
    <row r="20" spans="1:2" x14ac:dyDescent="0.25">
      <c r="A20" s="49"/>
      <c r="B20" s="50"/>
    </row>
    <row r="21" spans="1:2" x14ac:dyDescent="0.25">
      <c r="A21" s="49"/>
      <c r="B21" s="50"/>
    </row>
    <row r="22" spans="1:2" x14ac:dyDescent="0.25">
      <c r="A22" s="49"/>
      <c r="B22" s="50"/>
    </row>
    <row r="23" spans="1:2" x14ac:dyDescent="0.25">
      <c r="A23" s="49"/>
      <c r="B23" s="50"/>
    </row>
    <row r="24" spans="1:2" x14ac:dyDescent="0.25">
      <c r="A24" s="49"/>
      <c r="B24" s="50"/>
    </row>
    <row r="25" spans="1:2" x14ac:dyDescent="0.25">
      <c r="A25" s="49"/>
      <c r="B25" s="50"/>
    </row>
    <row r="26" spans="1:2" x14ac:dyDescent="0.25">
      <c r="A26" s="49"/>
      <c r="B26" s="50"/>
    </row>
    <row r="27" spans="1:2" x14ac:dyDescent="0.25">
      <c r="A27" s="49"/>
      <c r="B27" s="50"/>
    </row>
    <row r="28" spans="1:2" x14ac:dyDescent="0.25">
      <c r="A28" s="49"/>
      <c r="B28" s="50"/>
    </row>
    <row r="29" spans="1:2" x14ac:dyDescent="0.25">
      <c r="A29" s="49"/>
      <c r="B29" s="50"/>
    </row>
    <row r="30" spans="1:2" x14ac:dyDescent="0.25">
      <c r="A30" s="49"/>
      <c r="B30" s="50"/>
    </row>
    <row r="31" spans="1:2" x14ac:dyDescent="0.25">
      <c r="A31" s="49"/>
      <c r="B31" s="50"/>
    </row>
    <row r="32" spans="1:2" x14ac:dyDescent="0.25">
      <c r="A32" s="49"/>
      <c r="B32" s="50"/>
    </row>
    <row r="33" spans="1:2" x14ac:dyDescent="0.25">
      <c r="A33" s="49"/>
      <c r="B33" s="50"/>
    </row>
    <row r="34" spans="1:2" x14ac:dyDescent="0.25">
      <c r="A34" s="49"/>
      <c r="B34" s="50"/>
    </row>
    <row r="35" spans="1:2" x14ac:dyDescent="0.25">
      <c r="A35" s="49"/>
      <c r="B35" s="50"/>
    </row>
    <row r="36" spans="1:2" x14ac:dyDescent="0.25">
      <c r="A36" s="49"/>
      <c r="B36" s="50"/>
    </row>
    <row r="37" spans="1:2" x14ac:dyDescent="0.25">
      <c r="A37" s="49"/>
      <c r="B37" s="50"/>
    </row>
    <row r="38" spans="1:2" x14ac:dyDescent="0.25">
      <c r="A38" s="49"/>
      <c r="B38" s="50"/>
    </row>
    <row r="39" spans="1:2" x14ac:dyDescent="0.25">
      <c r="A39" s="49"/>
      <c r="B39" s="50"/>
    </row>
    <row r="40" spans="1:2" x14ac:dyDescent="0.25">
      <c r="A40" s="49"/>
      <c r="B40" s="50"/>
    </row>
    <row r="41" spans="1:2" x14ac:dyDescent="0.25">
      <c r="A41" s="49"/>
      <c r="B41" s="50"/>
    </row>
    <row r="42" spans="1:2" x14ac:dyDescent="0.25">
      <c r="A42" s="49"/>
      <c r="B42" s="50"/>
    </row>
    <row r="43" spans="1:2" x14ac:dyDescent="0.25">
      <c r="A43" s="49"/>
      <c r="B43" s="50"/>
    </row>
    <row r="44" spans="1:2" x14ac:dyDescent="0.25">
      <c r="A44" s="51"/>
      <c r="B44" s="52"/>
    </row>
    <row r="45" spans="1:2" x14ac:dyDescent="0.25">
      <c r="A45" s="113"/>
      <c r="B45" s="113"/>
    </row>
    <row r="46" spans="1:2" x14ac:dyDescent="0.25">
      <c r="A46" s="113"/>
      <c r="B46" s="113"/>
    </row>
    <row r="47" spans="1:2" x14ac:dyDescent="0.25">
      <c r="A47" s="113"/>
      <c r="B47" s="113"/>
    </row>
    <row r="48" spans="1:2" x14ac:dyDescent="0.25">
      <c r="A48" s="113"/>
      <c r="B48" s="113"/>
    </row>
    <row r="49" spans="1:2" x14ac:dyDescent="0.25">
      <c r="A49" s="113"/>
      <c r="B49" s="113"/>
    </row>
    <row r="50" spans="1:2" x14ac:dyDescent="0.25">
      <c r="A50" s="113"/>
      <c r="B50" s="113"/>
    </row>
    <row r="51" spans="1:2" x14ac:dyDescent="0.25">
      <c r="A51" s="113"/>
      <c r="B51" s="113"/>
    </row>
    <row r="52" spans="1:2" x14ac:dyDescent="0.25">
      <c r="A52" s="113"/>
      <c r="B52" s="113"/>
    </row>
    <row r="53" spans="1:2" x14ac:dyDescent="0.25">
      <c r="A53" s="113"/>
      <c r="B53" s="113"/>
    </row>
    <row r="54" spans="1:2" x14ac:dyDescent="0.25">
      <c r="A54" s="113"/>
      <c r="B54" s="113"/>
    </row>
    <row r="55" spans="1:2" x14ac:dyDescent="0.25">
      <c r="A55" s="76"/>
      <c r="B55" s="76"/>
    </row>
    <row r="56" spans="1:2" x14ac:dyDescent="0.25">
      <c r="A56" s="76"/>
      <c r="B56" s="76"/>
    </row>
  </sheetData>
  <sheetProtection password="918C" sheet="1" objects="1" scenarios="1"/>
  <mergeCells count="2">
    <mergeCell ref="D3:O3"/>
    <mergeCell ref="E4:O4"/>
  </mergeCells>
  <pageMargins left="0.25" right="0.25" top="0.75" bottom="0.75" header="0.3" footer="0.3"/>
  <pageSetup scale="77"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pageSetUpPr fitToPage="1"/>
  </sheetPr>
  <dimension ref="A1:O26"/>
  <sheetViews>
    <sheetView showGridLines="0" zoomScaleNormal="100" workbookViewId="0">
      <pane ySplit="4" topLeftCell="A5" activePane="bottomLeft" state="frozen"/>
      <selection pane="bottomLeft" activeCell="R8" sqref="R8"/>
    </sheetView>
  </sheetViews>
  <sheetFormatPr defaultColWidth="11.7109375" defaultRowHeight="15" x14ac:dyDescent="0.25"/>
  <cols>
    <col min="1" max="1" width="11.7109375" customWidth="1"/>
    <col min="2" max="2" width="16.7109375" customWidth="1"/>
    <col min="3" max="3" width="3.7109375" customWidth="1"/>
    <col min="16" max="16" width="3.7109375" customWidth="1"/>
  </cols>
  <sheetData>
    <row r="1" spans="1:15" s="152" customFormat="1" ht="21" x14ac:dyDescent="0.35">
      <c r="A1" s="155" t="s">
        <v>75</v>
      </c>
      <c r="B1" s="172"/>
    </row>
    <row r="2" spans="1:15" s="31" customFormat="1" ht="17.25" x14ac:dyDescent="0.3">
      <c r="A2" s="111" t="s">
        <v>97</v>
      </c>
      <c r="B2" s="110">
        <f>COUNTA(Tbl_Histogram[y-axis Frequency])</f>
        <v>4</v>
      </c>
    </row>
    <row r="3" spans="1:15" ht="18" thickBot="1" x14ac:dyDescent="0.35">
      <c r="A3" s="194" t="s">
        <v>69</v>
      </c>
      <c r="B3" s="194"/>
      <c r="D3" s="632" t="s">
        <v>78</v>
      </c>
      <c r="E3" s="632"/>
      <c r="F3" s="632"/>
      <c r="G3" s="632"/>
      <c r="H3" s="632"/>
      <c r="I3" s="632"/>
      <c r="J3" s="632"/>
      <c r="K3" s="632"/>
      <c r="L3" s="632"/>
      <c r="M3" s="632"/>
      <c r="N3" s="632"/>
      <c r="O3" s="632"/>
    </row>
    <row r="4" spans="1:15" ht="15.75" thickBot="1" x14ac:dyDescent="0.3">
      <c r="A4" s="197" t="s">
        <v>76</v>
      </c>
      <c r="B4" s="198" t="s">
        <v>77</v>
      </c>
      <c r="D4" s="33" t="s">
        <v>73</v>
      </c>
      <c r="E4" s="633" t="s">
        <v>96</v>
      </c>
      <c r="F4" s="633"/>
      <c r="G4" s="633"/>
      <c r="H4" s="633"/>
      <c r="I4" s="633"/>
      <c r="J4" s="633"/>
      <c r="K4" s="633"/>
      <c r="L4" s="633"/>
      <c r="M4" s="633"/>
      <c r="N4" s="633"/>
      <c r="O4" s="634"/>
    </row>
    <row r="5" spans="1:15" ht="15" customHeight="1" x14ac:dyDescent="0.25">
      <c r="A5" s="53" t="s">
        <v>98</v>
      </c>
      <c r="B5" s="54">
        <v>0</v>
      </c>
    </row>
    <row r="6" spans="1:15" x14ac:dyDescent="0.25">
      <c r="A6" s="55" t="s">
        <v>99</v>
      </c>
      <c r="B6" s="56">
        <v>0</v>
      </c>
    </row>
    <row r="7" spans="1:15" x14ac:dyDescent="0.25">
      <c r="A7" s="55" t="s">
        <v>100</v>
      </c>
      <c r="B7" s="56">
        <v>0</v>
      </c>
    </row>
    <row r="8" spans="1:15" x14ac:dyDescent="0.25">
      <c r="A8" s="55" t="s">
        <v>101</v>
      </c>
      <c r="B8" s="56">
        <v>0</v>
      </c>
    </row>
    <row r="9" spans="1:15" x14ac:dyDescent="0.25">
      <c r="A9" s="55"/>
      <c r="B9" s="56"/>
    </row>
    <row r="10" spans="1:15" x14ac:dyDescent="0.25">
      <c r="A10" s="55"/>
      <c r="B10" s="56"/>
    </row>
    <row r="11" spans="1:15" x14ac:dyDescent="0.25">
      <c r="A11" s="55"/>
      <c r="B11" s="56"/>
    </row>
    <row r="12" spans="1:15" x14ac:dyDescent="0.25">
      <c r="A12" s="55"/>
      <c r="B12" s="56"/>
    </row>
    <row r="13" spans="1:15" x14ac:dyDescent="0.25">
      <c r="A13" s="55"/>
      <c r="B13" s="56"/>
    </row>
    <row r="14" spans="1:15" x14ac:dyDescent="0.25">
      <c r="A14" s="55"/>
      <c r="B14" s="56"/>
    </row>
    <row r="15" spans="1:15" x14ac:dyDescent="0.25">
      <c r="A15" s="55"/>
      <c r="B15" s="56"/>
    </row>
    <row r="16" spans="1:15" x14ac:dyDescent="0.25">
      <c r="A16" s="55"/>
      <c r="B16" s="56"/>
    </row>
    <row r="17" spans="1:2" x14ac:dyDescent="0.25">
      <c r="A17" s="55"/>
      <c r="B17" s="56"/>
    </row>
    <row r="18" spans="1:2" x14ac:dyDescent="0.25">
      <c r="A18" s="55"/>
      <c r="B18" s="56"/>
    </row>
    <row r="19" spans="1:2" x14ac:dyDescent="0.25">
      <c r="A19" s="55"/>
      <c r="B19" s="56"/>
    </row>
    <row r="20" spans="1:2" x14ac:dyDescent="0.25">
      <c r="A20" s="55"/>
      <c r="B20" s="56"/>
    </row>
    <row r="21" spans="1:2" x14ac:dyDescent="0.25">
      <c r="A21" s="55"/>
      <c r="B21" s="56"/>
    </row>
    <row r="22" spans="1:2" x14ac:dyDescent="0.25">
      <c r="A22" s="55"/>
      <c r="B22" s="56"/>
    </row>
    <row r="23" spans="1:2" x14ac:dyDescent="0.25">
      <c r="A23" s="55"/>
      <c r="B23" s="56"/>
    </row>
    <row r="24" spans="1:2" x14ac:dyDescent="0.25">
      <c r="A24" s="55"/>
      <c r="B24" s="56"/>
    </row>
    <row r="25" spans="1:2" x14ac:dyDescent="0.25">
      <c r="A25" s="55"/>
      <c r="B25" s="56"/>
    </row>
    <row r="26" spans="1:2" x14ac:dyDescent="0.25">
      <c r="A26" s="57"/>
      <c r="B26" s="58"/>
    </row>
  </sheetData>
  <sheetProtection password="918C" sheet="1" objects="1" scenarios="1"/>
  <mergeCells count="2">
    <mergeCell ref="D3:O3"/>
    <mergeCell ref="E4:O4"/>
  </mergeCells>
  <pageMargins left="0.25" right="0.25" top="0.75" bottom="0.75" header="0.3" footer="0.3"/>
  <pageSetup scale="75" orientation="landscape" r:id="rId1"/>
  <ignoredErrors>
    <ignoredError sqref="B5:B8" calculatedColumn="1"/>
  </ignoredError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pageSetUpPr fitToPage="1"/>
  </sheetPr>
  <dimension ref="A1:P14"/>
  <sheetViews>
    <sheetView showGridLines="0" zoomScaleNormal="100" zoomScaleSheetLayoutView="100" workbookViewId="0">
      <pane ySplit="4" topLeftCell="A5" activePane="bottomLeft" state="frozen"/>
      <selection pane="bottomLeft" activeCell="Q10" sqref="Q9:Q10"/>
    </sheetView>
  </sheetViews>
  <sheetFormatPr defaultColWidth="11.7109375" defaultRowHeight="15" x14ac:dyDescent="0.25"/>
  <cols>
    <col min="1" max="1" width="30.7109375" customWidth="1"/>
    <col min="2" max="3" width="12.7109375" customWidth="1"/>
    <col min="4" max="4" width="8.7109375" customWidth="1"/>
    <col min="5" max="5" width="10.7109375" customWidth="1"/>
    <col min="6" max="6" width="3.7109375" customWidth="1"/>
    <col min="16" max="16" width="3.7109375" customWidth="1"/>
  </cols>
  <sheetData>
    <row r="1" spans="1:16" s="152" customFormat="1" ht="21" x14ac:dyDescent="0.35">
      <c r="A1" s="155" t="s">
        <v>79</v>
      </c>
      <c r="E1" s="173"/>
    </row>
    <row r="2" spans="1:16" s="31" customFormat="1" ht="17.25" x14ac:dyDescent="0.3">
      <c r="A2" s="34" t="s">
        <v>90</v>
      </c>
      <c r="B2" s="110">
        <f>COUNTA(Tbl_Pareto[Categories])</f>
        <v>4</v>
      </c>
      <c r="C2" s="110"/>
      <c r="E2" s="35"/>
    </row>
    <row r="3" spans="1:16" ht="18" thickBot="1" x14ac:dyDescent="0.35">
      <c r="A3" s="194" t="s">
        <v>69</v>
      </c>
      <c r="B3" s="194"/>
      <c r="C3" s="194"/>
      <c r="D3" s="194"/>
      <c r="E3" s="194"/>
      <c r="G3" s="635" t="s">
        <v>85</v>
      </c>
      <c r="H3" s="635"/>
      <c r="I3" s="635"/>
      <c r="J3" s="635"/>
      <c r="K3" s="635"/>
      <c r="L3" s="635"/>
      <c r="M3" s="635"/>
      <c r="N3" s="635"/>
      <c r="O3" s="635"/>
      <c r="P3" s="343"/>
    </row>
    <row r="4" spans="1:16" ht="15.75" thickBot="1" x14ac:dyDescent="0.3">
      <c r="A4" s="199" t="s">
        <v>80</v>
      </c>
      <c r="B4" s="200" t="s">
        <v>81</v>
      </c>
      <c r="C4" s="201" t="s">
        <v>82</v>
      </c>
      <c r="D4" s="200" t="s">
        <v>83</v>
      </c>
      <c r="E4" s="202" t="s">
        <v>84</v>
      </c>
      <c r="G4" s="40" t="s">
        <v>73</v>
      </c>
      <c r="H4" s="545" t="s">
        <v>86</v>
      </c>
      <c r="I4" s="545"/>
      <c r="J4" s="545"/>
      <c r="K4" s="545"/>
      <c r="L4" s="545"/>
      <c r="M4" s="545"/>
      <c r="N4" s="545"/>
      <c r="O4" s="546"/>
      <c r="P4" s="343"/>
    </row>
    <row r="5" spans="1:16" ht="15" customHeight="1" x14ac:dyDescent="0.25">
      <c r="A5" s="65" t="s">
        <v>92</v>
      </c>
      <c r="B5" s="36"/>
      <c r="C5" s="37"/>
      <c r="D5" s="203" t="str">
        <f>IF(OR(ISBLANK(Tbl_Pareto[[#This Row],[Numerator]]),ISBLANK(Tbl_Pareto[[#This Row],[Denominator]])),"",Tbl_Pareto[[#This Row],[Numerator]]/Tbl_Pareto[[#This Row],[Denominator]])</f>
        <v/>
      </c>
      <c r="E5" s="204" t="str">
        <f>IF(Tbl_Pareto[[#This Row],[Percent]]="","",SUM(INDEX(Tbl_Pareto[Percent],1):Tbl_Pareto[[#This Row],[Percent]]))</f>
        <v/>
      </c>
    </row>
    <row r="6" spans="1:16" x14ac:dyDescent="0.25">
      <c r="A6" s="66" t="s">
        <v>93</v>
      </c>
      <c r="B6" s="38"/>
      <c r="C6" s="39"/>
      <c r="D6" s="203" t="str">
        <f>IF(OR(ISBLANK(Tbl_Pareto[[#This Row],[Numerator]]),ISBLANK(Tbl_Pareto[[#This Row],[Denominator]])),"",Tbl_Pareto[[#This Row],[Numerator]]/Tbl_Pareto[[#This Row],[Denominator]])</f>
        <v/>
      </c>
      <c r="E6" s="204" t="str">
        <f>IF(Tbl_Pareto[[#This Row],[Percent]]="","",SUM(INDEX(Tbl_Pareto[Percent],1):Tbl_Pareto[[#This Row],[Percent]]))</f>
        <v/>
      </c>
    </row>
    <row r="7" spans="1:16" x14ac:dyDescent="0.25">
      <c r="A7" s="66" t="s">
        <v>94</v>
      </c>
      <c r="B7" s="38"/>
      <c r="C7" s="39"/>
      <c r="D7" s="203" t="str">
        <f>IF(OR(ISBLANK(Tbl_Pareto[[#This Row],[Numerator]]),ISBLANK(Tbl_Pareto[[#This Row],[Denominator]])),"",Tbl_Pareto[[#This Row],[Numerator]]/Tbl_Pareto[[#This Row],[Denominator]])</f>
        <v/>
      </c>
      <c r="E7" s="204" t="str">
        <f>IF(Tbl_Pareto[[#This Row],[Percent]]="","",SUM(INDEX(Tbl_Pareto[Percent],1):Tbl_Pareto[[#This Row],[Percent]]))</f>
        <v/>
      </c>
    </row>
    <row r="8" spans="1:16" x14ac:dyDescent="0.25">
      <c r="A8" s="66" t="s">
        <v>95</v>
      </c>
      <c r="B8" s="59"/>
      <c r="C8" s="60"/>
      <c r="D8" s="203" t="str">
        <f>IF(OR(ISBLANK(Tbl_Pareto[[#This Row],[Numerator]]),ISBLANK(Tbl_Pareto[[#This Row],[Denominator]])),"",Tbl_Pareto[[#This Row],[Numerator]]/Tbl_Pareto[[#This Row],[Denominator]])</f>
        <v/>
      </c>
      <c r="E8" s="204" t="str">
        <f>IF(Tbl_Pareto[[#This Row],[Percent]]="","",SUM(INDEX(Tbl_Pareto[Percent],1):Tbl_Pareto[[#This Row],[Percent]]))</f>
        <v/>
      </c>
    </row>
    <row r="9" spans="1:16" x14ac:dyDescent="0.25">
      <c r="A9" s="66"/>
      <c r="B9" s="59"/>
      <c r="C9" s="60"/>
      <c r="D9" s="203" t="str">
        <f>IF(OR(ISBLANK(Tbl_Pareto[[#This Row],[Numerator]]),ISBLANK(Tbl_Pareto[[#This Row],[Denominator]])),"",Tbl_Pareto[[#This Row],[Numerator]]/Tbl_Pareto[[#This Row],[Denominator]])</f>
        <v/>
      </c>
      <c r="E9" s="204" t="str">
        <f>IF(Tbl_Pareto[[#This Row],[Percent]]="","",SUM(INDEX(Tbl_Pareto[Percent],1):Tbl_Pareto[[#This Row],[Percent]]))</f>
        <v/>
      </c>
    </row>
    <row r="10" spans="1:16" x14ac:dyDescent="0.25">
      <c r="A10" s="66"/>
      <c r="B10" s="59"/>
      <c r="C10" s="60"/>
      <c r="D10" s="203" t="str">
        <f>IF(OR(ISBLANK(Tbl_Pareto[[#This Row],[Numerator]]),ISBLANK(Tbl_Pareto[[#This Row],[Denominator]])),"",Tbl_Pareto[[#This Row],[Numerator]]/Tbl_Pareto[[#This Row],[Denominator]])</f>
        <v/>
      </c>
      <c r="E10" s="204" t="str">
        <f>IF(Tbl_Pareto[[#This Row],[Percent]]="","",SUM(INDEX(Tbl_Pareto[Percent],1):Tbl_Pareto[[#This Row],[Percent]]))</f>
        <v/>
      </c>
    </row>
    <row r="11" spans="1:16" x14ac:dyDescent="0.25">
      <c r="A11" s="66"/>
      <c r="B11" s="59"/>
      <c r="C11" s="60"/>
      <c r="D11" s="203" t="str">
        <f>IF(OR(ISBLANK(Tbl_Pareto[[#This Row],[Numerator]]),ISBLANK(Tbl_Pareto[[#This Row],[Denominator]])),"",Tbl_Pareto[[#This Row],[Numerator]]/Tbl_Pareto[[#This Row],[Denominator]])</f>
        <v/>
      </c>
      <c r="E11" s="204" t="str">
        <f>IF(Tbl_Pareto[[#This Row],[Percent]]="","",SUM(INDEX(Tbl_Pareto[Percent],1):Tbl_Pareto[[#This Row],[Percent]]))</f>
        <v/>
      </c>
    </row>
    <row r="12" spans="1:16" x14ac:dyDescent="0.25">
      <c r="A12" s="66"/>
      <c r="B12" s="59"/>
      <c r="C12" s="60"/>
      <c r="D12" s="203" t="str">
        <f>IF(OR(ISBLANK(Tbl_Pareto[[#This Row],[Numerator]]),ISBLANK(Tbl_Pareto[[#This Row],[Denominator]])),"",Tbl_Pareto[[#This Row],[Numerator]]/Tbl_Pareto[[#This Row],[Denominator]])</f>
        <v/>
      </c>
      <c r="E12" s="204" t="str">
        <f>IF(Tbl_Pareto[[#This Row],[Percent]]="","",SUM(INDEX(Tbl_Pareto[Percent],1):Tbl_Pareto[[#This Row],[Percent]]))</f>
        <v/>
      </c>
    </row>
    <row r="13" spans="1:16" x14ac:dyDescent="0.25">
      <c r="A13" s="66"/>
      <c r="B13" s="38"/>
      <c r="C13" s="39"/>
      <c r="D13" s="203" t="str">
        <f>IF(OR(ISBLANK(Tbl_Pareto[[#This Row],[Numerator]]),ISBLANK(Tbl_Pareto[[#This Row],[Denominator]])),"",Tbl_Pareto[[#This Row],[Numerator]]/Tbl_Pareto[[#This Row],[Denominator]])</f>
        <v/>
      </c>
      <c r="E13" s="204" t="str">
        <f>IF(Tbl_Pareto[[#This Row],[Percent]]="","",SUM(INDEX(Tbl_Pareto[Percent],1):Tbl_Pareto[[#This Row],[Percent]]))</f>
        <v/>
      </c>
    </row>
    <row r="14" spans="1:16" x14ac:dyDescent="0.25">
      <c r="A14" s="67"/>
      <c r="B14" s="68"/>
      <c r="C14" s="69"/>
      <c r="D14" s="203" t="str">
        <f>IF(OR(ISBLANK(Tbl_Pareto[[#This Row],[Numerator]]),ISBLANK(Tbl_Pareto[[#This Row],[Denominator]])),"",Tbl_Pareto[[#This Row],[Numerator]]/Tbl_Pareto[[#This Row],[Denominator]])</f>
        <v/>
      </c>
      <c r="E14" s="204" t="str">
        <f>IF(Tbl_Pareto[[#This Row],[Percent]]="","",SUM(INDEX(Tbl_Pareto[Percent],1):Tbl_Pareto[[#This Row],[Percent]]))</f>
        <v/>
      </c>
    </row>
  </sheetData>
  <sheetProtection password="918C" sheet="1" objects="1" scenarios="1"/>
  <mergeCells count="1">
    <mergeCell ref="G3:O3"/>
  </mergeCells>
  <pageMargins left="0.25" right="0.25" top="0.75" bottom="0.75" header="0.3" footer="0.3"/>
  <pageSetup scale="71"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pageSetUpPr fitToPage="1"/>
  </sheetPr>
  <dimension ref="A1:P42"/>
  <sheetViews>
    <sheetView showGridLines="0" zoomScaleNormal="100" workbookViewId="0">
      <pane ySplit="4" topLeftCell="A5" activePane="bottomLeft" state="frozen"/>
      <selection pane="bottomLeft" activeCell="U2" sqref="U2"/>
    </sheetView>
  </sheetViews>
  <sheetFormatPr defaultColWidth="11.7109375" defaultRowHeight="15" x14ac:dyDescent="0.25"/>
  <cols>
    <col min="1" max="1" width="11.7109375" customWidth="1"/>
    <col min="3" max="3" width="11.7109375" hidden="1" customWidth="1"/>
    <col min="4" max="4" width="3.7109375" customWidth="1"/>
    <col min="17" max="17" width="3.7109375" customWidth="1"/>
  </cols>
  <sheetData>
    <row r="1" spans="1:16" s="152" customFormat="1" ht="21" x14ac:dyDescent="0.35">
      <c r="A1" s="169" t="s">
        <v>280</v>
      </c>
      <c r="B1" s="170"/>
      <c r="C1" s="171"/>
    </row>
    <row r="2" spans="1:16" s="31" customFormat="1" ht="17.25" x14ac:dyDescent="0.3">
      <c r="A2" s="174" t="s">
        <v>171</v>
      </c>
      <c r="B2" s="175">
        <f>COUNTA(Tbl_RunChart1[Measure])</f>
        <v>0</v>
      </c>
      <c r="C2" s="44"/>
    </row>
    <row r="3" spans="1:16" ht="18" thickBot="1" x14ac:dyDescent="0.35">
      <c r="A3" s="632" t="s">
        <v>69</v>
      </c>
      <c r="B3" s="632"/>
      <c r="C3" s="632"/>
      <c r="E3" s="632" t="s">
        <v>170</v>
      </c>
      <c r="F3" s="632"/>
      <c r="G3" s="632"/>
      <c r="H3" s="632"/>
      <c r="I3" s="632"/>
      <c r="J3" s="632"/>
      <c r="K3" s="632"/>
      <c r="L3" s="632"/>
      <c r="M3" s="632"/>
      <c r="N3" s="632"/>
      <c r="O3" s="632"/>
      <c r="P3" s="632"/>
    </row>
    <row r="4" spans="1:16" ht="15.75" thickBot="1" x14ac:dyDescent="0.3">
      <c r="A4" s="205" t="s">
        <v>91</v>
      </c>
      <c r="B4" s="206" t="s">
        <v>87</v>
      </c>
      <c r="C4" s="207" t="s">
        <v>88</v>
      </c>
      <c r="E4" s="45" t="s">
        <v>73</v>
      </c>
      <c r="F4" s="636" t="s">
        <v>167</v>
      </c>
      <c r="G4" s="636"/>
      <c r="H4" s="636"/>
      <c r="I4" s="636"/>
      <c r="J4" s="636"/>
      <c r="K4" s="636"/>
      <c r="L4" s="636"/>
      <c r="M4" s="636"/>
      <c r="N4" s="636"/>
      <c r="O4" s="636"/>
      <c r="P4" s="637"/>
    </row>
    <row r="5" spans="1:16" ht="15" customHeight="1" x14ac:dyDescent="0.25">
      <c r="A5" s="107"/>
      <c r="B5" s="61"/>
      <c r="C5" s="298" t="str">
        <f>IFERROR(MEDIAN(Tbl_RunChart1[Measure]),"")</f>
        <v/>
      </c>
    </row>
    <row r="6" spans="1:16" x14ac:dyDescent="0.25">
      <c r="A6" s="108"/>
      <c r="B6" s="61"/>
      <c r="C6" s="299" t="str">
        <f>IFERROR(MEDIAN(Tbl_RunChart1[Measure]),"")</f>
        <v/>
      </c>
    </row>
    <row r="7" spans="1:16" x14ac:dyDescent="0.25">
      <c r="A7" s="108"/>
      <c r="B7" s="61"/>
      <c r="C7" s="299" t="str">
        <f>IFERROR(MEDIAN(Tbl_RunChart1[Measure]),"")</f>
        <v/>
      </c>
    </row>
    <row r="8" spans="1:16" x14ac:dyDescent="0.25">
      <c r="A8" s="108"/>
      <c r="B8" s="61"/>
      <c r="C8" s="299" t="str">
        <f>IFERROR(MEDIAN(Tbl_RunChart1[Measure]),"")</f>
        <v/>
      </c>
    </row>
    <row r="9" spans="1:16" x14ac:dyDescent="0.25">
      <c r="A9" s="108"/>
      <c r="B9" s="61"/>
      <c r="C9" s="299" t="str">
        <f>IFERROR(MEDIAN(Tbl_RunChart1[Measure]),"")</f>
        <v/>
      </c>
    </row>
    <row r="10" spans="1:16" x14ac:dyDescent="0.25">
      <c r="A10" s="108"/>
      <c r="B10" s="61"/>
      <c r="C10" s="299" t="str">
        <f>IFERROR(MEDIAN(Tbl_RunChart1[Measure]),"")</f>
        <v/>
      </c>
    </row>
    <row r="11" spans="1:16" x14ac:dyDescent="0.25">
      <c r="A11" s="108"/>
      <c r="B11" s="61"/>
      <c r="C11" s="299" t="str">
        <f>IFERROR(MEDIAN(Tbl_RunChart1[Measure]),"")</f>
        <v/>
      </c>
    </row>
    <row r="12" spans="1:16" x14ac:dyDescent="0.25">
      <c r="A12" s="108"/>
      <c r="B12" s="61"/>
      <c r="C12" s="299" t="str">
        <f>IFERROR(MEDIAN(Tbl_RunChart1[Measure]),"")</f>
        <v/>
      </c>
    </row>
    <row r="13" spans="1:16" x14ac:dyDescent="0.25">
      <c r="A13" s="108"/>
      <c r="B13" s="61"/>
      <c r="C13" s="299" t="str">
        <f>IFERROR(MEDIAN(Tbl_RunChart1[Measure]),"")</f>
        <v/>
      </c>
    </row>
    <row r="14" spans="1:16" x14ac:dyDescent="0.25">
      <c r="A14" s="108"/>
      <c r="B14" s="61"/>
      <c r="C14" s="299" t="str">
        <f>IFERROR(MEDIAN(Tbl_RunChart1[Measure]),"")</f>
        <v/>
      </c>
    </row>
    <row r="15" spans="1:16" x14ac:dyDescent="0.25">
      <c r="A15" s="108"/>
      <c r="B15" s="61"/>
      <c r="C15" s="299" t="str">
        <f>IFERROR(MEDIAN(Tbl_RunChart1[Measure]),"")</f>
        <v/>
      </c>
    </row>
    <row r="16" spans="1:16" x14ac:dyDescent="0.25">
      <c r="A16" s="108"/>
      <c r="B16" s="61"/>
      <c r="C16" s="299" t="str">
        <f>IFERROR(MEDIAN(Tbl_RunChart1[Measure]),"")</f>
        <v/>
      </c>
    </row>
    <row r="17" spans="1:3" x14ac:dyDescent="0.25">
      <c r="A17" s="108"/>
      <c r="B17" s="61"/>
      <c r="C17" s="299" t="str">
        <f>IFERROR(MEDIAN(Tbl_RunChart1[Measure]),"")</f>
        <v/>
      </c>
    </row>
    <row r="18" spans="1:3" x14ac:dyDescent="0.25">
      <c r="A18" s="108"/>
      <c r="B18" s="61"/>
      <c r="C18" s="299" t="str">
        <f>IFERROR(MEDIAN(Tbl_RunChart1[Measure]),"")</f>
        <v/>
      </c>
    </row>
    <row r="19" spans="1:3" x14ac:dyDescent="0.25">
      <c r="A19" s="108"/>
      <c r="B19" s="61"/>
      <c r="C19" s="299" t="str">
        <f>IFERROR(MEDIAN(Tbl_RunChart1[Measure]),"")</f>
        <v/>
      </c>
    </row>
    <row r="20" spans="1:3" x14ac:dyDescent="0.25">
      <c r="A20" s="108"/>
      <c r="B20" s="61"/>
      <c r="C20" s="299" t="str">
        <f>IFERROR(MEDIAN(Tbl_RunChart1[Measure]),"")</f>
        <v/>
      </c>
    </row>
    <row r="21" spans="1:3" x14ac:dyDescent="0.25">
      <c r="A21" s="108"/>
      <c r="B21" s="61"/>
      <c r="C21" s="299" t="str">
        <f>IFERROR(MEDIAN(Tbl_RunChart1[Measure]),"")</f>
        <v/>
      </c>
    </row>
    <row r="22" spans="1:3" x14ac:dyDescent="0.25">
      <c r="A22" s="108"/>
      <c r="B22" s="61"/>
      <c r="C22" s="299" t="str">
        <f>IFERROR(MEDIAN(Tbl_RunChart1[Measure]),"")</f>
        <v/>
      </c>
    </row>
    <row r="23" spans="1:3" x14ac:dyDescent="0.25">
      <c r="A23" s="108"/>
      <c r="B23" s="61"/>
      <c r="C23" s="299" t="str">
        <f>IFERROR(MEDIAN(Tbl_RunChart1[Measure]),"")</f>
        <v/>
      </c>
    </row>
    <row r="24" spans="1:3" x14ac:dyDescent="0.25">
      <c r="A24" s="108"/>
      <c r="B24" s="61"/>
      <c r="C24" s="299" t="str">
        <f>IFERROR(MEDIAN(Tbl_RunChart1[Measure]),"")</f>
        <v/>
      </c>
    </row>
    <row r="25" spans="1:3" x14ac:dyDescent="0.25">
      <c r="A25" s="108"/>
      <c r="B25" s="61"/>
      <c r="C25" s="299" t="str">
        <f>IFERROR(MEDIAN(Tbl_RunChart1[Measure]),"")</f>
        <v/>
      </c>
    </row>
    <row r="26" spans="1:3" x14ac:dyDescent="0.25">
      <c r="A26" s="108"/>
      <c r="B26" s="62"/>
      <c r="C26" s="299" t="str">
        <f>IFERROR(MEDIAN(Tbl_RunChart1[Measure]),"")</f>
        <v/>
      </c>
    </row>
    <row r="27" spans="1:3" x14ac:dyDescent="0.25">
      <c r="A27" s="108"/>
      <c r="B27" s="62"/>
      <c r="C27" s="299" t="str">
        <f>IFERROR(MEDIAN(Tbl_RunChart1[Measure]),"")</f>
        <v/>
      </c>
    </row>
    <row r="28" spans="1:3" x14ac:dyDescent="0.25">
      <c r="A28" s="108"/>
      <c r="B28" s="62"/>
      <c r="C28" s="299" t="str">
        <f>IFERROR(MEDIAN(Tbl_RunChart1[Measure]),"")</f>
        <v/>
      </c>
    </row>
    <row r="29" spans="1:3" x14ac:dyDescent="0.25">
      <c r="A29" s="108"/>
      <c r="B29" s="62"/>
      <c r="C29" s="299" t="str">
        <f>IFERROR(MEDIAN(Tbl_RunChart1[Measure]),"")</f>
        <v/>
      </c>
    </row>
    <row r="30" spans="1:3" x14ac:dyDescent="0.25">
      <c r="A30" s="108"/>
      <c r="B30" s="62"/>
      <c r="C30" s="299" t="str">
        <f>IFERROR(MEDIAN(Tbl_RunChart1[Measure]),"")</f>
        <v/>
      </c>
    </row>
    <row r="31" spans="1:3" x14ac:dyDescent="0.25">
      <c r="A31" s="108"/>
      <c r="B31" s="62"/>
      <c r="C31" s="299" t="str">
        <f>IFERROR(MEDIAN(Tbl_RunChart1[Measure]),"")</f>
        <v/>
      </c>
    </row>
    <row r="32" spans="1:3" x14ac:dyDescent="0.25">
      <c r="A32" s="108"/>
      <c r="B32" s="62"/>
      <c r="C32" s="299" t="str">
        <f>IFERROR(MEDIAN(Tbl_RunChart1[Measure]),"")</f>
        <v/>
      </c>
    </row>
    <row r="33" spans="1:3" x14ac:dyDescent="0.25">
      <c r="A33" s="108"/>
      <c r="B33" s="62"/>
      <c r="C33" s="299" t="str">
        <f>IFERROR(MEDIAN(Tbl_RunChart1[Measure]),"")</f>
        <v/>
      </c>
    </row>
    <row r="34" spans="1:3" x14ac:dyDescent="0.25">
      <c r="A34" s="108"/>
      <c r="B34" s="62"/>
      <c r="C34" s="299" t="str">
        <f>IFERROR(MEDIAN(Tbl_RunChart1[Measure]),"")</f>
        <v/>
      </c>
    </row>
    <row r="35" spans="1:3" x14ac:dyDescent="0.25">
      <c r="A35" s="108"/>
      <c r="B35" s="62"/>
      <c r="C35" s="299" t="str">
        <f>IFERROR(MEDIAN(Tbl_RunChart1[Measure]),"")</f>
        <v/>
      </c>
    </row>
    <row r="36" spans="1:3" x14ac:dyDescent="0.25">
      <c r="A36" s="108"/>
      <c r="B36" s="62"/>
      <c r="C36" s="299" t="str">
        <f>IFERROR(MEDIAN(Tbl_RunChart1[Measure]),"")</f>
        <v/>
      </c>
    </row>
    <row r="37" spans="1:3" x14ac:dyDescent="0.25">
      <c r="A37" s="108"/>
      <c r="B37" s="62"/>
      <c r="C37" s="299" t="str">
        <f>IFERROR(MEDIAN(Tbl_RunChart1[Measure]),"")</f>
        <v/>
      </c>
    </row>
    <row r="38" spans="1:3" x14ac:dyDescent="0.25">
      <c r="A38" s="108"/>
      <c r="B38" s="62"/>
      <c r="C38" s="299" t="str">
        <f>IFERROR(MEDIAN(Tbl_RunChart1[Measure]),"")</f>
        <v/>
      </c>
    </row>
    <row r="39" spans="1:3" x14ac:dyDescent="0.25">
      <c r="A39" s="108"/>
      <c r="B39" s="62"/>
      <c r="C39" s="299" t="str">
        <f>IFERROR(MEDIAN(Tbl_RunChart1[Measure]),"")</f>
        <v/>
      </c>
    </row>
    <row r="40" spans="1:3" ht="15.75" thickBot="1" x14ac:dyDescent="0.3">
      <c r="A40" s="109"/>
      <c r="B40" s="64"/>
      <c r="C40" s="300" t="str">
        <f>IFERROR(MEDIAN(Tbl_RunChart1[Measure]),"")</f>
        <v/>
      </c>
    </row>
    <row r="41" spans="1:3" ht="15.75" thickBot="1" x14ac:dyDescent="0.3">
      <c r="C41" s="17"/>
    </row>
    <row r="42" spans="1:3" ht="15.75" thickBot="1" x14ac:dyDescent="0.3">
      <c r="A42" s="42" t="s">
        <v>89</v>
      </c>
      <c r="B42" s="41" t="str">
        <f>C5</f>
        <v/>
      </c>
    </row>
  </sheetData>
  <sheetProtection password="918C" sheet="1" objects="1" scenarios="1"/>
  <mergeCells count="3">
    <mergeCell ref="A3:C3"/>
    <mergeCell ref="E3:P3"/>
    <mergeCell ref="F4:P4"/>
  </mergeCells>
  <pageMargins left="0.25" right="0.25" top="0.75" bottom="0.75" header="0.3" footer="0.3"/>
  <pageSetup scale="77"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39997558519241921"/>
    <pageSetUpPr fitToPage="1"/>
  </sheetPr>
  <dimension ref="A1:P42"/>
  <sheetViews>
    <sheetView showGridLines="0" zoomScaleNormal="100" workbookViewId="0">
      <pane ySplit="4" topLeftCell="A5" activePane="bottomLeft" state="frozen"/>
      <selection pane="bottomLeft"/>
    </sheetView>
  </sheetViews>
  <sheetFormatPr defaultColWidth="11.7109375" defaultRowHeight="15" x14ac:dyDescent="0.25"/>
  <cols>
    <col min="1" max="2" width="11.7109375" style="43"/>
    <col min="3" max="3" width="11.7109375" style="43" hidden="1" customWidth="1"/>
    <col min="4" max="4" width="3.7109375" style="43" customWidth="1"/>
    <col min="5" max="16" width="11.7109375" style="43"/>
    <col min="17" max="17" width="3.7109375" style="43" customWidth="1"/>
    <col min="18" max="16384" width="11.7109375" style="43"/>
  </cols>
  <sheetData>
    <row r="1" spans="1:16" s="152" customFormat="1" ht="21" x14ac:dyDescent="0.35">
      <c r="A1" s="169" t="s">
        <v>281</v>
      </c>
      <c r="B1" s="170"/>
      <c r="C1" s="171"/>
    </row>
    <row r="2" spans="1:16" s="31" customFormat="1" ht="17.25" x14ac:dyDescent="0.3">
      <c r="A2" s="174" t="s">
        <v>171</v>
      </c>
      <c r="B2" s="175">
        <f>COUNTA(Tbl_RunChart2[Measure])</f>
        <v>0</v>
      </c>
      <c r="C2" s="44"/>
    </row>
    <row r="3" spans="1:16" ht="18" thickBot="1" x14ac:dyDescent="0.35">
      <c r="A3" s="632" t="s">
        <v>69</v>
      </c>
      <c r="B3" s="632"/>
      <c r="C3" s="632"/>
      <c r="E3" s="632" t="s">
        <v>170</v>
      </c>
      <c r="F3" s="632"/>
      <c r="G3" s="632"/>
      <c r="H3" s="632"/>
      <c r="I3" s="632"/>
      <c r="J3" s="632"/>
      <c r="K3" s="632"/>
      <c r="L3" s="632"/>
      <c r="M3" s="632"/>
      <c r="N3" s="632"/>
      <c r="O3" s="632"/>
      <c r="P3" s="632"/>
    </row>
    <row r="4" spans="1:16" ht="15.75" thickBot="1" x14ac:dyDescent="0.3">
      <c r="A4" s="205" t="s">
        <v>91</v>
      </c>
      <c r="B4" s="206" t="s">
        <v>87</v>
      </c>
      <c r="C4" s="207" t="s">
        <v>88</v>
      </c>
      <c r="E4" s="45" t="s">
        <v>73</v>
      </c>
      <c r="F4" s="636" t="s">
        <v>166</v>
      </c>
      <c r="G4" s="636"/>
      <c r="H4" s="636"/>
      <c r="I4" s="636"/>
      <c r="J4" s="636"/>
      <c r="K4" s="636"/>
      <c r="L4" s="636"/>
      <c r="M4" s="636"/>
      <c r="N4" s="636"/>
      <c r="O4" s="636"/>
      <c r="P4" s="637"/>
    </row>
    <row r="5" spans="1:16" ht="15" customHeight="1" x14ac:dyDescent="0.25">
      <c r="A5" s="107"/>
      <c r="B5" s="61"/>
      <c r="C5" s="298" t="str">
        <f>IFERROR(MEDIAN(Tbl_RunChart2[Measure]),"")</f>
        <v/>
      </c>
    </row>
    <row r="6" spans="1:16" x14ac:dyDescent="0.25">
      <c r="A6" s="108"/>
      <c r="B6" s="61"/>
      <c r="C6" s="299" t="str">
        <f>IFERROR(MEDIAN(Tbl_RunChart2[Measure]),"")</f>
        <v/>
      </c>
    </row>
    <row r="7" spans="1:16" x14ac:dyDescent="0.25">
      <c r="A7" s="108"/>
      <c r="B7" s="61"/>
      <c r="C7" s="299" t="str">
        <f>IFERROR(MEDIAN(Tbl_RunChart2[Measure]),"")</f>
        <v/>
      </c>
    </row>
    <row r="8" spans="1:16" x14ac:dyDescent="0.25">
      <c r="A8" s="108"/>
      <c r="B8" s="61"/>
      <c r="C8" s="299" t="str">
        <f>IFERROR(MEDIAN(Tbl_RunChart2[Measure]),"")</f>
        <v/>
      </c>
    </row>
    <row r="9" spans="1:16" x14ac:dyDescent="0.25">
      <c r="A9" s="108"/>
      <c r="B9" s="61"/>
      <c r="C9" s="299" t="str">
        <f>IFERROR(MEDIAN(Tbl_RunChart2[Measure]),"")</f>
        <v/>
      </c>
    </row>
    <row r="10" spans="1:16" x14ac:dyDescent="0.25">
      <c r="A10" s="108"/>
      <c r="B10" s="61"/>
      <c r="C10" s="299" t="str">
        <f>IFERROR(MEDIAN(Tbl_RunChart2[Measure]),"")</f>
        <v/>
      </c>
    </row>
    <row r="11" spans="1:16" x14ac:dyDescent="0.25">
      <c r="A11" s="108"/>
      <c r="B11" s="61"/>
      <c r="C11" s="299" t="str">
        <f>IFERROR(MEDIAN(Tbl_RunChart2[Measure]),"")</f>
        <v/>
      </c>
    </row>
    <row r="12" spans="1:16" x14ac:dyDescent="0.25">
      <c r="A12" s="108"/>
      <c r="B12" s="61"/>
      <c r="C12" s="299" t="str">
        <f>IFERROR(MEDIAN(Tbl_RunChart2[Measure]),"")</f>
        <v/>
      </c>
    </row>
    <row r="13" spans="1:16" x14ac:dyDescent="0.25">
      <c r="A13" s="108"/>
      <c r="B13" s="61"/>
      <c r="C13" s="299" t="str">
        <f>IFERROR(MEDIAN(Tbl_RunChart2[Measure]),"")</f>
        <v/>
      </c>
    </row>
    <row r="14" spans="1:16" x14ac:dyDescent="0.25">
      <c r="A14" s="108"/>
      <c r="B14" s="61"/>
      <c r="C14" s="299" t="str">
        <f>IFERROR(MEDIAN(Tbl_RunChart2[Measure]),"")</f>
        <v/>
      </c>
    </row>
    <row r="15" spans="1:16" x14ac:dyDescent="0.25">
      <c r="A15" s="108"/>
      <c r="B15" s="61"/>
      <c r="C15" s="299" t="str">
        <f>IFERROR(MEDIAN(Tbl_RunChart2[Measure]),"")</f>
        <v/>
      </c>
    </row>
    <row r="16" spans="1:16" x14ac:dyDescent="0.25">
      <c r="A16" s="108"/>
      <c r="B16" s="61"/>
      <c r="C16" s="299" t="str">
        <f>IFERROR(MEDIAN(Tbl_RunChart2[Measure]),"")</f>
        <v/>
      </c>
    </row>
    <row r="17" spans="1:3" x14ac:dyDescent="0.25">
      <c r="A17" s="108"/>
      <c r="B17" s="61"/>
      <c r="C17" s="299" t="str">
        <f>IFERROR(MEDIAN(Tbl_RunChart2[Measure]),"")</f>
        <v/>
      </c>
    </row>
    <row r="18" spans="1:3" x14ac:dyDescent="0.25">
      <c r="A18" s="108"/>
      <c r="B18" s="61"/>
      <c r="C18" s="299" t="str">
        <f>IFERROR(MEDIAN(Tbl_RunChart2[Measure]),"")</f>
        <v/>
      </c>
    </row>
    <row r="19" spans="1:3" x14ac:dyDescent="0.25">
      <c r="A19" s="108"/>
      <c r="B19" s="61"/>
      <c r="C19" s="299" t="str">
        <f>IFERROR(MEDIAN(Tbl_RunChart2[Measure]),"")</f>
        <v/>
      </c>
    </row>
    <row r="20" spans="1:3" x14ac:dyDescent="0.25">
      <c r="A20" s="108"/>
      <c r="B20" s="61"/>
      <c r="C20" s="299" t="str">
        <f>IFERROR(MEDIAN(Tbl_RunChart2[Measure]),"")</f>
        <v/>
      </c>
    </row>
    <row r="21" spans="1:3" x14ac:dyDescent="0.25">
      <c r="A21" s="108"/>
      <c r="B21" s="61"/>
      <c r="C21" s="299" t="str">
        <f>IFERROR(MEDIAN(Tbl_RunChart2[Measure]),"")</f>
        <v/>
      </c>
    </row>
    <row r="22" spans="1:3" x14ac:dyDescent="0.25">
      <c r="A22" s="108"/>
      <c r="B22" s="61"/>
      <c r="C22" s="299" t="str">
        <f>IFERROR(MEDIAN(Tbl_RunChart2[Measure]),"")</f>
        <v/>
      </c>
    </row>
    <row r="23" spans="1:3" x14ac:dyDescent="0.25">
      <c r="A23" s="108"/>
      <c r="B23" s="61"/>
      <c r="C23" s="299" t="str">
        <f>IFERROR(MEDIAN(Tbl_RunChart2[Measure]),"")</f>
        <v/>
      </c>
    </row>
    <row r="24" spans="1:3" x14ac:dyDescent="0.25">
      <c r="A24" s="108"/>
      <c r="B24" s="61"/>
      <c r="C24" s="299" t="str">
        <f>IFERROR(MEDIAN(Tbl_RunChart2[Measure]),"")</f>
        <v/>
      </c>
    </row>
    <row r="25" spans="1:3" x14ac:dyDescent="0.25">
      <c r="A25" s="108"/>
      <c r="B25" s="61"/>
      <c r="C25" s="299" t="str">
        <f>IFERROR(MEDIAN(Tbl_RunChart2[Measure]),"")</f>
        <v/>
      </c>
    </row>
    <row r="26" spans="1:3" x14ac:dyDescent="0.25">
      <c r="A26" s="108"/>
      <c r="B26" s="62"/>
      <c r="C26" s="299" t="str">
        <f>IFERROR(MEDIAN(Tbl_RunChart2[Measure]),"")</f>
        <v/>
      </c>
    </row>
    <row r="27" spans="1:3" x14ac:dyDescent="0.25">
      <c r="A27" s="108"/>
      <c r="B27" s="62"/>
      <c r="C27" s="299" t="str">
        <f>IFERROR(MEDIAN(Tbl_RunChart2[Measure]),"")</f>
        <v/>
      </c>
    </row>
    <row r="28" spans="1:3" x14ac:dyDescent="0.25">
      <c r="A28" s="108"/>
      <c r="B28" s="62"/>
      <c r="C28" s="299" t="str">
        <f>IFERROR(MEDIAN(Tbl_RunChart2[Measure]),"")</f>
        <v/>
      </c>
    </row>
    <row r="29" spans="1:3" x14ac:dyDescent="0.25">
      <c r="A29" s="108"/>
      <c r="B29" s="62"/>
      <c r="C29" s="299" t="str">
        <f>IFERROR(MEDIAN(Tbl_RunChart2[Measure]),"")</f>
        <v/>
      </c>
    </row>
    <row r="30" spans="1:3" x14ac:dyDescent="0.25">
      <c r="A30" s="108"/>
      <c r="B30" s="62"/>
      <c r="C30" s="299" t="str">
        <f>IFERROR(MEDIAN(Tbl_RunChart2[Measure]),"")</f>
        <v/>
      </c>
    </row>
    <row r="31" spans="1:3" x14ac:dyDescent="0.25">
      <c r="A31" s="108"/>
      <c r="B31" s="62"/>
      <c r="C31" s="299" t="str">
        <f>IFERROR(MEDIAN(Tbl_RunChart2[Measure]),"")</f>
        <v/>
      </c>
    </row>
    <row r="32" spans="1:3" x14ac:dyDescent="0.25">
      <c r="A32" s="108"/>
      <c r="B32" s="62"/>
      <c r="C32" s="299" t="str">
        <f>IFERROR(MEDIAN(Tbl_RunChart2[Measure]),"")</f>
        <v/>
      </c>
    </row>
    <row r="33" spans="1:3" x14ac:dyDescent="0.25">
      <c r="A33" s="108"/>
      <c r="B33" s="62"/>
      <c r="C33" s="299" t="str">
        <f>IFERROR(MEDIAN(Tbl_RunChart2[Measure]),"")</f>
        <v/>
      </c>
    </row>
    <row r="34" spans="1:3" x14ac:dyDescent="0.25">
      <c r="A34" s="108"/>
      <c r="B34" s="62"/>
      <c r="C34" s="299" t="str">
        <f>IFERROR(MEDIAN(Tbl_RunChart2[Measure]),"")</f>
        <v/>
      </c>
    </row>
    <row r="35" spans="1:3" x14ac:dyDescent="0.25">
      <c r="A35" s="108"/>
      <c r="B35" s="62"/>
      <c r="C35" s="299" t="str">
        <f>IFERROR(MEDIAN(Tbl_RunChart2[Measure]),"")</f>
        <v/>
      </c>
    </row>
    <row r="36" spans="1:3" x14ac:dyDescent="0.25">
      <c r="A36" s="108"/>
      <c r="B36" s="62"/>
      <c r="C36" s="299" t="str">
        <f>IFERROR(MEDIAN(Tbl_RunChart2[Measure]),"")</f>
        <v/>
      </c>
    </row>
    <row r="37" spans="1:3" x14ac:dyDescent="0.25">
      <c r="A37" s="108"/>
      <c r="B37" s="62"/>
      <c r="C37" s="299" t="str">
        <f>IFERROR(MEDIAN(Tbl_RunChart2[Measure]),"")</f>
        <v/>
      </c>
    </row>
    <row r="38" spans="1:3" x14ac:dyDescent="0.25">
      <c r="A38" s="108"/>
      <c r="B38" s="62"/>
      <c r="C38" s="299" t="str">
        <f>IFERROR(MEDIAN(Tbl_RunChart2[Measure]),"")</f>
        <v/>
      </c>
    </row>
    <row r="39" spans="1:3" x14ac:dyDescent="0.25">
      <c r="A39" s="108"/>
      <c r="B39" s="62"/>
      <c r="C39" s="299" t="str">
        <f>IFERROR(MEDIAN(Tbl_RunChart2[Measure]),"")</f>
        <v/>
      </c>
    </row>
    <row r="40" spans="1:3" ht="15.75" thickBot="1" x14ac:dyDescent="0.3">
      <c r="A40" s="109"/>
      <c r="B40" s="64"/>
      <c r="C40" s="300" t="str">
        <f>IFERROR(MEDIAN(Tbl_RunChart2[Measure]),"")</f>
        <v/>
      </c>
    </row>
    <row r="41" spans="1:3" ht="15.75" thickBot="1" x14ac:dyDescent="0.3">
      <c r="C41" s="17"/>
    </row>
    <row r="42" spans="1:3" ht="15.75" thickBot="1" x14ac:dyDescent="0.3">
      <c r="A42" s="63" t="s">
        <v>89</v>
      </c>
      <c r="B42" s="46" t="str">
        <f>C5</f>
        <v/>
      </c>
    </row>
  </sheetData>
  <sheetProtection password="918C" sheet="1" objects="1" scenarios="1"/>
  <mergeCells count="3">
    <mergeCell ref="A3:C3"/>
    <mergeCell ref="E3:P3"/>
    <mergeCell ref="F4:P4"/>
  </mergeCells>
  <pageMargins left="0.25" right="0.25" top="0.75" bottom="0.75" header="0.3" footer="0.3"/>
  <pageSetup scale="77"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39997558519241921"/>
    <pageSetUpPr fitToPage="1"/>
  </sheetPr>
  <dimension ref="A1:P42"/>
  <sheetViews>
    <sheetView showGridLines="0" zoomScaleNormal="100" workbookViewId="0">
      <pane ySplit="4" topLeftCell="A5" activePane="bottomLeft" state="frozen"/>
      <selection pane="bottomLeft"/>
    </sheetView>
  </sheetViews>
  <sheetFormatPr defaultColWidth="11.7109375" defaultRowHeight="15" x14ac:dyDescent="0.25"/>
  <cols>
    <col min="1" max="2" width="11.7109375" style="43"/>
    <col min="3" max="3" width="11.7109375" style="43" hidden="1" customWidth="1"/>
    <col min="4" max="4" width="3.7109375" style="43" customWidth="1"/>
    <col min="5" max="16" width="11.7109375" style="43"/>
    <col min="17" max="17" width="3.7109375" style="43" customWidth="1"/>
    <col min="18" max="16384" width="11.7109375" style="43"/>
  </cols>
  <sheetData>
    <row r="1" spans="1:16" s="152" customFormat="1" ht="21" x14ac:dyDescent="0.35">
      <c r="A1" s="169" t="s">
        <v>282</v>
      </c>
      <c r="B1" s="170"/>
      <c r="C1" s="171"/>
    </row>
    <row r="2" spans="1:16" s="31" customFormat="1" ht="17.25" x14ac:dyDescent="0.3">
      <c r="A2" s="174" t="s">
        <v>171</v>
      </c>
      <c r="B2" s="175">
        <f>COUNTA(Tbl_RunChart3[Measure])</f>
        <v>0</v>
      </c>
      <c r="C2" s="44"/>
    </row>
    <row r="3" spans="1:16" ht="18" thickBot="1" x14ac:dyDescent="0.35">
      <c r="A3" s="632" t="s">
        <v>69</v>
      </c>
      <c r="B3" s="632"/>
      <c r="C3" s="632"/>
      <c r="E3" s="632" t="s">
        <v>170</v>
      </c>
      <c r="F3" s="632"/>
      <c r="G3" s="632"/>
      <c r="H3" s="632"/>
      <c r="I3" s="632"/>
      <c r="J3" s="632"/>
      <c r="K3" s="632"/>
      <c r="L3" s="632"/>
      <c r="M3" s="632"/>
      <c r="N3" s="632"/>
      <c r="O3" s="632"/>
      <c r="P3" s="632"/>
    </row>
    <row r="4" spans="1:16" ht="15.75" thickBot="1" x14ac:dyDescent="0.3">
      <c r="A4" s="205" t="s">
        <v>91</v>
      </c>
      <c r="B4" s="206" t="s">
        <v>87</v>
      </c>
      <c r="C4" s="207" t="s">
        <v>88</v>
      </c>
      <c r="E4" s="45" t="s">
        <v>73</v>
      </c>
      <c r="F4" s="636" t="s">
        <v>168</v>
      </c>
      <c r="G4" s="636"/>
      <c r="H4" s="636"/>
      <c r="I4" s="636"/>
      <c r="J4" s="636"/>
      <c r="K4" s="636"/>
      <c r="L4" s="636"/>
      <c r="M4" s="636"/>
      <c r="N4" s="636"/>
      <c r="O4" s="636"/>
      <c r="P4" s="637"/>
    </row>
    <row r="5" spans="1:16" s="74" customFormat="1" ht="15" customHeight="1" x14ac:dyDescent="0.25">
      <c r="A5" s="107"/>
      <c r="B5" s="61"/>
      <c r="C5" s="298" t="str">
        <f>IFERROR(MEDIAN(Tbl_RunChart3[Measure]),"")</f>
        <v/>
      </c>
    </row>
    <row r="6" spans="1:16" ht="15" customHeight="1" x14ac:dyDescent="0.25">
      <c r="A6" s="108"/>
      <c r="B6" s="61"/>
      <c r="C6" s="299" t="str">
        <f>IFERROR(MEDIAN(Tbl_RunChart3[Measure]),"")</f>
        <v/>
      </c>
    </row>
    <row r="7" spans="1:16" x14ac:dyDescent="0.25">
      <c r="A7" s="108"/>
      <c r="B7" s="61"/>
      <c r="C7" s="299" t="str">
        <f>IFERROR(MEDIAN(Tbl_RunChart3[Measure]),"")</f>
        <v/>
      </c>
    </row>
    <row r="8" spans="1:16" x14ac:dyDescent="0.25">
      <c r="A8" s="108"/>
      <c r="B8" s="61"/>
      <c r="C8" s="299" t="str">
        <f>IFERROR(MEDIAN(Tbl_RunChart3[Measure]),"")</f>
        <v/>
      </c>
    </row>
    <row r="9" spans="1:16" x14ac:dyDescent="0.25">
      <c r="A9" s="108"/>
      <c r="B9" s="61"/>
      <c r="C9" s="299" t="str">
        <f>IFERROR(MEDIAN(Tbl_RunChart3[Measure]),"")</f>
        <v/>
      </c>
    </row>
    <row r="10" spans="1:16" x14ac:dyDescent="0.25">
      <c r="A10" s="108"/>
      <c r="B10" s="61"/>
      <c r="C10" s="299" t="str">
        <f>IFERROR(MEDIAN(Tbl_RunChart3[Measure]),"")</f>
        <v/>
      </c>
    </row>
    <row r="11" spans="1:16" x14ac:dyDescent="0.25">
      <c r="A11" s="108"/>
      <c r="B11" s="61"/>
      <c r="C11" s="299" t="str">
        <f>IFERROR(MEDIAN(Tbl_RunChart3[Measure]),"")</f>
        <v/>
      </c>
    </row>
    <row r="12" spans="1:16" x14ac:dyDescent="0.25">
      <c r="A12" s="108"/>
      <c r="B12" s="61"/>
      <c r="C12" s="299" t="str">
        <f>IFERROR(MEDIAN(Tbl_RunChart3[Measure]),"")</f>
        <v/>
      </c>
    </row>
    <row r="13" spans="1:16" x14ac:dyDescent="0.25">
      <c r="A13" s="108"/>
      <c r="B13" s="61"/>
      <c r="C13" s="299" t="str">
        <f>IFERROR(MEDIAN(Tbl_RunChart3[Measure]),"")</f>
        <v/>
      </c>
    </row>
    <row r="14" spans="1:16" x14ac:dyDescent="0.25">
      <c r="A14" s="108"/>
      <c r="B14" s="61"/>
      <c r="C14" s="299" t="str">
        <f>IFERROR(MEDIAN(Tbl_RunChart3[Measure]),"")</f>
        <v/>
      </c>
    </row>
    <row r="15" spans="1:16" x14ac:dyDescent="0.25">
      <c r="A15" s="108"/>
      <c r="B15" s="61"/>
      <c r="C15" s="299" t="str">
        <f>IFERROR(MEDIAN(Tbl_RunChart3[Measure]),"")</f>
        <v/>
      </c>
    </row>
    <row r="16" spans="1:16" x14ac:dyDescent="0.25">
      <c r="A16" s="108"/>
      <c r="B16" s="61"/>
      <c r="C16" s="299" t="str">
        <f>IFERROR(MEDIAN(Tbl_RunChart3[Measure]),"")</f>
        <v/>
      </c>
    </row>
    <row r="17" spans="1:3" x14ac:dyDescent="0.25">
      <c r="A17" s="108"/>
      <c r="B17" s="61"/>
      <c r="C17" s="299" t="str">
        <f>IFERROR(MEDIAN(Tbl_RunChart3[Measure]),"")</f>
        <v/>
      </c>
    </row>
    <row r="18" spans="1:3" x14ac:dyDescent="0.25">
      <c r="A18" s="108"/>
      <c r="B18" s="61"/>
      <c r="C18" s="299" t="str">
        <f>IFERROR(MEDIAN(Tbl_RunChart3[Measure]),"")</f>
        <v/>
      </c>
    </row>
    <row r="19" spans="1:3" x14ac:dyDescent="0.25">
      <c r="A19" s="108"/>
      <c r="B19" s="61"/>
      <c r="C19" s="299" t="str">
        <f>IFERROR(MEDIAN(Tbl_RunChart3[Measure]),"")</f>
        <v/>
      </c>
    </row>
    <row r="20" spans="1:3" x14ac:dyDescent="0.25">
      <c r="A20" s="108"/>
      <c r="B20" s="61"/>
      <c r="C20" s="299" t="str">
        <f>IFERROR(MEDIAN(Tbl_RunChart3[Measure]),"")</f>
        <v/>
      </c>
    </row>
    <row r="21" spans="1:3" x14ac:dyDescent="0.25">
      <c r="A21" s="108"/>
      <c r="B21" s="61"/>
      <c r="C21" s="299" t="str">
        <f>IFERROR(MEDIAN(Tbl_RunChart3[Measure]),"")</f>
        <v/>
      </c>
    </row>
    <row r="22" spans="1:3" x14ac:dyDescent="0.25">
      <c r="A22" s="108"/>
      <c r="B22" s="61"/>
      <c r="C22" s="299" t="str">
        <f>IFERROR(MEDIAN(Tbl_RunChart3[Measure]),"")</f>
        <v/>
      </c>
    </row>
    <row r="23" spans="1:3" x14ac:dyDescent="0.25">
      <c r="A23" s="108"/>
      <c r="B23" s="61"/>
      <c r="C23" s="299" t="str">
        <f>IFERROR(MEDIAN(Tbl_RunChart3[Measure]),"")</f>
        <v/>
      </c>
    </row>
    <row r="24" spans="1:3" x14ac:dyDescent="0.25">
      <c r="A24" s="108"/>
      <c r="B24" s="61"/>
      <c r="C24" s="299" t="str">
        <f>IFERROR(MEDIAN(Tbl_RunChart3[Measure]),"")</f>
        <v/>
      </c>
    </row>
    <row r="25" spans="1:3" x14ac:dyDescent="0.25">
      <c r="A25" s="108"/>
      <c r="B25" s="61"/>
      <c r="C25" s="299" t="str">
        <f>IFERROR(MEDIAN(Tbl_RunChart3[Measure]),"")</f>
        <v/>
      </c>
    </row>
    <row r="26" spans="1:3" x14ac:dyDescent="0.25">
      <c r="A26" s="108"/>
      <c r="B26" s="62"/>
      <c r="C26" s="299" t="str">
        <f>IFERROR(MEDIAN(Tbl_RunChart3[Measure]),"")</f>
        <v/>
      </c>
    </row>
    <row r="27" spans="1:3" x14ac:dyDescent="0.25">
      <c r="A27" s="108"/>
      <c r="B27" s="62"/>
      <c r="C27" s="299" t="str">
        <f>IFERROR(MEDIAN(Tbl_RunChart3[Measure]),"")</f>
        <v/>
      </c>
    </row>
    <row r="28" spans="1:3" x14ac:dyDescent="0.25">
      <c r="A28" s="108"/>
      <c r="B28" s="62"/>
      <c r="C28" s="299" t="str">
        <f>IFERROR(MEDIAN(Tbl_RunChart3[Measure]),"")</f>
        <v/>
      </c>
    </row>
    <row r="29" spans="1:3" x14ac:dyDescent="0.25">
      <c r="A29" s="108"/>
      <c r="B29" s="62"/>
      <c r="C29" s="299" t="str">
        <f>IFERROR(MEDIAN(Tbl_RunChart3[Measure]),"")</f>
        <v/>
      </c>
    </row>
    <row r="30" spans="1:3" x14ac:dyDescent="0.25">
      <c r="A30" s="108"/>
      <c r="B30" s="62"/>
      <c r="C30" s="299" t="str">
        <f>IFERROR(MEDIAN(Tbl_RunChart3[Measure]),"")</f>
        <v/>
      </c>
    </row>
    <row r="31" spans="1:3" x14ac:dyDescent="0.25">
      <c r="A31" s="108"/>
      <c r="B31" s="62"/>
      <c r="C31" s="299" t="str">
        <f>IFERROR(MEDIAN(Tbl_RunChart3[Measure]),"")</f>
        <v/>
      </c>
    </row>
    <row r="32" spans="1:3" x14ac:dyDescent="0.25">
      <c r="A32" s="108"/>
      <c r="B32" s="62"/>
      <c r="C32" s="299" t="str">
        <f>IFERROR(MEDIAN(Tbl_RunChart3[Measure]),"")</f>
        <v/>
      </c>
    </row>
    <row r="33" spans="1:3" x14ac:dyDescent="0.25">
      <c r="A33" s="108"/>
      <c r="B33" s="62"/>
      <c r="C33" s="299" t="str">
        <f>IFERROR(MEDIAN(Tbl_RunChart3[Measure]),"")</f>
        <v/>
      </c>
    </row>
    <row r="34" spans="1:3" x14ac:dyDescent="0.25">
      <c r="A34" s="108"/>
      <c r="B34" s="62"/>
      <c r="C34" s="299" t="str">
        <f>IFERROR(MEDIAN(Tbl_RunChart3[Measure]),"")</f>
        <v/>
      </c>
    </row>
    <row r="35" spans="1:3" x14ac:dyDescent="0.25">
      <c r="A35" s="108"/>
      <c r="B35" s="62"/>
      <c r="C35" s="299" t="str">
        <f>IFERROR(MEDIAN(Tbl_RunChart3[Measure]),"")</f>
        <v/>
      </c>
    </row>
    <row r="36" spans="1:3" x14ac:dyDescent="0.25">
      <c r="A36" s="108"/>
      <c r="B36" s="62"/>
      <c r="C36" s="299" t="str">
        <f>IFERROR(MEDIAN(Tbl_RunChart3[Measure]),"")</f>
        <v/>
      </c>
    </row>
    <row r="37" spans="1:3" x14ac:dyDescent="0.25">
      <c r="A37" s="108"/>
      <c r="B37" s="62"/>
      <c r="C37" s="299" t="str">
        <f>IFERROR(MEDIAN(Tbl_RunChart3[Measure]),"")</f>
        <v/>
      </c>
    </row>
    <row r="38" spans="1:3" x14ac:dyDescent="0.25">
      <c r="A38" s="108"/>
      <c r="B38" s="62"/>
      <c r="C38" s="299" t="str">
        <f>IFERROR(MEDIAN(Tbl_RunChart3[Measure]),"")</f>
        <v/>
      </c>
    </row>
    <row r="39" spans="1:3" x14ac:dyDescent="0.25">
      <c r="A39" s="108"/>
      <c r="B39" s="62"/>
      <c r="C39" s="299" t="str">
        <f>IFERROR(MEDIAN(Tbl_RunChart3[Measure]),"")</f>
        <v/>
      </c>
    </row>
    <row r="40" spans="1:3" ht="15.75" thickBot="1" x14ac:dyDescent="0.3">
      <c r="A40" s="109"/>
      <c r="B40" s="64"/>
      <c r="C40" s="300" t="str">
        <f>IFERROR(MEDIAN(Tbl_RunChart3[Measure]),"")</f>
        <v/>
      </c>
    </row>
    <row r="41" spans="1:3" ht="15.75" thickBot="1" x14ac:dyDescent="0.3">
      <c r="C41" s="17"/>
    </row>
    <row r="42" spans="1:3" ht="15.75" thickBot="1" x14ac:dyDescent="0.3">
      <c r="A42" s="63" t="s">
        <v>89</v>
      </c>
      <c r="B42" s="46" t="str">
        <f>C5</f>
        <v/>
      </c>
    </row>
  </sheetData>
  <sheetProtection password="918C" sheet="1" objects="1" scenarios="1"/>
  <mergeCells count="3">
    <mergeCell ref="A3:C3"/>
    <mergeCell ref="E3:P3"/>
    <mergeCell ref="F4:P4"/>
  </mergeCells>
  <pageMargins left="0.25" right="0.25" top="0.75" bottom="0.75" header="0.3" footer="0.3"/>
  <pageSetup scale="7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39997558519241921"/>
    <pageSetUpPr fitToPage="1"/>
  </sheetPr>
  <dimension ref="A1:P42"/>
  <sheetViews>
    <sheetView showGridLines="0" zoomScaleNormal="100" workbookViewId="0">
      <pane ySplit="4" topLeftCell="A5" activePane="bottomLeft" state="frozen"/>
      <selection pane="bottomLeft"/>
    </sheetView>
  </sheetViews>
  <sheetFormatPr defaultColWidth="11.7109375" defaultRowHeight="15" x14ac:dyDescent="0.25"/>
  <cols>
    <col min="1" max="2" width="11.7109375" style="43"/>
    <col min="3" max="3" width="11.7109375" style="43" hidden="1" customWidth="1"/>
    <col min="4" max="4" width="3.7109375" style="43" customWidth="1"/>
    <col min="5" max="16" width="11.7109375" style="43"/>
    <col min="17" max="17" width="3.7109375" style="43" customWidth="1"/>
    <col min="18" max="16384" width="11.7109375" style="43"/>
  </cols>
  <sheetData>
    <row r="1" spans="1:16" s="152" customFormat="1" ht="21" x14ac:dyDescent="0.35">
      <c r="A1" s="169" t="s">
        <v>283</v>
      </c>
      <c r="B1" s="170"/>
      <c r="C1" s="171"/>
    </row>
    <row r="2" spans="1:16" s="31" customFormat="1" ht="17.25" x14ac:dyDescent="0.3">
      <c r="A2" s="174" t="s">
        <v>171</v>
      </c>
      <c r="B2" s="175">
        <f>COUNTA(Tbl_RunChart4[Measure])</f>
        <v>0</v>
      </c>
      <c r="C2" s="44"/>
    </row>
    <row r="3" spans="1:16" ht="18" thickBot="1" x14ac:dyDescent="0.35">
      <c r="A3" s="632" t="s">
        <v>69</v>
      </c>
      <c r="B3" s="632"/>
      <c r="C3" s="632"/>
      <c r="E3" s="632" t="s">
        <v>170</v>
      </c>
      <c r="F3" s="632"/>
      <c r="G3" s="632"/>
      <c r="H3" s="632"/>
      <c r="I3" s="632"/>
      <c r="J3" s="632"/>
      <c r="K3" s="632"/>
      <c r="L3" s="632"/>
      <c r="M3" s="632"/>
      <c r="N3" s="632"/>
      <c r="O3" s="632"/>
      <c r="P3" s="632"/>
    </row>
    <row r="4" spans="1:16" ht="15.75" thickBot="1" x14ac:dyDescent="0.3">
      <c r="A4" s="205" t="s">
        <v>91</v>
      </c>
      <c r="B4" s="206" t="s">
        <v>87</v>
      </c>
      <c r="C4" s="207" t="s">
        <v>88</v>
      </c>
      <c r="E4" s="45" t="s">
        <v>73</v>
      </c>
      <c r="F4" s="636" t="s">
        <v>169</v>
      </c>
      <c r="G4" s="636"/>
      <c r="H4" s="636"/>
      <c r="I4" s="636"/>
      <c r="J4" s="636"/>
      <c r="K4" s="636"/>
      <c r="L4" s="636"/>
      <c r="M4" s="636"/>
      <c r="N4" s="636"/>
      <c r="O4" s="636"/>
      <c r="P4" s="637"/>
    </row>
    <row r="5" spans="1:16" ht="15" customHeight="1" x14ac:dyDescent="0.25">
      <c r="A5" s="107"/>
      <c r="B5" s="61"/>
      <c r="C5" s="298" t="str">
        <f>IFERROR(MEDIAN(Tbl_RunChart4[Measure]),"")</f>
        <v/>
      </c>
    </row>
    <row r="6" spans="1:16" x14ac:dyDescent="0.25">
      <c r="A6" s="108"/>
      <c r="B6" s="61"/>
      <c r="C6" s="299" t="str">
        <f>IFERROR(MEDIAN(Tbl_RunChart4[Measure]),"")</f>
        <v/>
      </c>
    </row>
    <row r="7" spans="1:16" x14ac:dyDescent="0.25">
      <c r="A7" s="108"/>
      <c r="B7" s="61"/>
      <c r="C7" s="299" t="str">
        <f>IFERROR(MEDIAN(Tbl_RunChart4[Measure]),"")</f>
        <v/>
      </c>
    </row>
    <row r="8" spans="1:16" x14ac:dyDescent="0.25">
      <c r="A8" s="108"/>
      <c r="B8" s="61"/>
      <c r="C8" s="299" t="str">
        <f>IFERROR(MEDIAN(Tbl_RunChart4[Measure]),"")</f>
        <v/>
      </c>
    </row>
    <row r="9" spans="1:16" x14ac:dyDescent="0.25">
      <c r="A9" s="108"/>
      <c r="B9" s="61"/>
      <c r="C9" s="299" t="str">
        <f>IFERROR(MEDIAN(Tbl_RunChart4[Measure]),"")</f>
        <v/>
      </c>
    </row>
    <row r="10" spans="1:16" x14ac:dyDescent="0.25">
      <c r="A10" s="108"/>
      <c r="B10" s="61"/>
      <c r="C10" s="299" t="str">
        <f>IFERROR(MEDIAN(Tbl_RunChart4[Measure]),"")</f>
        <v/>
      </c>
    </row>
    <row r="11" spans="1:16" x14ac:dyDescent="0.25">
      <c r="A11" s="108"/>
      <c r="B11" s="61"/>
      <c r="C11" s="299" t="str">
        <f>IFERROR(MEDIAN(Tbl_RunChart4[Measure]),"")</f>
        <v/>
      </c>
    </row>
    <row r="12" spans="1:16" x14ac:dyDescent="0.25">
      <c r="A12" s="108"/>
      <c r="B12" s="61"/>
      <c r="C12" s="299" t="str">
        <f>IFERROR(MEDIAN(Tbl_RunChart4[Measure]),"")</f>
        <v/>
      </c>
    </row>
    <row r="13" spans="1:16" x14ac:dyDescent="0.25">
      <c r="A13" s="108"/>
      <c r="B13" s="61"/>
      <c r="C13" s="299" t="str">
        <f>IFERROR(MEDIAN(Tbl_RunChart4[Measure]),"")</f>
        <v/>
      </c>
    </row>
    <row r="14" spans="1:16" x14ac:dyDescent="0.25">
      <c r="A14" s="108"/>
      <c r="B14" s="61"/>
      <c r="C14" s="299" t="str">
        <f>IFERROR(MEDIAN(Tbl_RunChart4[Measure]),"")</f>
        <v/>
      </c>
    </row>
    <row r="15" spans="1:16" x14ac:dyDescent="0.25">
      <c r="A15" s="108"/>
      <c r="B15" s="61"/>
      <c r="C15" s="299" t="str">
        <f>IFERROR(MEDIAN(Tbl_RunChart4[Measure]),"")</f>
        <v/>
      </c>
    </row>
    <row r="16" spans="1:16" x14ac:dyDescent="0.25">
      <c r="A16" s="108"/>
      <c r="B16" s="61"/>
      <c r="C16" s="299" t="str">
        <f>IFERROR(MEDIAN(Tbl_RunChart4[Measure]),"")</f>
        <v/>
      </c>
    </row>
    <row r="17" spans="1:3" x14ac:dyDescent="0.25">
      <c r="A17" s="108"/>
      <c r="B17" s="61"/>
      <c r="C17" s="299" t="str">
        <f>IFERROR(MEDIAN(Tbl_RunChart4[Measure]),"")</f>
        <v/>
      </c>
    </row>
    <row r="18" spans="1:3" x14ac:dyDescent="0.25">
      <c r="A18" s="108"/>
      <c r="B18" s="61"/>
      <c r="C18" s="299" t="str">
        <f>IFERROR(MEDIAN(Tbl_RunChart4[Measure]),"")</f>
        <v/>
      </c>
    </row>
    <row r="19" spans="1:3" x14ac:dyDescent="0.25">
      <c r="A19" s="108"/>
      <c r="B19" s="61"/>
      <c r="C19" s="299" t="str">
        <f>IFERROR(MEDIAN(Tbl_RunChart4[Measure]),"")</f>
        <v/>
      </c>
    </row>
    <row r="20" spans="1:3" x14ac:dyDescent="0.25">
      <c r="A20" s="108"/>
      <c r="B20" s="61"/>
      <c r="C20" s="299" t="str">
        <f>IFERROR(MEDIAN(Tbl_RunChart4[Measure]),"")</f>
        <v/>
      </c>
    </row>
    <row r="21" spans="1:3" x14ac:dyDescent="0.25">
      <c r="A21" s="108"/>
      <c r="B21" s="61"/>
      <c r="C21" s="299" t="str">
        <f>IFERROR(MEDIAN(Tbl_RunChart4[Measure]),"")</f>
        <v/>
      </c>
    </row>
    <row r="22" spans="1:3" x14ac:dyDescent="0.25">
      <c r="A22" s="108"/>
      <c r="B22" s="61"/>
      <c r="C22" s="299" t="str">
        <f>IFERROR(MEDIAN(Tbl_RunChart4[Measure]),"")</f>
        <v/>
      </c>
    </row>
    <row r="23" spans="1:3" x14ac:dyDescent="0.25">
      <c r="A23" s="108"/>
      <c r="B23" s="61"/>
      <c r="C23" s="299" t="str">
        <f>IFERROR(MEDIAN(Tbl_RunChart4[Measure]),"")</f>
        <v/>
      </c>
    </row>
    <row r="24" spans="1:3" x14ac:dyDescent="0.25">
      <c r="A24" s="108"/>
      <c r="B24" s="61"/>
      <c r="C24" s="299" t="str">
        <f>IFERROR(MEDIAN(Tbl_RunChart4[Measure]),"")</f>
        <v/>
      </c>
    </row>
    <row r="25" spans="1:3" x14ac:dyDescent="0.25">
      <c r="A25" s="108"/>
      <c r="B25" s="61"/>
      <c r="C25" s="299" t="str">
        <f>IFERROR(MEDIAN(Tbl_RunChart4[Measure]),"")</f>
        <v/>
      </c>
    </row>
    <row r="26" spans="1:3" x14ac:dyDescent="0.25">
      <c r="A26" s="108"/>
      <c r="B26" s="62"/>
      <c r="C26" s="299" t="str">
        <f>IFERROR(MEDIAN(Tbl_RunChart4[Measure]),"")</f>
        <v/>
      </c>
    </row>
    <row r="27" spans="1:3" x14ac:dyDescent="0.25">
      <c r="A27" s="108"/>
      <c r="B27" s="62"/>
      <c r="C27" s="299" t="str">
        <f>IFERROR(MEDIAN(Tbl_RunChart4[Measure]),"")</f>
        <v/>
      </c>
    </row>
    <row r="28" spans="1:3" x14ac:dyDescent="0.25">
      <c r="A28" s="108"/>
      <c r="B28" s="62"/>
      <c r="C28" s="299" t="str">
        <f>IFERROR(MEDIAN(Tbl_RunChart4[Measure]),"")</f>
        <v/>
      </c>
    </row>
    <row r="29" spans="1:3" x14ac:dyDescent="0.25">
      <c r="A29" s="108"/>
      <c r="B29" s="62"/>
      <c r="C29" s="299" t="str">
        <f>IFERROR(MEDIAN(Tbl_RunChart4[Measure]),"")</f>
        <v/>
      </c>
    </row>
    <row r="30" spans="1:3" x14ac:dyDescent="0.25">
      <c r="A30" s="108"/>
      <c r="B30" s="62"/>
      <c r="C30" s="299" t="str">
        <f>IFERROR(MEDIAN(Tbl_RunChart4[Measure]),"")</f>
        <v/>
      </c>
    </row>
    <row r="31" spans="1:3" x14ac:dyDescent="0.25">
      <c r="A31" s="108"/>
      <c r="B31" s="62"/>
      <c r="C31" s="299" t="str">
        <f>IFERROR(MEDIAN(Tbl_RunChart4[Measure]),"")</f>
        <v/>
      </c>
    </row>
    <row r="32" spans="1:3" x14ac:dyDescent="0.25">
      <c r="A32" s="108"/>
      <c r="B32" s="62"/>
      <c r="C32" s="299" t="str">
        <f>IFERROR(MEDIAN(Tbl_RunChart4[Measure]),"")</f>
        <v/>
      </c>
    </row>
    <row r="33" spans="1:3" x14ac:dyDescent="0.25">
      <c r="A33" s="108"/>
      <c r="B33" s="62"/>
      <c r="C33" s="299" t="str">
        <f>IFERROR(MEDIAN(Tbl_RunChart4[Measure]),"")</f>
        <v/>
      </c>
    </row>
    <row r="34" spans="1:3" x14ac:dyDescent="0.25">
      <c r="A34" s="108"/>
      <c r="B34" s="62"/>
      <c r="C34" s="299" t="str">
        <f>IFERROR(MEDIAN(Tbl_RunChart4[Measure]),"")</f>
        <v/>
      </c>
    </row>
    <row r="35" spans="1:3" x14ac:dyDescent="0.25">
      <c r="A35" s="108"/>
      <c r="B35" s="62"/>
      <c r="C35" s="299" t="str">
        <f>IFERROR(MEDIAN(Tbl_RunChart4[Measure]),"")</f>
        <v/>
      </c>
    </row>
    <row r="36" spans="1:3" x14ac:dyDescent="0.25">
      <c r="A36" s="108"/>
      <c r="B36" s="62"/>
      <c r="C36" s="299" t="str">
        <f>IFERROR(MEDIAN(Tbl_RunChart4[Measure]),"")</f>
        <v/>
      </c>
    </row>
    <row r="37" spans="1:3" x14ac:dyDescent="0.25">
      <c r="A37" s="108"/>
      <c r="B37" s="62"/>
      <c r="C37" s="299" t="str">
        <f>IFERROR(MEDIAN(Tbl_RunChart4[Measure]),"")</f>
        <v/>
      </c>
    </row>
    <row r="38" spans="1:3" x14ac:dyDescent="0.25">
      <c r="A38" s="108"/>
      <c r="B38" s="62"/>
      <c r="C38" s="299" t="str">
        <f>IFERROR(MEDIAN(Tbl_RunChart4[Measure]),"")</f>
        <v/>
      </c>
    </row>
    <row r="39" spans="1:3" x14ac:dyDescent="0.25">
      <c r="A39" s="108"/>
      <c r="B39" s="62"/>
      <c r="C39" s="299" t="str">
        <f>IFERROR(MEDIAN(Tbl_RunChart4[Measure]),"")</f>
        <v/>
      </c>
    </row>
    <row r="40" spans="1:3" ht="15.75" thickBot="1" x14ac:dyDescent="0.3">
      <c r="A40" s="109"/>
      <c r="B40" s="64"/>
      <c r="C40" s="300" t="str">
        <f>IFERROR(MEDIAN(Tbl_RunChart4[Measure]),"")</f>
        <v/>
      </c>
    </row>
    <row r="41" spans="1:3" ht="15.75" thickBot="1" x14ac:dyDescent="0.3">
      <c r="C41" s="17"/>
    </row>
    <row r="42" spans="1:3" ht="15.75" thickBot="1" x14ac:dyDescent="0.3">
      <c r="A42" s="63" t="s">
        <v>89</v>
      </c>
      <c r="B42" s="46" t="str">
        <f>C5</f>
        <v/>
      </c>
    </row>
  </sheetData>
  <sheetProtection password="918C" sheet="1" objects="1" scenarios="1"/>
  <mergeCells count="3">
    <mergeCell ref="A3:C3"/>
    <mergeCell ref="E3:P3"/>
    <mergeCell ref="F4:P4"/>
  </mergeCells>
  <pageMargins left="0.25" right="0.25" top="0.75" bottom="0.75" header="0.3" footer="0.3"/>
  <pageSetup scale="7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pageSetUpPr fitToPage="1"/>
  </sheetPr>
  <dimension ref="A1:T58"/>
  <sheetViews>
    <sheetView showGridLines="0" zoomScaleNormal="100" workbookViewId="0">
      <pane ySplit="1" topLeftCell="A2" activePane="bottomLeft" state="frozen"/>
      <selection pane="bottomLeft"/>
    </sheetView>
  </sheetViews>
  <sheetFormatPr defaultRowHeight="15" x14ac:dyDescent="0.25"/>
  <cols>
    <col min="17" max="17" width="3.7109375" customWidth="1"/>
    <col min="18" max="20" width="25.7109375" customWidth="1"/>
  </cols>
  <sheetData>
    <row r="1" spans="1:20" s="152" customFormat="1" ht="21" x14ac:dyDescent="0.35">
      <c r="A1" s="150" t="s">
        <v>60</v>
      </c>
    </row>
    <row r="2" spans="1:20" ht="18" thickBot="1" x14ac:dyDescent="0.35">
      <c r="A2" s="211" t="s">
        <v>61</v>
      </c>
      <c r="B2" s="212"/>
      <c r="C2" s="212"/>
      <c r="D2" s="212"/>
      <c r="E2" s="212"/>
      <c r="F2" s="212"/>
      <c r="G2" s="212"/>
      <c r="H2" s="212"/>
      <c r="I2" s="213" t="s">
        <v>62</v>
      </c>
      <c r="J2" s="211"/>
      <c r="K2" s="212"/>
      <c r="L2" s="212"/>
      <c r="M2" s="212"/>
      <c r="N2" s="212"/>
      <c r="O2" s="212"/>
      <c r="P2" s="212"/>
      <c r="R2" s="213" t="s">
        <v>64</v>
      </c>
      <c r="S2" s="214"/>
      <c r="T2" s="214"/>
    </row>
    <row r="3" spans="1:20" ht="15" customHeight="1" x14ac:dyDescent="0.25">
      <c r="A3" s="638" t="s">
        <v>219</v>
      </c>
      <c r="B3" s="639"/>
      <c r="C3" s="639"/>
      <c r="D3" s="639"/>
      <c r="E3" s="639"/>
      <c r="F3" s="639"/>
      <c r="G3" s="639"/>
      <c r="H3" s="640"/>
      <c r="I3" s="654" t="s">
        <v>220</v>
      </c>
      <c r="J3" s="639"/>
      <c r="K3" s="639"/>
      <c r="L3" s="639"/>
      <c r="M3" s="639"/>
      <c r="N3" s="639"/>
      <c r="O3" s="639"/>
      <c r="P3" s="640"/>
      <c r="R3" s="651" t="s">
        <v>65</v>
      </c>
      <c r="S3" s="651" t="s">
        <v>66</v>
      </c>
      <c r="T3" s="651" t="s">
        <v>67</v>
      </c>
    </row>
    <row r="4" spans="1:20" ht="15" customHeight="1" x14ac:dyDescent="0.25">
      <c r="A4" s="641"/>
      <c r="B4" s="642"/>
      <c r="C4" s="642"/>
      <c r="D4" s="642"/>
      <c r="E4" s="642"/>
      <c r="F4" s="642"/>
      <c r="G4" s="642"/>
      <c r="H4" s="618"/>
      <c r="I4" s="641"/>
      <c r="J4" s="642"/>
      <c r="K4" s="642"/>
      <c r="L4" s="642"/>
      <c r="M4" s="642"/>
      <c r="N4" s="642"/>
      <c r="O4" s="642"/>
      <c r="P4" s="618"/>
      <c r="R4" s="652"/>
      <c r="S4" s="652"/>
      <c r="T4" s="652"/>
    </row>
    <row r="5" spans="1:20" ht="15" customHeight="1" x14ac:dyDescent="0.25">
      <c r="A5" s="641"/>
      <c r="B5" s="642"/>
      <c r="C5" s="642"/>
      <c r="D5" s="642"/>
      <c r="E5" s="642"/>
      <c r="F5" s="642"/>
      <c r="G5" s="642"/>
      <c r="H5" s="618"/>
      <c r="I5" s="641"/>
      <c r="J5" s="642"/>
      <c r="K5" s="642"/>
      <c r="L5" s="642"/>
      <c r="M5" s="642"/>
      <c r="N5" s="642"/>
      <c r="O5" s="642"/>
      <c r="P5" s="618"/>
      <c r="R5" s="652"/>
      <c r="S5" s="652"/>
      <c r="T5" s="652"/>
    </row>
    <row r="6" spans="1:20" ht="15.75" customHeight="1" x14ac:dyDescent="0.25">
      <c r="A6" s="641"/>
      <c r="B6" s="642"/>
      <c r="C6" s="642"/>
      <c r="D6" s="642"/>
      <c r="E6" s="642"/>
      <c r="F6" s="642"/>
      <c r="G6" s="642"/>
      <c r="H6" s="618"/>
      <c r="I6" s="641"/>
      <c r="J6" s="642"/>
      <c r="K6" s="642"/>
      <c r="L6" s="642"/>
      <c r="M6" s="642"/>
      <c r="N6" s="642"/>
      <c r="O6" s="642"/>
      <c r="P6" s="618"/>
      <c r="R6" s="652"/>
      <c r="S6" s="652"/>
      <c r="T6" s="652"/>
    </row>
    <row r="7" spans="1:20" ht="15.75" thickBot="1" x14ac:dyDescent="0.3">
      <c r="A7" s="641"/>
      <c r="B7" s="642"/>
      <c r="C7" s="642"/>
      <c r="D7" s="642"/>
      <c r="E7" s="642"/>
      <c r="F7" s="642"/>
      <c r="G7" s="642"/>
      <c r="H7" s="618"/>
      <c r="I7" s="641"/>
      <c r="J7" s="642"/>
      <c r="K7" s="642"/>
      <c r="L7" s="642"/>
      <c r="M7" s="642"/>
      <c r="N7" s="642"/>
      <c r="O7" s="642"/>
      <c r="P7" s="618"/>
      <c r="R7" s="653"/>
      <c r="S7" s="653"/>
      <c r="T7" s="653"/>
    </row>
    <row r="8" spans="1:20" ht="17.25" x14ac:dyDescent="0.3">
      <c r="A8" s="641"/>
      <c r="B8" s="642"/>
      <c r="C8" s="642"/>
      <c r="D8" s="642"/>
      <c r="E8" s="642"/>
      <c r="F8" s="642"/>
      <c r="G8" s="642"/>
      <c r="H8" s="618"/>
      <c r="I8" s="641"/>
      <c r="J8" s="642"/>
      <c r="K8" s="642"/>
      <c r="L8" s="642"/>
      <c r="M8" s="642"/>
      <c r="N8" s="642"/>
      <c r="O8" s="642"/>
      <c r="P8" s="618"/>
      <c r="R8" s="24">
        <v>10</v>
      </c>
      <c r="S8" s="24">
        <v>3</v>
      </c>
      <c r="T8" s="24">
        <v>9</v>
      </c>
    </row>
    <row r="9" spans="1:20" ht="17.25" x14ac:dyDescent="0.3">
      <c r="A9" s="641"/>
      <c r="B9" s="642"/>
      <c r="C9" s="642"/>
      <c r="D9" s="642"/>
      <c r="E9" s="642"/>
      <c r="F9" s="642"/>
      <c r="G9" s="642"/>
      <c r="H9" s="618"/>
      <c r="I9" s="641"/>
      <c r="J9" s="642"/>
      <c r="K9" s="642"/>
      <c r="L9" s="642"/>
      <c r="M9" s="642"/>
      <c r="N9" s="642"/>
      <c r="O9" s="642"/>
      <c r="P9" s="618"/>
      <c r="R9" s="24">
        <v>11</v>
      </c>
      <c r="S9" s="24">
        <v>3</v>
      </c>
      <c r="T9" s="24">
        <v>10</v>
      </c>
    </row>
    <row r="10" spans="1:20" ht="17.25" x14ac:dyDescent="0.3">
      <c r="A10" s="641"/>
      <c r="B10" s="642"/>
      <c r="C10" s="642"/>
      <c r="D10" s="642"/>
      <c r="E10" s="642"/>
      <c r="F10" s="642"/>
      <c r="G10" s="642"/>
      <c r="H10" s="618"/>
      <c r="I10" s="641"/>
      <c r="J10" s="642"/>
      <c r="K10" s="642"/>
      <c r="L10" s="642"/>
      <c r="M10" s="642"/>
      <c r="N10" s="642"/>
      <c r="O10" s="642"/>
      <c r="P10" s="618"/>
      <c r="R10" s="24">
        <v>12</v>
      </c>
      <c r="S10" s="24">
        <v>3</v>
      </c>
      <c r="T10" s="24">
        <v>11</v>
      </c>
    </row>
    <row r="11" spans="1:20" ht="17.25" x14ac:dyDescent="0.3">
      <c r="A11" s="641"/>
      <c r="B11" s="642"/>
      <c r="C11" s="642"/>
      <c r="D11" s="642"/>
      <c r="E11" s="642"/>
      <c r="F11" s="642"/>
      <c r="G11" s="642"/>
      <c r="H11" s="618"/>
      <c r="I11" s="641"/>
      <c r="J11" s="642"/>
      <c r="K11" s="642"/>
      <c r="L11" s="642"/>
      <c r="M11" s="642"/>
      <c r="N11" s="642"/>
      <c r="O11" s="642"/>
      <c r="P11" s="618"/>
      <c r="R11" s="24">
        <v>13</v>
      </c>
      <c r="S11" s="24">
        <v>4</v>
      </c>
      <c r="T11" s="24">
        <v>11</v>
      </c>
    </row>
    <row r="12" spans="1:20" ht="17.25" x14ac:dyDescent="0.3">
      <c r="A12" s="641"/>
      <c r="B12" s="642"/>
      <c r="C12" s="642"/>
      <c r="D12" s="642"/>
      <c r="E12" s="642"/>
      <c r="F12" s="642"/>
      <c r="G12" s="642"/>
      <c r="H12" s="618"/>
      <c r="I12" s="641"/>
      <c r="J12" s="642"/>
      <c r="K12" s="642"/>
      <c r="L12" s="642"/>
      <c r="M12" s="642"/>
      <c r="N12" s="642"/>
      <c r="O12" s="642"/>
      <c r="P12" s="618"/>
      <c r="R12" s="24">
        <v>14</v>
      </c>
      <c r="S12" s="24">
        <v>4</v>
      </c>
      <c r="T12" s="24">
        <v>12</v>
      </c>
    </row>
    <row r="13" spans="1:20" ht="18" thickBot="1" x14ac:dyDescent="0.35">
      <c r="A13" s="643"/>
      <c r="B13" s="644"/>
      <c r="C13" s="644"/>
      <c r="D13" s="644"/>
      <c r="E13" s="644"/>
      <c r="F13" s="644"/>
      <c r="G13" s="644"/>
      <c r="H13" s="645"/>
      <c r="I13" s="643"/>
      <c r="J13" s="644"/>
      <c r="K13" s="644"/>
      <c r="L13" s="644"/>
      <c r="M13" s="644"/>
      <c r="N13" s="644"/>
      <c r="O13" s="644"/>
      <c r="P13" s="645"/>
      <c r="R13" s="24">
        <v>15</v>
      </c>
      <c r="S13" s="24">
        <v>5</v>
      </c>
      <c r="T13" s="24">
        <v>12</v>
      </c>
    </row>
    <row r="14" spans="1:20" ht="17.25" x14ac:dyDescent="0.3">
      <c r="A14" s="241"/>
      <c r="B14" s="241"/>
      <c r="C14" s="241"/>
      <c r="D14" s="241"/>
      <c r="E14" s="241"/>
      <c r="F14" s="241"/>
      <c r="G14" s="241"/>
      <c r="H14" s="241"/>
      <c r="I14" s="43"/>
      <c r="J14" s="43"/>
      <c r="K14" s="43"/>
      <c r="L14" s="43"/>
      <c r="M14" s="43"/>
      <c r="N14" s="43"/>
      <c r="O14" s="43"/>
      <c r="P14" s="43"/>
      <c r="R14" s="24">
        <v>16</v>
      </c>
      <c r="S14" s="24">
        <v>5</v>
      </c>
      <c r="T14" s="24">
        <v>13</v>
      </c>
    </row>
    <row r="15" spans="1:20" ht="18" thickBot="1" x14ac:dyDescent="0.35">
      <c r="A15" s="211" t="s">
        <v>63</v>
      </c>
      <c r="B15" s="212"/>
      <c r="C15" s="212"/>
      <c r="D15" s="212"/>
      <c r="E15" s="212"/>
      <c r="F15" s="212"/>
      <c r="G15" s="212"/>
      <c r="H15" s="212"/>
      <c r="I15" s="214"/>
      <c r="J15" s="214"/>
      <c r="K15" s="214"/>
      <c r="L15" s="214"/>
      <c r="M15" s="214"/>
      <c r="N15" s="214"/>
      <c r="O15" s="214"/>
      <c r="P15" s="214"/>
      <c r="R15" s="24">
        <v>17</v>
      </c>
      <c r="S15" s="24">
        <v>5</v>
      </c>
      <c r="T15" s="24">
        <v>13</v>
      </c>
    </row>
    <row r="16" spans="1:20" ht="17.25" customHeight="1" x14ac:dyDescent="0.3">
      <c r="A16" s="638" t="s">
        <v>221</v>
      </c>
      <c r="B16" s="639"/>
      <c r="C16" s="639"/>
      <c r="D16" s="639"/>
      <c r="E16" s="639"/>
      <c r="F16" s="639"/>
      <c r="G16" s="639"/>
      <c r="H16" s="639"/>
      <c r="I16" s="639"/>
      <c r="J16" s="639"/>
      <c r="K16" s="639"/>
      <c r="L16" s="639"/>
      <c r="M16" s="639"/>
      <c r="N16" s="639"/>
      <c r="O16" s="639"/>
      <c r="P16" s="640"/>
      <c r="R16" s="24">
        <v>18</v>
      </c>
      <c r="S16" s="24">
        <v>6</v>
      </c>
      <c r="T16" s="24">
        <v>14</v>
      </c>
    </row>
    <row r="17" spans="1:20" ht="17.25" x14ac:dyDescent="0.3">
      <c r="A17" s="641"/>
      <c r="B17" s="642"/>
      <c r="C17" s="642"/>
      <c r="D17" s="642"/>
      <c r="E17" s="642"/>
      <c r="F17" s="642"/>
      <c r="G17" s="642"/>
      <c r="H17" s="642"/>
      <c r="I17" s="642"/>
      <c r="J17" s="642"/>
      <c r="K17" s="642"/>
      <c r="L17" s="642"/>
      <c r="M17" s="642"/>
      <c r="N17" s="642"/>
      <c r="O17" s="642"/>
      <c r="P17" s="618"/>
      <c r="R17" s="24">
        <v>19</v>
      </c>
      <c r="S17" s="24">
        <v>6</v>
      </c>
      <c r="T17" s="24">
        <v>15</v>
      </c>
    </row>
    <row r="18" spans="1:20" ht="17.25" x14ac:dyDescent="0.3">
      <c r="A18" s="641"/>
      <c r="B18" s="642"/>
      <c r="C18" s="642"/>
      <c r="D18" s="642"/>
      <c r="E18" s="642"/>
      <c r="F18" s="642"/>
      <c r="G18" s="642"/>
      <c r="H18" s="642"/>
      <c r="I18" s="642"/>
      <c r="J18" s="642"/>
      <c r="K18" s="642"/>
      <c r="L18" s="642"/>
      <c r="M18" s="642"/>
      <c r="N18" s="642"/>
      <c r="O18" s="642"/>
      <c r="P18" s="618"/>
      <c r="R18" s="24">
        <v>20</v>
      </c>
      <c r="S18" s="24">
        <v>6</v>
      </c>
      <c r="T18" s="24">
        <v>16</v>
      </c>
    </row>
    <row r="19" spans="1:20" ht="17.25" x14ac:dyDescent="0.3">
      <c r="A19" s="641"/>
      <c r="B19" s="642"/>
      <c r="C19" s="642"/>
      <c r="D19" s="642"/>
      <c r="E19" s="642"/>
      <c r="F19" s="642"/>
      <c r="G19" s="642"/>
      <c r="H19" s="642"/>
      <c r="I19" s="642"/>
      <c r="J19" s="642"/>
      <c r="K19" s="642"/>
      <c r="L19" s="642"/>
      <c r="M19" s="642"/>
      <c r="N19" s="642"/>
      <c r="O19" s="642"/>
      <c r="P19" s="618"/>
      <c r="R19" s="24">
        <v>21</v>
      </c>
      <c r="S19" s="24">
        <v>7</v>
      </c>
      <c r="T19" s="24">
        <v>16</v>
      </c>
    </row>
    <row r="20" spans="1:20" ht="17.25" x14ac:dyDescent="0.3">
      <c r="A20" s="641"/>
      <c r="B20" s="642"/>
      <c r="C20" s="642"/>
      <c r="D20" s="642"/>
      <c r="E20" s="642"/>
      <c r="F20" s="642"/>
      <c r="G20" s="642"/>
      <c r="H20" s="642"/>
      <c r="I20" s="642"/>
      <c r="J20" s="642"/>
      <c r="K20" s="642"/>
      <c r="L20" s="642"/>
      <c r="M20" s="642"/>
      <c r="N20" s="642"/>
      <c r="O20" s="642"/>
      <c r="P20" s="618"/>
      <c r="R20" s="24">
        <v>22</v>
      </c>
      <c r="S20" s="24">
        <v>7</v>
      </c>
      <c r="T20" s="24">
        <v>17</v>
      </c>
    </row>
    <row r="21" spans="1:20" ht="17.25" x14ac:dyDescent="0.3">
      <c r="A21" s="641"/>
      <c r="B21" s="642"/>
      <c r="C21" s="642"/>
      <c r="D21" s="642"/>
      <c r="E21" s="642"/>
      <c r="F21" s="642"/>
      <c r="G21" s="642"/>
      <c r="H21" s="642"/>
      <c r="I21" s="642"/>
      <c r="J21" s="642"/>
      <c r="K21" s="642"/>
      <c r="L21" s="642"/>
      <c r="M21" s="642"/>
      <c r="N21" s="642"/>
      <c r="O21" s="642"/>
      <c r="P21" s="618"/>
      <c r="R21" s="24">
        <v>23</v>
      </c>
      <c r="S21" s="24">
        <v>7</v>
      </c>
      <c r="T21" s="24">
        <v>17</v>
      </c>
    </row>
    <row r="22" spans="1:20" ht="17.25" x14ac:dyDescent="0.3">
      <c r="A22" s="641"/>
      <c r="B22" s="642"/>
      <c r="C22" s="642"/>
      <c r="D22" s="642"/>
      <c r="E22" s="642"/>
      <c r="F22" s="642"/>
      <c r="G22" s="642"/>
      <c r="H22" s="642"/>
      <c r="I22" s="642"/>
      <c r="J22" s="642"/>
      <c r="K22" s="642"/>
      <c r="L22" s="642"/>
      <c r="M22" s="642"/>
      <c r="N22" s="642"/>
      <c r="O22" s="642"/>
      <c r="P22" s="618"/>
      <c r="R22" s="24">
        <v>24</v>
      </c>
      <c r="S22" s="24">
        <v>8</v>
      </c>
      <c r="T22" s="24">
        <v>18</v>
      </c>
    </row>
    <row r="23" spans="1:20" ht="17.25" x14ac:dyDescent="0.3">
      <c r="A23" s="641"/>
      <c r="B23" s="642"/>
      <c r="C23" s="642"/>
      <c r="D23" s="642"/>
      <c r="E23" s="642"/>
      <c r="F23" s="642"/>
      <c r="G23" s="642"/>
      <c r="H23" s="642"/>
      <c r="I23" s="642"/>
      <c r="J23" s="642"/>
      <c r="K23" s="642"/>
      <c r="L23" s="642"/>
      <c r="M23" s="642"/>
      <c r="N23" s="642"/>
      <c r="O23" s="642"/>
      <c r="P23" s="618"/>
      <c r="R23" s="24">
        <v>25</v>
      </c>
      <c r="S23" s="24">
        <v>8</v>
      </c>
      <c r="T23" s="24">
        <v>18</v>
      </c>
    </row>
    <row r="24" spans="1:20" ht="17.25" x14ac:dyDescent="0.3">
      <c r="A24" s="641"/>
      <c r="B24" s="642"/>
      <c r="C24" s="642"/>
      <c r="D24" s="642"/>
      <c r="E24" s="642"/>
      <c r="F24" s="642"/>
      <c r="G24" s="642"/>
      <c r="H24" s="642"/>
      <c r="I24" s="642"/>
      <c r="J24" s="642"/>
      <c r="K24" s="642"/>
      <c r="L24" s="642"/>
      <c r="M24" s="642"/>
      <c r="N24" s="642"/>
      <c r="O24" s="642"/>
      <c r="P24" s="618"/>
      <c r="R24" s="24">
        <v>26</v>
      </c>
      <c r="S24" s="24">
        <v>9</v>
      </c>
      <c r="T24" s="24">
        <v>19</v>
      </c>
    </row>
    <row r="25" spans="1:20" ht="17.25" x14ac:dyDescent="0.3">
      <c r="A25" s="641"/>
      <c r="B25" s="642"/>
      <c r="C25" s="642"/>
      <c r="D25" s="642"/>
      <c r="E25" s="642"/>
      <c r="F25" s="642"/>
      <c r="G25" s="642"/>
      <c r="H25" s="642"/>
      <c r="I25" s="642"/>
      <c r="J25" s="642"/>
      <c r="K25" s="642"/>
      <c r="L25" s="642"/>
      <c r="M25" s="642"/>
      <c r="N25" s="642"/>
      <c r="O25" s="642"/>
      <c r="P25" s="618"/>
      <c r="R25" s="24">
        <v>27</v>
      </c>
      <c r="S25" s="24">
        <v>10</v>
      </c>
      <c r="T25" s="24">
        <v>19</v>
      </c>
    </row>
    <row r="26" spans="1:20" ht="18" thickBot="1" x14ac:dyDescent="0.35">
      <c r="A26" s="643"/>
      <c r="B26" s="644"/>
      <c r="C26" s="644"/>
      <c r="D26" s="644"/>
      <c r="E26" s="644"/>
      <c r="F26" s="644"/>
      <c r="G26" s="644"/>
      <c r="H26" s="644"/>
      <c r="I26" s="644"/>
      <c r="J26" s="644"/>
      <c r="K26" s="644"/>
      <c r="L26" s="644"/>
      <c r="M26" s="644"/>
      <c r="N26" s="644"/>
      <c r="O26" s="644"/>
      <c r="P26" s="645"/>
      <c r="R26" s="24">
        <v>28</v>
      </c>
      <c r="S26" s="24">
        <v>10</v>
      </c>
      <c r="T26" s="24">
        <v>20</v>
      </c>
    </row>
    <row r="27" spans="1:20" ht="17.25" x14ac:dyDescent="0.3">
      <c r="R27" s="24">
        <v>29</v>
      </c>
      <c r="S27" s="24">
        <v>10</v>
      </c>
      <c r="T27" s="24">
        <v>20</v>
      </c>
    </row>
    <row r="28" spans="1:20" ht="17.25" x14ac:dyDescent="0.3">
      <c r="R28" s="24">
        <v>30</v>
      </c>
      <c r="S28" s="24">
        <v>11</v>
      </c>
      <c r="T28" s="24">
        <v>21</v>
      </c>
    </row>
    <row r="29" spans="1:20" ht="17.25" x14ac:dyDescent="0.3">
      <c r="R29" s="24">
        <v>31</v>
      </c>
      <c r="S29" s="24">
        <v>11</v>
      </c>
      <c r="T29" s="24">
        <v>22</v>
      </c>
    </row>
    <row r="30" spans="1:20" ht="17.25" x14ac:dyDescent="0.3">
      <c r="R30" s="24">
        <v>32</v>
      </c>
      <c r="S30" s="24">
        <v>11</v>
      </c>
      <c r="T30" s="24">
        <v>23</v>
      </c>
    </row>
    <row r="31" spans="1:20" ht="17.25" x14ac:dyDescent="0.3">
      <c r="R31" s="24">
        <v>33</v>
      </c>
      <c r="S31" s="24">
        <v>12</v>
      </c>
      <c r="T31" s="24">
        <v>23</v>
      </c>
    </row>
    <row r="32" spans="1:20" ht="17.25" x14ac:dyDescent="0.3">
      <c r="R32" s="24">
        <v>34</v>
      </c>
      <c r="S32" s="24">
        <v>12</v>
      </c>
      <c r="T32" s="24">
        <v>24</v>
      </c>
    </row>
    <row r="33" spans="18:20" ht="17.25" x14ac:dyDescent="0.3">
      <c r="R33" s="24">
        <v>35</v>
      </c>
      <c r="S33" s="24">
        <v>12</v>
      </c>
      <c r="T33" s="24">
        <v>24</v>
      </c>
    </row>
    <row r="34" spans="18:20" ht="17.25" x14ac:dyDescent="0.3">
      <c r="R34" s="24">
        <v>36</v>
      </c>
      <c r="S34" s="24">
        <v>13</v>
      </c>
      <c r="T34" s="24">
        <v>25</v>
      </c>
    </row>
    <row r="35" spans="18:20" ht="17.25" x14ac:dyDescent="0.3">
      <c r="R35" s="24">
        <v>37</v>
      </c>
      <c r="S35" s="24">
        <v>13</v>
      </c>
      <c r="T35" s="24">
        <v>25</v>
      </c>
    </row>
    <row r="36" spans="18:20" ht="17.25" x14ac:dyDescent="0.3">
      <c r="R36" s="24">
        <v>38</v>
      </c>
      <c r="S36" s="24">
        <v>14</v>
      </c>
      <c r="T36" s="24">
        <v>26</v>
      </c>
    </row>
    <row r="37" spans="18:20" ht="17.25" x14ac:dyDescent="0.3">
      <c r="R37" s="24">
        <v>39</v>
      </c>
      <c r="S37" s="24">
        <v>14</v>
      </c>
      <c r="T37" s="24">
        <v>26</v>
      </c>
    </row>
    <row r="38" spans="18:20" ht="17.25" x14ac:dyDescent="0.3">
      <c r="R38" s="24">
        <v>40</v>
      </c>
      <c r="S38" s="24">
        <v>15</v>
      </c>
      <c r="T38" s="24">
        <v>27</v>
      </c>
    </row>
    <row r="39" spans="18:20" ht="17.25" x14ac:dyDescent="0.3">
      <c r="R39" s="24">
        <v>41</v>
      </c>
      <c r="S39" s="24">
        <v>15</v>
      </c>
      <c r="T39" s="24">
        <v>27</v>
      </c>
    </row>
    <row r="40" spans="18:20" ht="17.25" x14ac:dyDescent="0.3">
      <c r="R40" s="24">
        <v>42</v>
      </c>
      <c r="S40" s="24">
        <v>16</v>
      </c>
      <c r="T40" s="24">
        <v>28</v>
      </c>
    </row>
    <row r="41" spans="18:20" ht="17.25" x14ac:dyDescent="0.3">
      <c r="R41" s="24">
        <v>43</v>
      </c>
      <c r="S41" s="24">
        <v>16</v>
      </c>
      <c r="T41" s="24">
        <v>28</v>
      </c>
    </row>
    <row r="42" spans="18:20" ht="17.25" x14ac:dyDescent="0.3">
      <c r="R42" s="24">
        <v>44</v>
      </c>
      <c r="S42" s="24">
        <v>17</v>
      </c>
      <c r="T42" s="24">
        <v>29</v>
      </c>
    </row>
    <row r="43" spans="18:20" ht="17.25" x14ac:dyDescent="0.3">
      <c r="R43" s="24">
        <v>45</v>
      </c>
      <c r="S43" s="24">
        <v>17</v>
      </c>
      <c r="T43" s="24">
        <v>30</v>
      </c>
    </row>
    <row r="44" spans="18:20" ht="17.25" x14ac:dyDescent="0.3">
      <c r="R44" s="24">
        <v>46</v>
      </c>
      <c r="S44" s="24">
        <v>17</v>
      </c>
      <c r="T44" s="24">
        <v>31</v>
      </c>
    </row>
    <row r="45" spans="18:20" ht="17.25" x14ac:dyDescent="0.3">
      <c r="R45" s="24">
        <v>47</v>
      </c>
      <c r="S45" s="24">
        <v>18</v>
      </c>
      <c r="T45" s="24">
        <v>31</v>
      </c>
    </row>
    <row r="46" spans="18:20" ht="17.25" x14ac:dyDescent="0.3">
      <c r="R46" s="24">
        <v>48</v>
      </c>
      <c r="S46" s="24">
        <v>18</v>
      </c>
      <c r="T46" s="24">
        <v>32</v>
      </c>
    </row>
    <row r="47" spans="18:20" ht="17.25" x14ac:dyDescent="0.3">
      <c r="R47" s="24">
        <v>49</v>
      </c>
      <c r="S47" s="24">
        <v>19</v>
      </c>
      <c r="T47" s="24">
        <v>32</v>
      </c>
    </row>
    <row r="48" spans="18:20" ht="17.25" x14ac:dyDescent="0.3">
      <c r="R48" s="24">
        <v>50</v>
      </c>
      <c r="S48" s="24">
        <v>19</v>
      </c>
      <c r="T48" s="24">
        <v>33</v>
      </c>
    </row>
    <row r="49" spans="1:20" ht="17.25" x14ac:dyDescent="0.3">
      <c r="R49" s="24">
        <v>51</v>
      </c>
      <c r="S49" s="24">
        <v>20</v>
      </c>
      <c r="T49" s="24">
        <v>33</v>
      </c>
    </row>
    <row r="50" spans="1:20" ht="17.25" x14ac:dyDescent="0.3">
      <c r="R50" s="24">
        <v>52</v>
      </c>
      <c r="S50" s="24">
        <v>20</v>
      </c>
      <c r="T50" s="24">
        <v>34</v>
      </c>
    </row>
    <row r="51" spans="1:20" ht="17.25" x14ac:dyDescent="0.3">
      <c r="R51" s="24">
        <v>53</v>
      </c>
      <c r="S51" s="24">
        <v>21</v>
      </c>
      <c r="T51" s="24">
        <v>34</v>
      </c>
    </row>
    <row r="52" spans="1:20" ht="18" thickBot="1" x14ac:dyDescent="0.35">
      <c r="R52" s="24">
        <v>54</v>
      </c>
      <c r="S52" s="24">
        <v>21</v>
      </c>
      <c r="T52" s="24">
        <v>35</v>
      </c>
    </row>
    <row r="53" spans="1:20" ht="17.25" x14ac:dyDescent="0.3">
      <c r="A53" s="638" t="s">
        <v>222</v>
      </c>
      <c r="B53" s="646"/>
      <c r="C53" s="646"/>
      <c r="D53" s="646"/>
      <c r="E53" s="646"/>
      <c r="F53" s="646"/>
      <c r="G53" s="646"/>
      <c r="H53" s="646"/>
      <c r="I53" s="646"/>
      <c r="J53" s="646"/>
      <c r="K53" s="646"/>
      <c r="L53" s="646"/>
      <c r="M53" s="646"/>
      <c r="N53" s="646"/>
      <c r="O53" s="646"/>
      <c r="P53" s="647"/>
      <c r="R53" s="24">
        <v>55</v>
      </c>
      <c r="S53" s="24">
        <v>22</v>
      </c>
      <c r="T53" s="24">
        <v>35</v>
      </c>
    </row>
    <row r="54" spans="1:20" ht="18" thickBot="1" x14ac:dyDescent="0.35">
      <c r="A54" s="648"/>
      <c r="B54" s="649"/>
      <c r="C54" s="649"/>
      <c r="D54" s="649"/>
      <c r="E54" s="649"/>
      <c r="F54" s="649"/>
      <c r="G54" s="649"/>
      <c r="H54" s="649"/>
      <c r="I54" s="649"/>
      <c r="J54" s="649"/>
      <c r="K54" s="649"/>
      <c r="L54" s="649"/>
      <c r="M54" s="649"/>
      <c r="N54" s="649"/>
      <c r="O54" s="649"/>
      <c r="P54" s="650"/>
      <c r="R54" s="24">
        <v>56</v>
      </c>
      <c r="S54" s="24">
        <v>22</v>
      </c>
      <c r="T54" s="24">
        <v>36</v>
      </c>
    </row>
    <row r="55" spans="1:20" ht="17.25" x14ac:dyDescent="0.3">
      <c r="R55" s="24">
        <v>57</v>
      </c>
      <c r="S55" s="24">
        <v>23</v>
      </c>
      <c r="T55" s="24">
        <v>36</v>
      </c>
    </row>
    <row r="56" spans="1:20" ht="17.25" x14ac:dyDescent="0.3">
      <c r="R56" s="24">
        <v>58</v>
      </c>
      <c r="S56" s="24">
        <v>23</v>
      </c>
      <c r="T56" s="24">
        <v>37</v>
      </c>
    </row>
    <row r="57" spans="1:20" ht="17.25" x14ac:dyDescent="0.3">
      <c r="R57" s="24">
        <v>59</v>
      </c>
      <c r="S57" s="24">
        <v>24</v>
      </c>
      <c r="T57" s="24">
        <v>38</v>
      </c>
    </row>
    <row r="58" spans="1:20" ht="18" thickBot="1" x14ac:dyDescent="0.35">
      <c r="R58" s="25">
        <v>60</v>
      </c>
      <c r="S58" s="25">
        <v>24</v>
      </c>
      <c r="T58" s="25">
        <v>38</v>
      </c>
    </row>
  </sheetData>
  <sheetProtection password="918C" sheet="1" objects="1" scenarios="1"/>
  <mergeCells count="7">
    <mergeCell ref="A16:P26"/>
    <mergeCell ref="A53:P54"/>
    <mergeCell ref="R3:R7"/>
    <mergeCell ref="S3:S7"/>
    <mergeCell ref="T3:T7"/>
    <mergeCell ref="A3:H13"/>
    <mergeCell ref="I3:P13"/>
  </mergeCells>
  <pageMargins left="0.25" right="0.25" top="0.75" bottom="0.75" header="0.3" footer="0.3"/>
  <pageSetup scale="52"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1"/>
  </sheetPr>
  <dimension ref="A1:O327"/>
  <sheetViews>
    <sheetView workbookViewId="0">
      <pane ySplit="2" topLeftCell="A3" activePane="bottomLeft" state="frozen"/>
      <selection pane="bottomLeft" activeCell="F13" sqref="F13"/>
    </sheetView>
  </sheetViews>
  <sheetFormatPr defaultRowHeight="15" x14ac:dyDescent="0.25"/>
  <cols>
    <col min="1" max="1" width="14.85546875" bestFit="1" customWidth="1"/>
    <col min="2" max="2" width="10.28515625" bestFit="1" customWidth="1"/>
    <col min="3" max="3" width="16.85546875" bestFit="1" customWidth="1"/>
    <col min="4" max="4" width="16.5703125" bestFit="1" customWidth="1"/>
    <col min="5" max="5" width="16.5703125" style="13" customWidth="1"/>
    <col min="6" max="6" width="10.5703125" style="74" bestFit="1" customWidth="1"/>
    <col min="7" max="8" width="10.5703125" style="74" customWidth="1"/>
    <col min="9" max="9" width="30.7109375" customWidth="1"/>
    <col min="10" max="10" width="11.28515625" bestFit="1" customWidth="1"/>
    <col min="11" max="11" width="11" style="12" bestFit="1" customWidth="1"/>
    <col min="12" max="12" width="10.7109375" bestFit="1" customWidth="1"/>
    <col min="13" max="13" width="25.7109375" customWidth="1"/>
  </cols>
  <sheetData>
    <row r="1" spans="1:15" s="152" customFormat="1" ht="21" x14ac:dyDescent="0.35">
      <c r="A1" s="150" t="s">
        <v>208</v>
      </c>
      <c r="K1" s="151"/>
    </row>
    <row r="2" spans="1:15" s="15" customFormat="1" x14ac:dyDescent="0.25">
      <c r="A2" s="15" t="s">
        <v>18</v>
      </c>
      <c r="B2" s="15" t="s">
        <v>4</v>
      </c>
      <c r="C2" s="15" t="s">
        <v>19</v>
      </c>
      <c r="D2" s="15" t="s">
        <v>16</v>
      </c>
      <c r="E2" s="15" t="s">
        <v>56</v>
      </c>
      <c r="F2" s="15" t="s">
        <v>112</v>
      </c>
      <c r="G2" s="344" t="s">
        <v>288</v>
      </c>
      <c r="H2" s="344" t="s">
        <v>289</v>
      </c>
      <c r="I2" s="15" t="s">
        <v>176</v>
      </c>
      <c r="J2" s="15" t="s">
        <v>23</v>
      </c>
      <c r="K2" s="18" t="s">
        <v>21</v>
      </c>
      <c r="L2" s="15" t="s">
        <v>20</v>
      </c>
      <c r="M2" s="15" t="s">
        <v>22</v>
      </c>
    </row>
    <row r="3" spans="1:15" ht="15.75" x14ac:dyDescent="0.25">
      <c r="A3" t="s">
        <v>15</v>
      </c>
      <c r="B3" t="s">
        <v>5</v>
      </c>
      <c r="C3" s="14" t="s">
        <v>179</v>
      </c>
      <c r="D3" t="s">
        <v>6</v>
      </c>
      <c r="E3" s="19" t="s">
        <v>53</v>
      </c>
      <c r="F3" s="73" t="s">
        <v>291</v>
      </c>
      <c r="G3" s="74" t="s">
        <v>287</v>
      </c>
      <c r="H3" s="74" t="s">
        <v>290</v>
      </c>
      <c r="I3" t="s">
        <v>103</v>
      </c>
      <c r="J3">
        <v>1</v>
      </c>
      <c r="K3" s="12">
        <f>Home!B6</f>
        <v>43132</v>
      </c>
      <c r="L3" t="str">
        <f>TEXT($K3,"mmm yyyy")</f>
        <v>Feb 2018</v>
      </c>
      <c r="M3" t="str">
        <f t="array" ref="M3">IFERROR(INDEX(Tbl_ResidentData[Resident Name '[last, first']],MATCH(ROWS(ResidentData!A$6:$A6),COUNTIF(Tbl_ResidentData[Resident Name '[last, first']],"&lt;="&amp;Tbl_ResidentData[Resident Name '[last, first']]),0)),"")</f>
        <v/>
      </c>
      <c r="O3" s="13"/>
    </row>
    <row r="4" spans="1:15" ht="15.75" x14ac:dyDescent="0.25">
      <c r="A4" t="s">
        <v>7</v>
      </c>
      <c r="B4" t="s">
        <v>8</v>
      </c>
      <c r="C4" s="14" t="s">
        <v>180</v>
      </c>
      <c r="D4" t="s">
        <v>17</v>
      </c>
      <c r="E4" s="19" t="s">
        <v>54</v>
      </c>
      <c r="F4" s="73" t="s">
        <v>228</v>
      </c>
      <c r="G4" s="73" t="s">
        <v>228</v>
      </c>
      <c r="H4" s="73" t="s">
        <v>228</v>
      </c>
      <c r="I4" t="s">
        <v>104</v>
      </c>
      <c r="J4">
        <v>2</v>
      </c>
      <c r="K4" s="12">
        <f>DATE(YEAR($K3),MONTH($K3)+1,DAY($K3))</f>
        <v>43160</v>
      </c>
      <c r="L4" s="13" t="str">
        <f t="shared" ref="L4:L26" si="0">TEXT($K4,"mmm yyyy")</f>
        <v>Mar 2018</v>
      </c>
      <c r="M4" s="43" t="str">
        <f t="array" ref="M4">IFERROR(INDEX(Tbl_ResidentData[Resident Name '[last, first']],MATCH(ROWS(ResidentData!A$6:$A7),COUNTIF(Tbl_ResidentData[Resident Name '[last, first']],"&lt;="&amp;Tbl_ResidentData[Resident Name '[last, first']]),0)),"")</f>
        <v/>
      </c>
    </row>
    <row r="5" spans="1:15" x14ac:dyDescent="0.25">
      <c r="C5" s="14" t="s">
        <v>181</v>
      </c>
      <c r="D5" t="s">
        <v>9</v>
      </c>
      <c r="E5" s="19" t="s">
        <v>55</v>
      </c>
      <c r="I5" t="s">
        <v>105</v>
      </c>
      <c r="J5" s="43">
        <v>3</v>
      </c>
      <c r="K5" s="12">
        <f t="shared" ref="K5:K26" si="1">DATE(YEAR($K4),MONTH($K4)+1,DAY($K4))</f>
        <v>43191</v>
      </c>
      <c r="L5" s="13" t="str">
        <f t="shared" si="0"/>
        <v>Apr 2018</v>
      </c>
      <c r="M5" s="43" t="str">
        <f t="array" ref="M5">IFERROR(INDEX(Tbl_ResidentData[Resident Name '[last, first']],MATCH(ROWS(ResidentData!A$6:$A8),COUNTIF(Tbl_ResidentData[Resident Name '[last, first']],"&lt;="&amp;Tbl_ResidentData[Resident Name '[last, first']]),0)),"")</f>
        <v/>
      </c>
    </row>
    <row r="6" spans="1:15" x14ac:dyDescent="0.25">
      <c r="C6" s="14" t="s">
        <v>182</v>
      </c>
      <c r="D6" t="s">
        <v>10</v>
      </c>
      <c r="E6" s="20" t="s">
        <v>28</v>
      </c>
      <c r="I6" t="s">
        <v>295</v>
      </c>
      <c r="J6" s="43">
        <v>4</v>
      </c>
      <c r="K6" s="12">
        <f t="shared" si="1"/>
        <v>43221</v>
      </c>
      <c r="L6" s="13" t="str">
        <f t="shared" si="0"/>
        <v>May 2018</v>
      </c>
      <c r="M6" s="43" t="str">
        <f t="array" ref="M6">IFERROR(INDEX(Tbl_ResidentData[Resident Name '[last, first']],MATCH(ROWS(ResidentData!A$6:$A9),COUNTIF(Tbl_ResidentData[Resident Name '[last, first']],"&lt;="&amp;Tbl_ResidentData[Resident Name '[last, first']]),0)),"")</f>
        <v/>
      </c>
    </row>
    <row r="7" spans="1:15" x14ac:dyDescent="0.25">
      <c r="C7" s="14" t="s">
        <v>183</v>
      </c>
      <c r="D7" t="s">
        <v>114</v>
      </c>
      <c r="I7" t="s">
        <v>106</v>
      </c>
      <c r="J7" s="43">
        <v>5</v>
      </c>
      <c r="K7" s="12">
        <f t="shared" si="1"/>
        <v>43252</v>
      </c>
      <c r="L7" s="13" t="str">
        <f t="shared" si="0"/>
        <v>Jun 2018</v>
      </c>
      <c r="M7" s="43" t="str">
        <f t="array" ref="M7">IFERROR(INDEX(Tbl_ResidentData[Resident Name '[last, first']],MATCH(ROWS(ResidentData!A$6:$A10),COUNTIF(Tbl_ResidentData[Resident Name '[last, first']],"&lt;="&amp;Tbl_ResidentData[Resident Name '[last, first']]),0)),"")</f>
        <v/>
      </c>
    </row>
    <row r="8" spans="1:15" x14ac:dyDescent="0.25">
      <c r="C8" s="14" t="s">
        <v>178</v>
      </c>
      <c r="D8" t="s">
        <v>268</v>
      </c>
      <c r="I8" t="s">
        <v>107</v>
      </c>
      <c r="J8" s="43">
        <v>6</v>
      </c>
      <c r="K8" s="12">
        <f t="shared" si="1"/>
        <v>43282</v>
      </c>
      <c r="L8" s="13" t="str">
        <f t="shared" si="0"/>
        <v>Jul 2018</v>
      </c>
      <c r="M8" s="43" t="str">
        <f t="array" ref="M8">IFERROR(INDEX(Tbl_ResidentData[Resident Name '[last, first']],MATCH(ROWS(ResidentData!A$6:$A11),COUNTIF(Tbl_ResidentData[Resident Name '[last, first']],"&lt;="&amp;Tbl_ResidentData[Resident Name '[last, first']]),0)),"")</f>
        <v/>
      </c>
    </row>
    <row r="9" spans="1:15" x14ac:dyDescent="0.25">
      <c r="C9" s="81"/>
      <c r="I9" s="343" t="s">
        <v>201</v>
      </c>
      <c r="J9" s="43">
        <v>7</v>
      </c>
      <c r="K9" s="12">
        <f t="shared" si="1"/>
        <v>43313</v>
      </c>
      <c r="L9" s="13" t="str">
        <f t="shared" si="0"/>
        <v>Aug 2018</v>
      </c>
      <c r="M9" s="43" t="str">
        <f t="array" ref="M9">IFERROR(INDEX(Tbl_ResidentData[Resident Name '[last, first']],MATCH(ROWS(ResidentData!A$6:$A12),COUNTIF(Tbl_ResidentData[Resident Name '[last, first']],"&lt;="&amp;Tbl_ResidentData[Resident Name '[last, first']]),0)),"")</f>
        <v/>
      </c>
    </row>
    <row r="10" spans="1:15" x14ac:dyDescent="0.25">
      <c r="C10" s="43"/>
      <c r="I10" s="43"/>
      <c r="J10" s="43">
        <v>8</v>
      </c>
      <c r="K10" s="12">
        <f t="shared" si="1"/>
        <v>43344</v>
      </c>
      <c r="L10" s="13" t="str">
        <f t="shared" si="0"/>
        <v>Sep 2018</v>
      </c>
      <c r="M10" s="43" t="str">
        <f t="array" ref="M10">IFERROR(INDEX(Tbl_ResidentData[Resident Name '[last, first']],MATCH(ROWS(ResidentData!A$6:$A13),COUNTIF(Tbl_ResidentData[Resident Name '[last, first']],"&lt;="&amp;Tbl_ResidentData[Resident Name '[last, first']]),0)),"")</f>
        <v/>
      </c>
    </row>
    <row r="11" spans="1:15" x14ac:dyDescent="0.25">
      <c r="I11" s="43"/>
      <c r="J11" s="43">
        <v>9</v>
      </c>
      <c r="K11" s="12">
        <f t="shared" si="1"/>
        <v>43374</v>
      </c>
      <c r="L11" s="13" t="str">
        <f t="shared" si="0"/>
        <v>Oct 2018</v>
      </c>
      <c r="M11" s="43" t="str">
        <f t="array" ref="M11">IFERROR(INDEX(Tbl_ResidentData[Resident Name '[last, first']],MATCH(ROWS(ResidentData!A$6:$A14),COUNTIF(Tbl_ResidentData[Resident Name '[last, first']],"&lt;="&amp;Tbl_ResidentData[Resident Name '[last, first']]),0)),"")</f>
        <v/>
      </c>
    </row>
    <row r="12" spans="1:15" x14ac:dyDescent="0.25">
      <c r="I12" s="43"/>
      <c r="J12" s="43">
        <v>10</v>
      </c>
      <c r="K12" s="12">
        <f t="shared" si="1"/>
        <v>43405</v>
      </c>
      <c r="L12" s="13" t="str">
        <f t="shared" si="0"/>
        <v>Nov 2018</v>
      </c>
      <c r="M12" s="43" t="str">
        <f t="array" ref="M12">IFERROR(INDEX(Tbl_ResidentData[Resident Name '[last, first']],MATCH(ROWS(ResidentData!A$6:$A15),COUNTIF(Tbl_ResidentData[Resident Name '[last, first']],"&lt;="&amp;Tbl_ResidentData[Resident Name '[last, first']]),0)),"")</f>
        <v/>
      </c>
    </row>
    <row r="13" spans="1:15" x14ac:dyDescent="0.25">
      <c r="J13" s="43">
        <v>11</v>
      </c>
      <c r="K13" s="12">
        <f t="shared" si="1"/>
        <v>43435</v>
      </c>
      <c r="L13" s="13" t="str">
        <f t="shared" si="0"/>
        <v>Dec 2018</v>
      </c>
      <c r="M13" s="43" t="str">
        <f t="array" ref="M13">IFERROR(INDEX(Tbl_ResidentData[Resident Name '[last, first']],MATCH(ROWS(ResidentData!A$6:$A16),COUNTIF(Tbl_ResidentData[Resident Name '[last, first']],"&lt;="&amp;Tbl_ResidentData[Resident Name '[last, first']]),0)),"")</f>
        <v/>
      </c>
    </row>
    <row r="14" spans="1:15" x14ac:dyDescent="0.25">
      <c r="J14" s="43">
        <v>12</v>
      </c>
      <c r="K14" s="12">
        <f t="shared" si="1"/>
        <v>43466</v>
      </c>
      <c r="L14" s="13" t="str">
        <f t="shared" si="0"/>
        <v>Jan 2019</v>
      </c>
      <c r="M14" s="43" t="str">
        <f t="array" ref="M14">IFERROR(INDEX(Tbl_ResidentData[Resident Name '[last, first']],MATCH(ROWS(ResidentData!A$6:$A17),COUNTIF(Tbl_ResidentData[Resident Name '[last, first']],"&lt;="&amp;Tbl_ResidentData[Resident Name '[last, first']]),0)),"")</f>
        <v/>
      </c>
    </row>
    <row r="15" spans="1:15" x14ac:dyDescent="0.25">
      <c r="J15" s="43">
        <v>13</v>
      </c>
      <c r="K15" s="12">
        <f t="shared" si="1"/>
        <v>43497</v>
      </c>
      <c r="L15" s="13" t="str">
        <f t="shared" si="0"/>
        <v>Feb 2019</v>
      </c>
      <c r="M15" s="43" t="str">
        <f t="array" ref="M15">IFERROR(INDEX(Tbl_ResidentData[Resident Name '[last, first']],MATCH(ROWS(ResidentData!A$6:$A18),COUNTIF(Tbl_ResidentData[Resident Name '[last, first']],"&lt;="&amp;Tbl_ResidentData[Resident Name '[last, first']]),0)),"")</f>
        <v/>
      </c>
    </row>
    <row r="16" spans="1:15" x14ac:dyDescent="0.25">
      <c r="J16" s="43">
        <v>14</v>
      </c>
      <c r="K16" s="12">
        <f t="shared" si="1"/>
        <v>43525</v>
      </c>
      <c r="L16" s="13" t="str">
        <f t="shared" si="0"/>
        <v>Mar 2019</v>
      </c>
      <c r="M16" s="43" t="str">
        <f t="array" ref="M16">IFERROR(INDEX(Tbl_ResidentData[Resident Name '[last, first']],MATCH(ROWS(ResidentData!A$6:$A19),COUNTIF(Tbl_ResidentData[Resident Name '[last, first']],"&lt;="&amp;Tbl_ResidentData[Resident Name '[last, first']]),0)),"")</f>
        <v/>
      </c>
    </row>
    <row r="17" spans="10:13" x14ac:dyDescent="0.25">
      <c r="J17" s="43">
        <v>15</v>
      </c>
      <c r="K17" s="12">
        <f t="shared" si="1"/>
        <v>43556</v>
      </c>
      <c r="L17" s="13" t="str">
        <f t="shared" si="0"/>
        <v>Apr 2019</v>
      </c>
      <c r="M17" s="43" t="str">
        <f t="array" ref="M17">IFERROR(INDEX(Tbl_ResidentData[Resident Name '[last, first']],MATCH(ROWS(ResidentData!A$6:$A20),COUNTIF(Tbl_ResidentData[Resident Name '[last, first']],"&lt;="&amp;Tbl_ResidentData[Resident Name '[last, first']]),0)),"")</f>
        <v/>
      </c>
    </row>
    <row r="18" spans="10:13" x14ac:dyDescent="0.25">
      <c r="J18" s="43">
        <v>16</v>
      </c>
      <c r="K18" s="12">
        <f t="shared" si="1"/>
        <v>43586</v>
      </c>
      <c r="L18" s="13" t="str">
        <f t="shared" si="0"/>
        <v>May 2019</v>
      </c>
      <c r="M18" s="43" t="str">
        <f t="array" ref="M18">IFERROR(INDEX(Tbl_ResidentData[Resident Name '[last, first']],MATCH(ROWS(ResidentData!A$6:$A21),COUNTIF(Tbl_ResidentData[Resident Name '[last, first']],"&lt;="&amp;Tbl_ResidentData[Resident Name '[last, first']]),0)),"")</f>
        <v/>
      </c>
    </row>
    <row r="19" spans="10:13" x14ac:dyDescent="0.25">
      <c r="J19" s="43">
        <v>17</v>
      </c>
      <c r="K19" s="12">
        <f t="shared" si="1"/>
        <v>43617</v>
      </c>
      <c r="L19" s="13" t="str">
        <f t="shared" si="0"/>
        <v>Jun 2019</v>
      </c>
      <c r="M19" s="43" t="str">
        <f t="array" ref="M19">IFERROR(INDEX(Tbl_ResidentData[Resident Name '[last, first']],MATCH(ROWS(ResidentData!A$6:$A22),COUNTIF(Tbl_ResidentData[Resident Name '[last, first']],"&lt;="&amp;Tbl_ResidentData[Resident Name '[last, first']]),0)),"")</f>
        <v/>
      </c>
    </row>
    <row r="20" spans="10:13" x14ac:dyDescent="0.25">
      <c r="J20" s="43">
        <v>18</v>
      </c>
      <c r="K20" s="12">
        <f t="shared" si="1"/>
        <v>43647</v>
      </c>
      <c r="L20" s="13" t="str">
        <f t="shared" si="0"/>
        <v>Jul 2019</v>
      </c>
      <c r="M20" s="43" t="str">
        <f t="array" ref="M20">IFERROR(INDEX(Tbl_ResidentData[Resident Name '[last, first']],MATCH(ROWS(ResidentData!A$6:$A23),COUNTIF(Tbl_ResidentData[Resident Name '[last, first']],"&lt;="&amp;Tbl_ResidentData[Resident Name '[last, first']]),0)),"")</f>
        <v/>
      </c>
    </row>
    <row r="21" spans="10:13" x14ac:dyDescent="0.25">
      <c r="J21" s="43">
        <v>19</v>
      </c>
      <c r="K21" s="12">
        <f t="shared" si="1"/>
        <v>43678</v>
      </c>
      <c r="L21" s="13" t="str">
        <f t="shared" si="0"/>
        <v>Aug 2019</v>
      </c>
      <c r="M21" s="43" t="str">
        <f t="array" ref="M21">IFERROR(INDEX(Tbl_ResidentData[Resident Name '[last, first']],MATCH(ROWS(ResidentData!A$6:$A24),COUNTIF(Tbl_ResidentData[Resident Name '[last, first']],"&lt;="&amp;Tbl_ResidentData[Resident Name '[last, first']]),0)),"")</f>
        <v/>
      </c>
    </row>
    <row r="22" spans="10:13" x14ac:dyDescent="0.25">
      <c r="J22" s="43">
        <v>20</v>
      </c>
      <c r="K22" s="12">
        <f t="shared" si="1"/>
        <v>43709</v>
      </c>
      <c r="L22" s="13" t="str">
        <f t="shared" si="0"/>
        <v>Sep 2019</v>
      </c>
      <c r="M22" s="43" t="str">
        <f t="array" ref="M22">IFERROR(INDEX(Tbl_ResidentData[Resident Name '[last, first']],MATCH(ROWS(ResidentData!A$6:$A25),COUNTIF(Tbl_ResidentData[Resident Name '[last, first']],"&lt;="&amp;Tbl_ResidentData[Resident Name '[last, first']]),0)),"")</f>
        <v/>
      </c>
    </row>
    <row r="23" spans="10:13" x14ac:dyDescent="0.25">
      <c r="J23" s="43">
        <v>21</v>
      </c>
      <c r="K23" s="12">
        <f t="shared" si="1"/>
        <v>43739</v>
      </c>
      <c r="L23" s="13" t="str">
        <f t="shared" si="0"/>
        <v>Oct 2019</v>
      </c>
      <c r="M23" s="43" t="str">
        <f t="array" ref="M23">IFERROR(INDEX(Tbl_ResidentData[Resident Name '[last, first']],MATCH(ROWS(ResidentData!A$6:$A26),COUNTIF(Tbl_ResidentData[Resident Name '[last, first']],"&lt;="&amp;Tbl_ResidentData[Resident Name '[last, first']]),0)),"")</f>
        <v/>
      </c>
    </row>
    <row r="24" spans="10:13" x14ac:dyDescent="0.25">
      <c r="J24" s="43">
        <v>22</v>
      </c>
      <c r="K24" s="12">
        <f t="shared" si="1"/>
        <v>43770</v>
      </c>
      <c r="L24" s="13" t="str">
        <f t="shared" si="0"/>
        <v>Nov 2019</v>
      </c>
      <c r="M24" s="43" t="str">
        <f t="array" ref="M24">IFERROR(INDEX(Tbl_ResidentData[Resident Name '[last, first']],MATCH(ROWS(ResidentData!A$6:$A27),COUNTIF(Tbl_ResidentData[Resident Name '[last, first']],"&lt;="&amp;Tbl_ResidentData[Resident Name '[last, first']]),0)),"")</f>
        <v/>
      </c>
    </row>
    <row r="25" spans="10:13" x14ac:dyDescent="0.25">
      <c r="J25" s="43">
        <v>23</v>
      </c>
      <c r="K25" s="12">
        <f t="shared" si="1"/>
        <v>43800</v>
      </c>
      <c r="L25" s="13" t="str">
        <f t="shared" si="0"/>
        <v>Dec 2019</v>
      </c>
      <c r="M25" s="43" t="str">
        <f t="array" ref="M25">IFERROR(INDEX(Tbl_ResidentData[Resident Name '[last, first']],MATCH(ROWS(ResidentData!A$6:$A28),COUNTIF(Tbl_ResidentData[Resident Name '[last, first']],"&lt;="&amp;Tbl_ResidentData[Resident Name '[last, first']]),0)),"")</f>
        <v/>
      </c>
    </row>
    <row r="26" spans="10:13" x14ac:dyDescent="0.25">
      <c r="J26" s="43">
        <v>24</v>
      </c>
      <c r="K26" s="12">
        <f t="shared" si="1"/>
        <v>43831</v>
      </c>
      <c r="L26" s="13" t="str">
        <f t="shared" si="0"/>
        <v>Jan 2020</v>
      </c>
      <c r="M26" s="43" t="str">
        <f t="array" ref="M26">IFERROR(INDEX(Tbl_ResidentData[Resident Name '[last, first']],MATCH(ROWS(ResidentData!A$6:$A29),COUNTIF(Tbl_ResidentData[Resident Name '[last, first']],"&lt;="&amp;Tbl_ResidentData[Resident Name '[last, first']]),0)),"")</f>
        <v/>
      </c>
    </row>
    <row r="27" spans="10:13" x14ac:dyDescent="0.25">
      <c r="J27" s="43"/>
      <c r="L27" s="13"/>
      <c r="M27" s="43" t="str">
        <f t="array" ref="M27">IFERROR(INDEX(Tbl_ResidentData[Resident Name '[last, first']],MATCH(ROWS(ResidentData!A$6:$A30),COUNTIF(Tbl_ResidentData[Resident Name '[last, first']],"&lt;="&amp;Tbl_ResidentData[Resident Name '[last, first']]),0)),"")</f>
        <v/>
      </c>
    </row>
    <row r="28" spans="10:13" x14ac:dyDescent="0.25">
      <c r="J28" s="13"/>
      <c r="M28" s="43" t="str">
        <f t="array" ref="M28">IFERROR(INDEX(Tbl_ResidentData[Resident Name '[last, first']],MATCH(ROWS(ResidentData!A$6:$A31),COUNTIF(Tbl_ResidentData[Resident Name '[last, first']],"&lt;="&amp;Tbl_ResidentData[Resident Name '[last, first']]),0)),"")</f>
        <v/>
      </c>
    </row>
    <row r="29" spans="10:13" x14ac:dyDescent="0.25">
      <c r="J29" s="13"/>
      <c r="M29" s="43" t="str">
        <f t="array" ref="M29">IFERROR(INDEX(Tbl_ResidentData[Resident Name '[last, first']],MATCH(ROWS(ResidentData!A$6:$A32),COUNTIF(Tbl_ResidentData[Resident Name '[last, first']],"&lt;="&amp;Tbl_ResidentData[Resident Name '[last, first']]),0)),"")</f>
        <v/>
      </c>
    </row>
    <row r="30" spans="10:13" x14ac:dyDescent="0.25">
      <c r="J30" s="13"/>
      <c r="M30" s="43" t="str">
        <f t="array" ref="M30">IFERROR(INDEX(Tbl_ResidentData[Resident Name '[last, first']],MATCH(ROWS(ResidentData!A$6:$A33),COUNTIF(Tbl_ResidentData[Resident Name '[last, first']],"&lt;="&amp;Tbl_ResidentData[Resident Name '[last, first']]),0)),"")</f>
        <v/>
      </c>
    </row>
    <row r="31" spans="10:13" x14ac:dyDescent="0.25">
      <c r="J31" s="13"/>
      <c r="M31" s="43" t="str">
        <f t="array" ref="M31">IFERROR(INDEX(Tbl_ResidentData[Resident Name '[last, first']],MATCH(ROWS(ResidentData!A$6:$A34),COUNTIF(Tbl_ResidentData[Resident Name '[last, first']],"&lt;="&amp;Tbl_ResidentData[Resident Name '[last, first']]),0)),"")</f>
        <v/>
      </c>
    </row>
    <row r="32" spans="10:13" x14ac:dyDescent="0.25">
      <c r="J32" s="13"/>
      <c r="M32" s="43" t="str">
        <f t="array" ref="M32">IFERROR(INDEX(Tbl_ResidentData[Resident Name '[last, first']],MATCH(ROWS(ResidentData!A$6:$A35),COUNTIF(Tbl_ResidentData[Resident Name '[last, first']],"&lt;="&amp;Tbl_ResidentData[Resident Name '[last, first']]),0)),"")</f>
        <v/>
      </c>
    </row>
    <row r="33" spans="10:13" x14ac:dyDescent="0.25">
      <c r="J33" s="13"/>
      <c r="M33" s="43" t="str">
        <f t="array" ref="M33">IFERROR(INDEX(Tbl_ResidentData[Resident Name '[last, first']],MATCH(ROWS(ResidentData!A$6:$A36),COUNTIF(Tbl_ResidentData[Resident Name '[last, first']],"&lt;="&amp;Tbl_ResidentData[Resident Name '[last, first']]),0)),"")</f>
        <v/>
      </c>
    </row>
    <row r="34" spans="10:13" x14ac:dyDescent="0.25">
      <c r="J34" s="13"/>
      <c r="M34" s="43" t="str">
        <f t="array" ref="M34">IFERROR(INDEX(Tbl_ResidentData[Resident Name '[last, first']],MATCH(ROWS(ResidentData!A$6:$A37),COUNTIF(Tbl_ResidentData[Resident Name '[last, first']],"&lt;="&amp;Tbl_ResidentData[Resident Name '[last, first']]),0)),"")</f>
        <v/>
      </c>
    </row>
    <row r="35" spans="10:13" x14ac:dyDescent="0.25">
      <c r="J35" s="13"/>
      <c r="M35" s="43" t="str">
        <f t="array" ref="M35">IFERROR(INDEX(Tbl_ResidentData[Resident Name '[last, first']],MATCH(ROWS(ResidentData!A$6:$A38),COUNTIF(Tbl_ResidentData[Resident Name '[last, first']],"&lt;="&amp;Tbl_ResidentData[Resident Name '[last, first']]),0)),"")</f>
        <v/>
      </c>
    </row>
    <row r="36" spans="10:13" x14ac:dyDescent="0.25">
      <c r="M36" s="43" t="str">
        <f t="array" ref="M36">IFERROR(INDEX(Tbl_ResidentData[Resident Name '[last, first']],MATCH(ROWS(ResidentData!A$6:$A39),COUNTIF(Tbl_ResidentData[Resident Name '[last, first']],"&lt;="&amp;Tbl_ResidentData[Resident Name '[last, first']]),0)),"")</f>
        <v/>
      </c>
    </row>
    <row r="37" spans="10:13" x14ac:dyDescent="0.25">
      <c r="M37" s="43" t="str">
        <f t="array" ref="M37">IFERROR(INDEX(Tbl_ResidentData[Resident Name '[last, first']],MATCH(ROWS(ResidentData!A$6:$A40),COUNTIF(Tbl_ResidentData[Resident Name '[last, first']],"&lt;="&amp;Tbl_ResidentData[Resident Name '[last, first']]),0)),"")</f>
        <v/>
      </c>
    </row>
    <row r="38" spans="10:13" x14ac:dyDescent="0.25">
      <c r="M38" s="43" t="str">
        <f t="array" ref="M38">IFERROR(INDEX(Tbl_ResidentData[Resident Name '[last, first']],MATCH(ROWS(ResidentData!A$6:$A41),COUNTIF(Tbl_ResidentData[Resident Name '[last, first']],"&lt;="&amp;Tbl_ResidentData[Resident Name '[last, first']]),0)),"")</f>
        <v/>
      </c>
    </row>
    <row r="39" spans="10:13" x14ac:dyDescent="0.25">
      <c r="M39" s="43" t="str">
        <f t="array" ref="M39">IFERROR(INDEX(Tbl_ResidentData[Resident Name '[last, first']],MATCH(ROWS(ResidentData!A$6:$A42),COUNTIF(Tbl_ResidentData[Resident Name '[last, first']],"&lt;="&amp;Tbl_ResidentData[Resident Name '[last, first']]),0)),"")</f>
        <v/>
      </c>
    </row>
    <row r="40" spans="10:13" x14ac:dyDescent="0.25">
      <c r="M40" s="43" t="str">
        <f t="array" ref="M40">IFERROR(INDEX(Tbl_ResidentData[Resident Name '[last, first']],MATCH(ROWS(ResidentData!A$6:$A43),COUNTIF(Tbl_ResidentData[Resident Name '[last, first']],"&lt;="&amp;Tbl_ResidentData[Resident Name '[last, first']]),0)),"")</f>
        <v/>
      </c>
    </row>
    <row r="41" spans="10:13" x14ac:dyDescent="0.25">
      <c r="M41" s="43" t="str">
        <f t="array" ref="M41">IFERROR(INDEX(Tbl_ResidentData[Resident Name '[last, first']],MATCH(ROWS(ResidentData!A$6:$A44),COUNTIF(Tbl_ResidentData[Resident Name '[last, first']],"&lt;="&amp;Tbl_ResidentData[Resident Name '[last, first']]),0)),"")</f>
        <v/>
      </c>
    </row>
    <row r="42" spans="10:13" x14ac:dyDescent="0.25">
      <c r="M42" s="43" t="str">
        <f t="array" ref="M42">IFERROR(INDEX(Tbl_ResidentData[Resident Name '[last, first']],MATCH(ROWS(ResidentData!A$6:$A45),COUNTIF(Tbl_ResidentData[Resident Name '[last, first']],"&lt;="&amp;Tbl_ResidentData[Resident Name '[last, first']]),0)),"")</f>
        <v/>
      </c>
    </row>
    <row r="43" spans="10:13" x14ac:dyDescent="0.25">
      <c r="M43" s="43" t="str">
        <f t="array" ref="M43">IFERROR(INDEX(Tbl_ResidentData[Resident Name '[last, first']],MATCH(ROWS(ResidentData!A$6:$A46),COUNTIF(Tbl_ResidentData[Resident Name '[last, first']],"&lt;="&amp;Tbl_ResidentData[Resident Name '[last, first']]),0)),"")</f>
        <v/>
      </c>
    </row>
    <row r="44" spans="10:13" x14ac:dyDescent="0.25">
      <c r="M44" s="43" t="str">
        <f t="array" ref="M44">IFERROR(INDEX(Tbl_ResidentData[Resident Name '[last, first']],MATCH(ROWS(ResidentData!A$6:$A47),COUNTIF(Tbl_ResidentData[Resident Name '[last, first']],"&lt;="&amp;Tbl_ResidentData[Resident Name '[last, first']]),0)),"")</f>
        <v/>
      </c>
    </row>
    <row r="45" spans="10:13" x14ac:dyDescent="0.25">
      <c r="M45" s="43" t="str">
        <f t="array" ref="M45">IFERROR(INDEX(Tbl_ResidentData[Resident Name '[last, first']],MATCH(ROWS(ResidentData!A$6:$A48),COUNTIF(Tbl_ResidentData[Resident Name '[last, first']],"&lt;="&amp;Tbl_ResidentData[Resident Name '[last, first']]),0)),"")</f>
        <v/>
      </c>
    </row>
    <row r="46" spans="10:13" x14ac:dyDescent="0.25">
      <c r="M46" s="43" t="str">
        <f t="array" ref="M46">IFERROR(INDEX(Tbl_ResidentData[Resident Name '[last, first']],MATCH(ROWS(ResidentData!A$6:$A49),COUNTIF(Tbl_ResidentData[Resident Name '[last, first']],"&lt;="&amp;Tbl_ResidentData[Resident Name '[last, first']]),0)),"")</f>
        <v/>
      </c>
    </row>
    <row r="47" spans="10:13" x14ac:dyDescent="0.25">
      <c r="M47" s="43" t="str">
        <f t="array" ref="M47">IFERROR(INDEX(Tbl_ResidentData[Resident Name '[last, first']],MATCH(ROWS(ResidentData!A$6:$A50),COUNTIF(Tbl_ResidentData[Resident Name '[last, first']],"&lt;="&amp;Tbl_ResidentData[Resident Name '[last, first']]),0)),"")</f>
        <v/>
      </c>
    </row>
    <row r="48" spans="10:13" x14ac:dyDescent="0.25">
      <c r="M48" s="43" t="str">
        <f t="array" ref="M48">IFERROR(INDEX(Tbl_ResidentData[Resident Name '[last, first']],MATCH(ROWS(ResidentData!A$6:$A51),COUNTIF(Tbl_ResidentData[Resident Name '[last, first']],"&lt;="&amp;Tbl_ResidentData[Resident Name '[last, first']]),0)),"")</f>
        <v/>
      </c>
    </row>
    <row r="49" spans="13:13" x14ac:dyDescent="0.25">
      <c r="M49" s="43" t="str">
        <f t="array" ref="M49">IFERROR(INDEX(Tbl_ResidentData[Resident Name '[last, first']],MATCH(ROWS(ResidentData!A$6:$A52),COUNTIF(Tbl_ResidentData[Resident Name '[last, first']],"&lt;="&amp;Tbl_ResidentData[Resident Name '[last, first']]),0)),"")</f>
        <v/>
      </c>
    </row>
    <row r="50" spans="13:13" x14ac:dyDescent="0.25">
      <c r="M50" s="43" t="str">
        <f t="array" ref="M50">IFERROR(INDEX(Tbl_ResidentData[Resident Name '[last, first']],MATCH(ROWS(ResidentData!A$6:$A53),COUNTIF(Tbl_ResidentData[Resident Name '[last, first']],"&lt;="&amp;Tbl_ResidentData[Resident Name '[last, first']]),0)),"")</f>
        <v/>
      </c>
    </row>
    <row r="51" spans="13:13" x14ac:dyDescent="0.25">
      <c r="M51" s="43" t="str">
        <f t="array" ref="M51">IFERROR(INDEX(Tbl_ResidentData[Resident Name '[last, first']],MATCH(ROWS(ResidentData!A$6:$A54),COUNTIF(Tbl_ResidentData[Resident Name '[last, first']],"&lt;="&amp;Tbl_ResidentData[Resident Name '[last, first']]),0)),"")</f>
        <v/>
      </c>
    </row>
    <row r="52" spans="13:13" x14ac:dyDescent="0.25">
      <c r="M52" s="43" t="str">
        <f t="array" ref="M52">IFERROR(INDEX(Tbl_ResidentData[Resident Name '[last, first']],MATCH(ROWS(ResidentData!A$6:$A55),COUNTIF(Tbl_ResidentData[Resident Name '[last, first']],"&lt;="&amp;Tbl_ResidentData[Resident Name '[last, first']]),0)),"")</f>
        <v/>
      </c>
    </row>
    <row r="53" spans="13:13" x14ac:dyDescent="0.25">
      <c r="M53" s="43" t="str">
        <f t="array" ref="M53">IFERROR(INDEX(Tbl_ResidentData[Resident Name '[last, first']],MATCH(ROWS(ResidentData!A$6:$A56),COUNTIF(Tbl_ResidentData[Resident Name '[last, first']],"&lt;="&amp;Tbl_ResidentData[Resident Name '[last, first']]),0)),"")</f>
        <v/>
      </c>
    </row>
    <row r="54" spans="13:13" x14ac:dyDescent="0.25">
      <c r="M54" s="43" t="str">
        <f t="array" ref="M54">IFERROR(INDEX(Tbl_ResidentData[Resident Name '[last, first']],MATCH(ROWS(ResidentData!A$6:$A57),COUNTIF(Tbl_ResidentData[Resident Name '[last, first']],"&lt;="&amp;Tbl_ResidentData[Resident Name '[last, first']]),0)),"")</f>
        <v/>
      </c>
    </row>
    <row r="55" spans="13:13" x14ac:dyDescent="0.25">
      <c r="M55" s="43" t="str">
        <f t="array" ref="M55">IFERROR(INDEX(Tbl_ResidentData[Resident Name '[last, first']],MATCH(ROWS(ResidentData!A$6:$A58),COUNTIF(Tbl_ResidentData[Resident Name '[last, first']],"&lt;="&amp;Tbl_ResidentData[Resident Name '[last, first']]),0)),"")</f>
        <v/>
      </c>
    </row>
    <row r="56" spans="13:13" x14ac:dyDescent="0.25">
      <c r="M56" s="43" t="str">
        <f t="array" ref="M56">IFERROR(INDEX(Tbl_ResidentData[Resident Name '[last, first']],MATCH(ROWS(ResidentData!A$6:$A59),COUNTIF(Tbl_ResidentData[Resident Name '[last, first']],"&lt;="&amp;Tbl_ResidentData[Resident Name '[last, first']]),0)),"")</f>
        <v/>
      </c>
    </row>
    <row r="57" spans="13:13" x14ac:dyDescent="0.25">
      <c r="M57" s="43" t="str">
        <f t="array" ref="M57">IFERROR(INDEX(Tbl_ResidentData[Resident Name '[last, first']],MATCH(ROWS(ResidentData!A$6:$A60),COUNTIF(Tbl_ResidentData[Resident Name '[last, first']],"&lt;="&amp;Tbl_ResidentData[Resident Name '[last, first']]),0)),"")</f>
        <v/>
      </c>
    </row>
    <row r="58" spans="13:13" x14ac:dyDescent="0.25">
      <c r="M58" s="43" t="str">
        <f t="array" ref="M58">IFERROR(INDEX(Tbl_ResidentData[Resident Name '[last, first']],MATCH(ROWS(ResidentData!A$6:$A61),COUNTIF(Tbl_ResidentData[Resident Name '[last, first']],"&lt;="&amp;Tbl_ResidentData[Resident Name '[last, first']]),0)),"")</f>
        <v/>
      </c>
    </row>
    <row r="59" spans="13:13" x14ac:dyDescent="0.25">
      <c r="M59" s="43" t="str">
        <f t="array" ref="M59">IFERROR(INDEX(Tbl_ResidentData[Resident Name '[last, first']],MATCH(ROWS(ResidentData!A$6:$A62),COUNTIF(Tbl_ResidentData[Resident Name '[last, first']],"&lt;="&amp;Tbl_ResidentData[Resident Name '[last, first']]),0)),"")</f>
        <v/>
      </c>
    </row>
    <row r="60" spans="13:13" x14ac:dyDescent="0.25">
      <c r="M60" s="43" t="str">
        <f t="array" ref="M60">IFERROR(INDEX(Tbl_ResidentData[Resident Name '[last, first']],MATCH(ROWS(ResidentData!A$6:$A63),COUNTIF(Tbl_ResidentData[Resident Name '[last, first']],"&lt;="&amp;Tbl_ResidentData[Resident Name '[last, first']]),0)),"")</f>
        <v/>
      </c>
    </row>
    <row r="61" spans="13:13" x14ac:dyDescent="0.25">
      <c r="M61" s="43" t="str">
        <f t="array" ref="M61">IFERROR(INDEX(Tbl_ResidentData[Resident Name '[last, first']],MATCH(ROWS(ResidentData!A$6:$A64),COUNTIF(Tbl_ResidentData[Resident Name '[last, first']],"&lt;="&amp;Tbl_ResidentData[Resident Name '[last, first']]),0)),"")</f>
        <v/>
      </c>
    </row>
    <row r="62" spans="13:13" x14ac:dyDescent="0.25">
      <c r="M62" s="43" t="str">
        <f t="array" ref="M62">IFERROR(INDEX(Tbl_ResidentData[Resident Name '[last, first']],MATCH(ROWS(ResidentData!A$6:$A65),COUNTIF(Tbl_ResidentData[Resident Name '[last, first']],"&lt;="&amp;Tbl_ResidentData[Resident Name '[last, first']]),0)),"")</f>
        <v/>
      </c>
    </row>
    <row r="63" spans="13:13" x14ac:dyDescent="0.25">
      <c r="M63" s="43" t="str">
        <f t="array" ref="M63">IFERROR(INDEX(Tbl_ResidentData[Resident Name '[last, first']],MATCH(ROWS(ResidentData!A$6:$A66),COUNTIF(Tbl_ResidentData[Resident Name '[last, first']],"&lt;="&amp;Tbl_ResidentData[Resident Name '[last, first']]),0)),"")</f>
        <v/>
      </c>
    </row>
    <row r="64" spans="13:13" x14ac:dyDescent="0.25">
      <c r="M64" s="43" t="str">
        <f t="array" ref="M64">IFERROR(INDEX(Tbl_ResidentData[Resident Name '[last, first']],MATCH(ROWS(ResidentData!A$6:$A67),COUNTIF(Tbl_ResidentData[Resident Name '[last, first']],"&lt;="&amp;Tbl_ResidentData[Resident Name '[last, first']]),0)),"")</f>
        <v/>
      </c>
    </row>
    <row r="65" spans="13:13" x14ac:dyDescent="0.25">
      <c r="M65" s="43" t="str">
        <f t="array" ref="M65">IFERROR(INDEX(Tbl_ResidentData[Resident Name '[last, first']],MATCH(ROWS(ResidentData!A$6:$A68),COUNTIF(Tbl_ResidentData[Resident Name '[last, first']],"&lt;="&amp;Tbl_ResidentData[Resident Name '[last, first']]),0)),"")</f>
        <v/>
      </c>
    </row>
    <row r="66" spans="13:13" x14ac:dyDescent="0.25">
      <c r="M66" s="43" t="str">
        <f t="array" ref="M66">IFERROR(INDEX(Tbl_ResidentData[Resident Name '[last, first']],MATCH(ROWS(ResidentData!A$6:$A69),COUNTIF(Tbl_ResidentData[Resident Name '[last, first']],"&lt;="&amp;Tbl_ResidentData[Resident Name '[last, first']]),0)),"")</f>
        <v/>
      </c>
    </row>
    <row r="67" spans="13:13" x14ac:dyDescent="0.25">
      <c r="M67" s="43" t="str">
        <f t="array" ref="M67">IFERROR(INDEX(Tbl_ResidentData[Resident Name '[last, first']],MATCH(ROWS(ResidentData!A$6:$A70),COUNTIF(Tbl_ResidentData[Resident Name '[last, first']],"&lt;="&amp;Tbl_ResidentData[Resident Name '[last, first']]),0)),"")</f>
        <v/>
      </c>
    </row>
    <row r="68" spans="13:13" x14ac:dyDescent="0.25">
      <c r="M68" s="43" t="str">
        <f t="array" ref="M68">IFERROR(INDEX(Tbl_ResidentData[Resident Name '[last, first']],MATCH(ROWS(ResidentData!A$6:$A71),COUNTIF(Tbl_ResidentData[Resident Name '[last, first']],"&lt;="&amp;Tbl_ResidentData[Resident Name '[last, first']]),0)),"")</f>
        <v/>
      </c>
    </row>
    <row r="69" spans="13:13" x14ac:dyDescent="0.25">
      <c r="M69" s="43" t="str">
        <f t="array" ref="M69">IFERROR(INDEX(Tbl_ResidentData[Resident Name '[last, first']],MATCH(ROWS(ResidentData!A$6:$A72),COUNTIF(Tbl_ResidentData[Resident Name '[last, first']],"&lt;="&amp;Tbl_ResidentData[Resident Name '[last, first']]),0)),"")</f>
        <v/>
      </c>
    </row>
    <row r="70" spans="13:13" x14ac:dyDescent="0.25">
      <c r="M70" s="43" t="str">
        <f t="array" ref="M70">IFERROR(INDEX(Tbl_ResidentData[Resident Name '[last, first']],MATCH(ROWS(ResidentData!A$6:$A73),COUNTIF(Tbl_ResidentData[Resident Name '[last, first']],"&lt;="&amp;Tbl_ResidentData[Resident Name '[last, first']]),0)),"")</f>
        <v/>
      </c>
    </row>
    <row r="71" spans="13:13" x14ac:dyDescent="0.25">
      <c r="M71" s="43" t="str">
        <f t="array" ref="M71">IFERROR(INDEX(Tbl_ResidentData[Resident Name '[last, first']],MATCH(ROWS(ResidentData!A$6:$A74),COUNTIF(Tbl_ResidentData[Resident Name '[last, first']],"&lt;="&amp;Tbl_ResidentData[Resident Name '[last, first']]),0)),"")</f>
        <v/>
      </c>
    </row>
    <row r="72" spans="13:13" x14ac:dyDescent="0.25">
      <c r="M72" s="43" t="str">
        <f t="array" ref="M72">IFERROR(INDEX(Tbl_ResidentData[Resident Name '[last, first']],MATCH(ROWS(ResidentData!A$6:$A75),COUNTIF(Tbl_ResidentData[Resident Name '[last, first']],"&lt;="&amp;Tbl_ResidentData[Resident Name '[last, first']]),0)),"")</f>
        <v/>
      </c>
    </row>
    <row r="73" spans="13:13" x14ac:dyDescent="0.25">
      <c r="M73" s="43" t="str">
        <f t="array" ref="M73">IFERROR(INDEX(Tbl_ResidentData[Resident Name '[last, first']],MATCH(ROWS(ResidentData!A$6:$A76),COUNTIF(Tbl_ResidentData[Resident Name '[last, first']],"&lt;="&amp;Tbl_ResidentData[Resident Name '[last, first']]),0)),"")</f>
        <v/>
      </c>
    </row>
    <row r="74" spans="13:13" x14ac:dyDescent="0.25">
      <c r="M74" s="43" t="str">
        <f t="array" ref="M74">IFERROR(INDEX(Tbl_ResidentData[Resident Name '[last, first']],MATCH(ROWS(ResidentData!A$6:$A77),COUNTIF(Tbl_ResidentData[Resident Name '[last, first']],"&lt;="&amp;Tbl_ResidentData[Resident Name '[last, first']]),0)),"")</f>
        <v/>
      </c>
    </row>
    <row r="75" spans="13:13" x14ac:dyDescent="0.25">
      <c r="M75" s="43" t="str">
        <f t="array" ref="M75">IFERROR(INDEX(Tbl_ResidentData[Resident Name '[last, first']],MATCH(ROWS(ResidentData!A$6:$A78),COUNTIF(Tbl_ResidentData[Resident Name '[last, first']],"&lt;="&amp;Tbl_ResidentData[Resident Name '[last, first']]),0)),"")</f>
        <v/>
      </c>
    </row>
    <row r="76" spans="13:13" x14ac:dyDescent="0.25">
      <c r="M76" s="43" t="str">
        <f t="array" ref="M76">IFERROR(INDEX(Tbl_ResidentData[Resident Name '[last, first']],MATCH(ROWS(ResidentData!A$6:$A79),COUNTIF(Tbl_ResidentData[Resident Name '[last, first']],"&lt;="&amp;Tbl_ResidentData[Resident Name '[last, first']]),0)),"")</f>
        <v/>
      </c>
    </row>
    <row r="77" spans="13:13" x14ac:dyDescent="0.25">
      <c r="M77" s="43" t="str">
        <f t="array" ref="M77">IFERROR(INDEX(Tbl_ResidentData[Resident Name '[last, first']],MATCH(ROWS(ResidentData!A$6:$A80),COUNTIF(Tbl_ResidentData[Resident Name '[last, first']],"&lt;="&amp;Tbl_ResidentData[Resident Name '[last, first']]),0)),"")</f>
        <v/>
      </c>
    </row>
    <row r="78" spans="13:13" x14ac:dyDescent="0.25">
      <c r="M78" s="43" t="str">
        <f t="array" ref="M78">IFERROR(INDEX(Tbl_ResidentData[Resident Name '[last, first']],MATCH(ROWS(ResidentData!A$6:$A81),COUNTIF(Tbl_ResidentData[Resident Name '[last, first']],"&lt;="&amp;Tbl_ResidentData[Resident Name '[last, first']]),0)),"")</f>
        <v/>
      </c>
    </row>
    <row r="79" spans="13:13" x14ac:dyDescent="0.25">
      <c r="M79" s="43" t="str">
        <f t="array" ref="M79">IFERROR(INDEX(Tbl_ResidentData[Resident Name '[last, first']],MATCH(ROWS(ResidentData!A$6:$A82),COUNTIF(Tbl_ResidentData[Resident Name '[last, first']],"&lt;="&amp;Tbl_ResidentData[Resident Name '[last, first']]),0)),"")</f>
        <v/>
      </c>
    </row>
    <row r="80" spans="13:13" x14ac:dyDescent="0.25">
      <c r="M80" s="43" t="str">
        <f t="array" ref="M80">IFERROR(INDEX(Tbl_ResidentData[Resident Name '[last, first']],MATCH(ROWS(ResidentData!A$6:$A83),COUNTIF(Tbl_ResidentData[Resident Name '[last, first']],"&lt;="&amp;Tbl_ResidentData[Resident Name '[last, first']]),0)),"")</f>
        <v/>
      </c>
    </row>
    <row r="81" spans="13:13" x14ac:dyDescent="0.25">
      <c r="M81" s="43" t="str">
        <f t="array" ref="M81">IFERROR(INDEX(Tbl_ResidentData[Resident Name '[last, first']],MATCH(ROWS(ResidentData!A$6:$A84),COUNTIF(Tbl_ResidentData[Resident Name '[last, first']],"&lt;="&amp;Tbl_ResidentData[Resident Name '[last, first']]),0)),"")</f>
        <v/>
      </c>
    </row>
    <row r="82" spans="13:13" x14ac:dyDescent="0.25">
      <c r="M82" s="43" t="str">
        <f t="array" ref="M82">IFERROR(INDEX(Tbl_ResidentData[Resident Name '[last, first']],MATCH(ROWS(ResidentData!A$6:$A85),COUNTIF(Tbl_ResidentData[Resident Name '[last, first']],"&lt;="&amp;Tbl_ResidentData[Resident Name '[last, first']]),0)),"")</f>
        <v/>
      </c>
    </row>
    <row r="83" spans="13:13" x14ac:dyDescent="0.25">
      <c r="M83" s="43" t="str">
        <f t="array" ref="M83">IFERROR(INDEX(Tbl_ResidentData[Resident Name '[last, first']],MATCH(ROWS(ResidentData!A$6:$A86),COUNTIF(Tbl_ResidentData[Resident Name '[last, first']],"&lt;="&amp;Tbl_ResidentData[Resident Name '[last, first']]),0)),"")</f>
        <v/>
      </c>
    </row>
    <row r="84" spans="13:13" x14ac:dyDescent="0.25">
      <c r="M84" s="43" t="str">
        <f t="array" ref="M84">IFERROR(INDEX(Tbl_ResidentData[Resident Name '[last, first']],MATCH(ROWS(ResidentData!A$6:$A87),COUNTIF(Tbl_ResidentData[Resident Name '[last, first']],"&lt;="&amp;Tbl_ResidentData[Resident Name '[last, first']]),0)),"")</f>
        <v/>
      </c>
    </row>
    <row r="85" spans="13:13" x14ac:dyDescent="0.25">
      <c r="M85" s="43" t="str">
        <f t="array" ref="M85">IFERROR(INDEX(Tbl_ResidentData[Resident Name '[last, first']],MATCH(ROWS(ResidentData!A$6:$A88),COUNTIF(Tbl_ResidentData[Resident Name '[last, first']],"&lt;="&amp;Tbl_ResidentData[Resident Name '[last, first']]),0)),"")</f>
        <v/>
      </c>
    </row>
    <row r="86" spans="13:13" x14ac:dyDescent="0.25">
      <c r="M86" s="43" t="str">
        <f t="array" ref="M86">IFERROR(INDEX(Tbl_ResidentData[Resident Name '[last, first']],MATCH(ROWS(ResidentData!A$6:$A89),COUNTIF(Tbl_ResidentData[Resident Name '[last, first']],"&lt;="&amp;Tbl_ResidentData[Resident Name '[last, first']]),0)),"")</f>
        <v/>
      </c>
    </row>
    <row r="87" spans="13:13" x14ac:dyDescent="0.25">
      <c r="M87" s="43" t="str">
        <f t="array" ref="M87">IFERROR(INDEX(Tbl_ResidentData[Resident Name '[last, first']],MATCH(ROWS(ResidentData!A$6:$A90),COUNTIF(Tbl_ResidentData[Resident Name '[last, first']],"&lt;="&amp;Tbl_ResidentData[Resident Name '[last, first']]),0)),"")</f>
        <v/>
      </c>
    </row>
    <row r="88" spans="13:13" x14ac:dyDescent="0.25">
      <c r="M88" s="43" t="str">
        <f t="array" ref="M88">IFERROR(INDEX(Tbl_ResidentData[Resident Name '[last, first']],MATCH(ROWS(ResidentData!A$6:$A91),COUNTIF(Tbl_ResidentData[Resident Name '[last, first']],"&lt;="&amp;Tbl_ResidentData[Resident Name '[last, first']]),0)),"")</f>
        <v/>
      </c>
    </row>
    <row r="89" spans="13:13" x14ac:dyDescent="0.25">
      <c r="M89" s="43" t="str">
        <f t="array" ref="M89">IFERROR(INDEX(Tbl_ResidentData[Resident Name '[last, first']],MATCH(ROWS(ResidentData!A$6:$A92),COUNTIF(Tbl_ResidentData[Resident Name '[last, first']],"&lt;="&amp;Tbl_ResidentData[Resident Name '[last, first']]),0)),"")</f>
        <v/>
      </c>
    </row>
    <row r="90" spans="13:13" x14ac:dyDescent="0.25">
      <c r="M90" s="43" t="str">
        <f t="array" ref="M90">IFERROR(INDEX(Tbl_ResidentData[Resident Name '[last, first']],MATCH(ROWS(ResidentData!A$6:$A93),COUNTIF(Tbl_ResidentData[Resident Name '[last, first']],"&lt;="&amp;Tbl_ResidentData[Resident Name '[last, first']]),0)),"")</f>
        <v/>
      </c>
    </row>
    <row r="91" spans="13:13" x14ac:dyDescent="0.25">
      <c r="M91" s="43" t="str">
        <f t="array" ref="M91">IFERROR(INDEX(Tbl_ResidentData[Resident Name '[last, first']],MATCH(ROWS(ResidentData!A$6:$A94),COUNTIF(Tbl_ResidentData[Resident Name '[last, first']],"&lt;="&amp;Tbl_ResidentData[Resident Name '[last, first']]),0)),"")</f>
        <v/>
      </c>
    </row>
    <row r="92" spans="13:13" x14ac:dyDescent="0.25">
      <c r="M92" s="43" t="str">
        <f t="array" ref="M92">IFERROR(INDEX(Tbl_ResidentData[Resident Name '[last, first']],MATCH(ROWS(ResidentData!A$6:$A95),COUNTIF(Tbl_ResidentData[Resident Name '[last, first']],"&lt;="&amp;Tbl_ResidentData[Resident Name '[last, first']]),0)),"")</f>
        <v/>
      </c>
    </row>
    <row r="93" spans="13:13" x14ac:dyDescent="0.25">
      <c r="M93" s="43" t="str">
        <f t="array" ref="M93">IFERROR(INDEX(Tbl_ResidentData[Resident Name '[last, first']],MATCH(ROWS(ResidentData!A$6:$A96),COUNTIF(Tbl_ResidentData[Resident Name '[last, first']],"&lt;="&amp;Tbl_ResidentData[Resident Name '[last, first']]),0)),"")</f>
        <v/>
      </c>
    </row>
    <row r="94" spans="13:13" x14ac:dyDescent="0.25">
      <c r="M94" s="43" t="str">
        <f t="array" ref="M94">IFERROR(INDEX(Tbl_ResidentData[Resident Name '[last, first']],MATCH(ROWS(ResidentData!A$6:$A97),COUNTIF(Tbl_ResidentData[Resident Name '[last, first']],"&lt;="&amp;Tbl_ResidentData[Resident Name '[last, first']]),0)),"")</f>
        <v/>
      </c>
    </row>
    <row r="95" spans="13:13" x14ac:dyDescent="0.25">
      <c r="M95" s="43" t="str">
        <f t="array" ref="M95">IFERROR(INDEX(Tbl_ResidentData[Resident Name '[last, first']],MATCH(ROWS(ResidentData!A$6:$A98),COUNTIF(Tbl_ResidentData[Resident Name '[last, first']],"&lt;="&amp;Tbl_ResidentData[Resident Name '[last, first']]),0)),"")</f>
        <v/>
      </c>
    </row>
    <row r="96" spans="13:13" x14ac:dyDescent="0.25">
      <c r="M96" s="43" t="str">
        <f t="array" ref="M96">IFERROR(INDEX(Tbl_ResidentData[Resident Name '[last, first']],MATCH(ROWS(ResidentData!A$6:$A99),COUNTIF(Tbl_ResidentData[Resident Name '[last, first']],"&lt;="&amp;Tbl_ResidentData[Resident Name '[last, first']]),0)),"")</f>
        <v/>
      </c>
    </row>
    <row r="97" spans="13:13" x14ac:dyDescent="0.25">
      <c r="M97" s="43" t="str">
        <f t="array" ref="M97">IFERROR(INDEX(Tbl_ResidentData[Resident Name '[last, first']],MATCH(ROWS(ResidentData!A$6:$A100),COUNTIF(Tbl_ResidentData[Resident Name '[last, first']],"&lt;="&amp;Tbl_ResidentData[Resident Name '[last, first']]),0)),"")</f>
        <v/>
      </c>
    </row>
    <row r="98" spans="13:13" x14ac:dyDescent="0.25">
      <c r="M98" s="43" t="str">
        <f t="array" ref="M98">IFERROR(INDEX(Tbl_ResidentData[Resident Name '[last, first']],MATCH(ROWS(ResidentData!A$6:$A101),COUNTIF(Tbl_ResidentData[Resident Name '[last, first']],"&lt;="&amp;Tbl_ResidentData[Resident Name '[last, first']]),0)),"")</f>
        <v/>
      </c>
    </row>
    <row r="99" spans="13:13" x14ac:dyDescent="0.25">
      <c r="M99" s="43" t="str">
        <f t="array" ref="M99">IFERROR(INDEX(Tbl_ResidentData[Resident Name '[last, first']],MATCH(ROWS(ResidentData!A$6:$A102),COUNTIF(Tbl_ResidentData[Resident Name '[last, first']],"&lt;="&amp;Tbl_ResidentData[Resident Name '[last, first']]),0)),"")</f>
        <v/>
      </c>
    </row>
    <row r="100" spans="13:13" x14ac:dyDescent="0.25">
      <c r="M100" s="43" t="str">
        <f t="array" ref="M100">IFERROR(INDEX(Tbl_ResidentData[Resident Name '[last, first']],MATCH(ROWS(ResidentData!A$6:$A103),COUNTIF(Tbl_ResidentData[Resident Name '[last, first']],"&lt;="&amp;Tbl_ResidentData[Resident Name '[last, first']]),0)),"")</f>
        <v/>
      </c>
    </row>
    <row r="101" spans="13:13" x14ac:dyDescent="0.25">
      <c r="M101" s="43" t="str">
        <f t="array" ref="M101">IFERROR(INDEX(Tbl_ResidentData[Resident Name '[last, first']],MATCH(ROWS(ResidentData!A$6:$A104),COUNTIF(Tbl_ResidentData[Resident Name '[last, first']],"&lt;="&amp;Tbl_ResidentData[Resident Name '[last, first']]),0)),"")</f>
        <v/>
      </c>
    </row>
    <row r="102" spans="13:13" x14ac:dyDescent="0.25">
      <c r="M102" s="43" t="str">
        <f t="array" ref="M102">IFERROR(INDEX(Tbl_ResidentData[Resident Name '[last, first']],MATCH(ROWS(ResidentData!A$6:$A105),COUNTIF(Tbl_ResidentData[Resident Name '[last, first']],"&lt;="&amp;Tbl_ResidentData[Resident Name '[last, first']]),0)),"")</f>
        <v/>
      </c>
    </row>
    <row r="103" spans="13:13" x14ac:dyDescent="0.25">
      <c r="M103" s="43" t="str">
        <f t="array" ref="M103">IFERROR(INDEX(Tbl_ResidentData[Resident Name '[last, first']],MATCH(ROWS(ResidentData!A$6:$A106),COUNTIF(Tbl_ResidentData[Resident Name '[last, first']],"&lt;="&amp;Tbl_ResidentData[Resident Name '[last, first']]),0)),"")</f>
        <v/>
      </c>
    </row>
    <row r="104" spans="13:13" x14ac:dyDescent="0.25">
      <c r="M104" s="43" t="str">
        <f t="array" ref="M104">IFERROR(INDEX(Tbl_ResidentData[Resident Name '[last, first']],MATCH(ROWS(ResidentData!A$6:$A107),COUNTIF(Tbl_ResidentData[Resident Name '[last, first']],"&lt;="&amp;Tbl_ResidentData[Resident Name '[last, first']]),0)),"")</f>
        <v/>
      </c>
    </row>
    <row r="105" spans="13:13" x14ac:dyDescent="0.25">
      <c r="M105" s="43" t="str">
        <f t="array" ref="M105">IFERROR(INDEX(Tbl_ResidentData[Resident Name '[last, first']],MATCH(ROWS(ResidentData!A$6:$A108),COUNTIF(Tbl_ResidentData[Resident Name '[last, first']],"&lt;="&amp;Tbl_ResidentData[Resident Name '[last, first']]),0)),"")</f>
        <v/>
      </c>
    </row>
    <row r="106" spans="13:13" x14ac:dyDescent="0.25">
      <c r="M106" s="43" t="str">
        <f t="array" ref="M106">IFERROR(INDEX(Tbl_ResidentData[Resident Name '[last, first']],MATCH(ROWS(ResidentData!A$6:$A109),COUNTIF(Tbl_ResidentData[Resident Name '[last, first']],"&lt;="&amp;Tbl_ResidentData[Resident Name '[last, first']]),0)),"")</f>
        <v/>
      </c>
    </row>
    <row r="107" spans="13:13" x14ac:dyDescent="0.25">
      <c r="M107" s="43" t="str">
        <f t="array" ref="M107">IFERROR(INDEX(Tbl_ResidentData[Resident Name '[last, first']],MATCH(ROWS(ResidentData!A$6:$A110),COUNTIF(Tbl_ResidentData[Resident Name '[last, first']],"&lt;="&amp;Tbl_ResidentData[Resident Name '[last, first']]),0)),"")</f>
        <v/>
      </c>
    </row>
    <row r="108" spans="13:13" x14ac:dyDescent="0.25">
      <c r="M108" s="43" t="str">
        <f t="array" ref="M108">IFERROR(INDEX(Tbl_ResidentData[Resident Name '[last, first']],MATCH(ROWS(ResidentData!A$6:$A111),COUNTIF(Tbl_ResidentData[Resident Name '[last, first']],"&lt;="&amp;Tbl_ResidentData[Resident Name '[last, first']]),0)),"")</f>
        <v/>
      </c>
    </row>
    <row r="109" spans="13:13" x14ac:dyDescent="0.25">
      <c r="M109" s="43" t="str">
        <f t="array" ref="M109">IFERROR(INDEX(Tbl_ResidentData[Resident Name '[last, first']],MATCH(ROWS(ResidentData!A$6:$A112),COUNTIF(Tbl_ResidentData[Resident Name '[last, first']],"&lt;="&amp;Tbl_ResidentData[Resident Name '[last, first']]),0)),"")</f>
        <v/>
      </c>
    </row>
    <row r="110" spans="13:13" x14ac:dyDescent="0.25">
      <c r="M110" s="43" t="str">
        <f t="array" ref="M110">IFERROR(INDEX(Tbl_ResidentData[Resident Name '[last, first']],MATCH(ROWS(ResidentData!A$6:$A113),COUNTIF(Tbl_ResidentData[Resident Name '[last, first']],"&lt;="&amp;Tbl_ResidentData[Resident Name '[last, first']]),0)),"")</f>
        <v/>
      </c>
    </row>
    <row r="111" spans="13:13" x14ac:dyDescent="0.25">
      <c r="M111" s="43" t="str">
        <f t="array" ref="M111">IFERROR(INDEX(Tbl_ResidentData[Resident Name '[last, first']],MATCH(ROWS(ResidentData!A$6:$A114),COUNTIF(Tbl_ResidentData[Resident Name '[last, first']],"&lt;="&amp;Tbl_ResidentData[Resident Name '[last, first']]),0)),"")</f>
        <v/>
      </c>
    </row>
    <row r="112" spans="13:13" x14ac:dyDescent="0.25">
      <c r="M112" s="43" t="str">
        <f t="array" ref="M112">IFERROR(INDEX(Tbl_ResidentData[Resident Name '[last, first']],MATCH(ROWS(ResidentData!A$6:$A115),COUNTIF(Tbl_ResidentData[Resident Name '[last, first']],"&lt;="&amp;Tbl_ResidentData[Resident Name '[last, first']]),0)),"")</f>
        <v/>
      </c>
    </row>
    <row r="113" spans="13:13" x14ac:dyDescent="0.25">
      <c r="M113" s="43" t="str">
        <f t="array" ref="M113">IFERROR(INDEX(Tbl_ResidentData[Resident Name '[last, first']],MATCH(ROWS(ResidentData!A$6:$A116),COUNTIF(Tbl_ResidentData[Resident Name '[last, first']],"&lt;="&amp;Tbl_ResidentData[Resident Name '[last, first']]),0)),"")</f>
        <v/>
      </c>
    </row>
    <row r="114" spans="13:13" x14ac:dyDescent="0.25">
      <c r="M114" s="43" t="str">
        <f t="array" ref="M114">IFERROR(INDEX(Tbl_ResidentData[Resident Name '[last, first']],MATCH(ROWS(ResidentData!A$6:$A117),COUNTIF(Tbl_ResidentData[Resident Name '[last, first']],"&lt;="&amp;Tbl_ResidentData[Resident Name '[last, first']]),0)),"")</f>
        <v/>
      </c>
    </row>
    <row r="115" spans="13:13" x14ac:dyDescent="0.25">
      <c r="M115" s="43" t="str">
        <f t="array" ref="M115">IFERROR(INDEX(Tbl_ResidentData[Resident Name '[last, first']],MATCH(ROWS(ResidentData!A$6:$A118),COUNTIF(Tbl_ResidentData[Resident Name '[last, first']],"&lt;="&amp;Tbl_ResidentData[Resident Name '[last, first']]),0)),"")</f>
        <v/>
      </c>
    </row>
    <row r="116" spans="13:13" x14ac:dyDescent="0.25">
      <c r="M116" s="43" t="str">
        <f t="array" ref="M116">IFERROR(INDEX(Tbl_ResidentData[Resident Name '[last, first']],MATCH(ROWS(ResidentData!A$6:$A119),COUNTIF(Tbl_ResidentData[Resident Name '[last, first']],"&lt;="&amp;Tbl_ResidentData[Resident Name '[last, first']]),0)),"")</f>
        <v/>
      </c>
    </row>
    <row r="117" spans="13:13" x14ac:dyDescent="0.25">
      <c r="M117" s="43" t="str">
        <f t="array" ref="M117">IFERROR(INDEX(Tbl_ResidentData[Resident Name '[last, first']],MATCH(ROWS(ResidentData!A$6:$A120),COUNTIF(Tbl_ResidentData[Resident Name '[last, first']],"&lt;="&amp;Tbl_ResidentData[Resident Name '[last, first']]),0)),"")</f>
        <v/>
      </c>
    </row>
    <row r="118" spans="13:13" x14ac:dyDescent="0.25">
      <c r="M118" s="43" t="str">
        <f t="array" ref="M118">IFERROR(INDEX(Tbl_ResidentData[Resident Name '[last, first']],MATCH(ROWS(ResidentData!A$6:$A121),COUNTIF(Tbl_ResidentData[Resident Name '[last, first']],"&lt;="&amp;Tbl_ResidentData[Resident Name '[last, first']]),0)),"")</f>
        <v/>
      </c>
    </row>
    <row r="119" spans="13:13" x14ac:dyDescent="0.25">
      <c r="M119" s="43" t="str">
        <f t="array" ref="M119">IFERROR(INDEX(Tbl_ResidentData[Resident Name '[last, first']],MATCH(ROWS(ResidentData!A$6:$A122),COUNTIF(Tbl_ResidentData[Resident Name '[last, first']],"&lt;="&amp;Tbl_ResidentData[Resident Name '[last, first']]),0)),"")</f>
        <v/>
      </c>
    </row>
    <row r="120" spans="13:13" x14ac:dyDescent="0.25">
      <c r="M120" s="43" t="str">
        <f t="array" ref="M120">IFERROR(INDEX(Tbl_ResidentData[Resident Name '[last, first']],MATCH(ROWS(ResidentData!A$6:$A123),COUNTIF(Tbl_ResidentData[Resident Name '[last, first']],"&lt;="&amp;Tbl_ResidentData[Resident Name '[last, first']]),0)),"")</f>
        <v/>
      </c>
    </row>
    <row r="121" spans="13:13" x14ac:dyDescent="0.25">
      <c r="M121" s="43" t="str">
        <f t="array" ref="M121">IFERROR(INDEX(Tbl_ResidentData[Resident Name '[last, first']],MATCH(ROWS(ResidentData!A$6:$A124),COUNTIF(Tbl_ResidentData[Resident Name '[last, first']],"&lt;="&amp;Tbl_ResidentData[Resident Name '[last, first']]),0)),"")</f>
        <v/>
      </c>
    </row>
    <row r="122" spans="13:13" x14ac:dyDescent="0.25">
      <c r="M122" s="43" t="str">
        <f t="array" ref="M122">IFERROR(INDEX(Tbl_ResidentData[Resident Name '[last, first']],MATCH(ROWS(ResidentData!A$6:$A125),COUNTIF(Tbl_ResidentData[Resident Name '[last, first']],"&lt;="&amp;Tbl_ResidentData[Resident Name '[last, first']]),0)),"")</f>
        <v/>
      </c>
    </row>
    <row r="123" spans="13:13" x14ac:dyDescent="0.25">
      <c r="M123" s="43" t="str">
        <f t="array" ref="M123">IFERROR(INDEX(Tbl_ResidentData[Resident Name '[last, first']],MATCH(ROWS(ResidentData!A$6:$A126),COUNTIF(Tbl_ResidentData[Resident Name '[last, first']],"&lt;="&amp;Tbl_ResidentData[Resident Name '[last, first']]),0)),"")</f>
        <v/>
      </c>
    </row>
    <row r="124" spans="13:13" x14ac:dyDescent="0.25">
      <c r="M124" s="43" t="str">
        <f t="array" ref="M124">IFERROR(INDEX(Tbl_ResidentData[Resident Name '[last, first']],MATCH(ROWS(ResidentData!A$6:$A127),COUNTIF(Tbl_ResidentData[Resident Name '[last, first']],"&lt;="&amp;Tbl_ResidentData[Resident Name '[last, first']]),0)),"")</f>
        <v/>
      </c>
    </row>
    <row r="125" spans="13:13" x14ac:dyDescent="0.25">
      <c r="M125" s="43" t="str">
        <f t="array" ref="M125">IFERROR(INDEX(Tbl_ResidentData[Resident Name '[last, first']],MATCH(ROWS(ResidentData!A$6:$A128),COUNTIF(Tbl_ResidentData[Resident Name '[last, first']],"&lt;="&amp;Tbl_ResidentData[Resident Name '[last, first']]),0)),"")</f>
        <v/>
      </c>
    </row>
    <row r="126" spans="13:13" x14ac:dyDescent="0.25">
      <c r="M126" s="43" t="str">
        <f t="array" ref="M126">IFERROR(INDEX(Tbl_ResidentData[Resident Name '[last, first']],MATCH(ROWS(ResidentData!A$6:$A129),COUNTIF(Tbl_ResidentData[Resident Name '[last, first']],"&lt;="&amp;Tbl_ResidentData[Resident Name '[last, first']]),0)),"")</f>
        <v/>
      </c>
    </row>
    <row r="127" spans="13:13" x14ac:dyDescent="0.25">
      <c r="M127" s="43" t="str">
        <f t="array" ref="M127">IFERROR(INDEX(Tbl_ResidentData[Resident Name '[last, first']],MATCH(ROWS(ResidentData!A$6:$A130),COUNTIF(Tbl_ResidentData[Resident Name '[last, first']],"&lt;="&amp;Tbl_ResidentData[Resident Name '[last, first']]),0)),"")</f>
        <v/>
      </c>
    </row>
    <row r="128" spans="13:13" x14ac:dyDescent="0.25">
      <c r="M128" s="43" t="str">
        <f t="array" ref="M128">IFERROR(INDEX(Tbl_ResidentData[Resident Name '[last, first']],MATCH(ROWS(ResidentData!A$6:$A131),COUNTIF(Tbl_ResidentData[Resident Name '[last, first']],"&lt;="&amp;Tbl_ResidentData[Resident Name '[last, first']]),0)),"")</f>
        <v/>
      </c>
    </row>
    <row r="129" spans="13:13" x14ac:dyDescent="0.25">
      <c r="M129" s="43" t="str">
        <f t="array" ref="M129">IFERROR(INDEX(Tbl_ResidentData[Resident Name '[last, first']],MATCH(ROWS(ResidentData!A$6:$A132),COUNTIF(Tbl_ResidentData[Resident Name '[last, first']],"&lt;="&amp;Tbl_ResidentData[Resident Name '[last, first']]),0)),"")</f>
        <v/>
      </c>
    </row>
    <row r="130" spans="13:13" x14ac:dyDescent="0.25">
      <c r="M130" s="43" t="str">
        <f t="array" ref="M130">IFERROR(INDEX(Tbl_ResidentData[Resident Name '[last, first']],MATCH(ROWS(ResidentData!A$6:$A133),COUNTIF(Tbl_ResidentData[Resident Name '[last, first']],"&lt;="&amp;Tbl_ResidentData[Resident Name '[last, first']]),0)),"")</f>
        <v/>
      </c>
    </row>
    <row r="131" spans="13:13" x14ac:dyDescent="0.25">
      <c r="M131" s="43" t="str">
        <f t="array" ref="M131">IFERROR(INDEX(Tbl_ResidentData[Resident Name '[last, first']],MATCH(ROWS(ResidentData!A$6:$A134),COUNTIF(Tbl_ResidentData[Resident Name '[last, first']],"&lt;="&amp;Tbl_ResidentData[Resident Name '[last, first']]),0)),"")</f>
        <v/>
      </c>
    </row>
    <row r="132" spans="13:13" x14ac:dyDescent="0.25">
      <c r="M132" s="43" t="str">
        <f t="array" ref="M132">IFERROR(INDEX(Tbl_ResidentData[Resident Name '[last, first']],MATCH(ROWS(ResidentData!A$6:$A135),COUNTIF(Tbl_ResidentData[Resident Name '[last, first']],"&lt;="&amp;Tbl_ResidentData[Resident Name '[last, first']]),0)),"")</f>
        <v/>
      </c>
    </row>
    <row r="133" spans="13:13" x14ac:dyDescent="0.25">
      <c r="M133" s="43" t="str">
        <f t="array" ref="M133">IFERROR(INDEX(Tbl_ResidentData[Resident Name '[last, first']],MATCH(ROWS(ResidentData!A$6:$A136),COUNTIF(Tbl_ResidentData[Resident Name '[last, first']],"&lt;="&amp;Tbl_ResidentData[Resident Name '[last, first']]),0)),"")</f>
        <v/>
      </c>
    </row>
    <row r="134" spans="13:13" x14ac:dyDescent="0.25">
      <c r="M134" s="43" t="str">
        <f t="array" ref="M134">IFERROR(INDEX(Tbl_ResidentData[Resident Name '[last, first']],MATCH(ROWS(ResidentData!A$6:$A137),COUNTIF(Tbl_ResidentData[Resident Name '[last, first']],"&lt;="&amp;Tbl_ResidentData[Resident Name '[last, first']]),0)),"")</f>
        <v/>
      </c>
    </row>
    <row r="135" spans="13:13" x14ac:dyDescent="0.25">
      <c r="M135" s="43" t="str">
        <f t="array" ref="M135">IFERROR(INDEX(Tbl_ResidentData[Resident Name '[last, first']],MATCH(ROWS(ResidentData!A$6:$A138),COUNTIF(Tbl_ResidentData[Resident Name '[last, first']],"&lt;="&amp;Tbl_ResidentData[Resident Name '[last, first']]),0)),"")</f>
        <v/>
      </c>
    </row>
    <row r="136" spans="13:13" x14ac:dyDescent="0.25">
      <c r="M136" s="43" t="str">
        <f t="array" ref="M136">IFERROR(INDEX(Tbl_ResidentData[Resident Name '[last, first']],MATCH(ROWS(ResidentData!A$6:$A139),COUNTIF(Tbl_ResidentData[Resident Name '[last, first']],"&lt;="&amp;Tbl_ResidentData[Resident Name '[last, first']]),0)),"")</f>
        <v/>
      </c>
    </row>
    <row r="137" spans="13:13" x14ac:dyDescent="0.25">
      <c r="M137" s="43" t="str">
        <f t="array" ref="M137">IFERROR(INDEX(Tbl_ResidentData[Resident Name '[last, first']],MATCH(ROWS(ResidentData!A$6:$A140),COUNTIF(Tbl_ResidentData[Resident Name '[last, first']],"&lt;="&amp;Tbl_ResidentData[Resident Name '[last, first']]),0)),"")</f>
        <v/>
      </c>
    </row>
    <row r="138" spans="13:13" x14ac:dyDescent="0.25">
      <c r="M138" s="43" t="str">
        <f t="array" ref="M138">IFERROR(INDEX(Tbl_ResidentData[Resident Name '[last, first']],MATCH(ROWS(ResidentData!A$6:$A141),COUNTIF(Tbl_ResidentData[Resident Name '[last, first']],"&lt;="&amp;Tbl_ResidentData[Resident Name '[last, first']]),0)),"")</f>
        <v/>
      </c>
    </row>
    <row r="139" spans="13:13" x14ac:dyDescent="0.25">
      <c r="M139" s="43" t="str">
        <f t="array" ref="M139">IFERROR(INDEX(Tbl_ResidentData[Resident Name '[last, first']],MATCH(ROWS(ResidentData!A$6:$A142),COUNTIF(Tbl_ResidentData[Resident Name '[last, first']],"&lt;="&amp;Tbl_ResidentData[Resident Name '[last, first']]),0)),"")</f>
        <v/>
      </c>
    </row>
    <row r="140" spans="13:13" x14ac:dyDescent="0.25">
      <c r="M140" s="43" t="str">
        <f t="array" ref="M140">IFERROR(INDEX(Tbl_ResidentData[Resident Name '[last, first']],MATCH(ROWS(ResidentData!A$6:$A143),COUNTIF(Tbl_ResidentData[Resident Name '[last, first']],"&lt;="&amp;Tbl_ResidentData[Resident Name '[last, first']]),0)),"")</f>
        <v/>
      </c>
    </row>
    <row r="141" spans="13:13" x14ac:dyDescent="0.25">
      <c r="M141" s="43" t="str">
        <f t="array" ref="M141">IFERROR(INDEX(Tbl_ResidentData[Resident Name '[last, first']],MATCH(ROWS(ResidentData!A$6:$A144),COUNTIF(Tbl_ResidentData[Resident Name '[last, first']],"&lt;="&amp;Tbl_ResidentData[Resident Name '[last, first']]),0)),"")</f>
        <v/>
      </c>
    </row>
    <row r="142" spans="13:13" x14ac:dyDescent="0.25">
      <c r="M142" s="43" t="str">
        <f t="array" ref="M142">IFERROR(INDEX(Tbl_ResidentData[Resident Name '[last, first']],MATCH(ROWS(ResidentData!A$6:$A145),COUNTIF(Tbl_ResidentData[Resident Name '[last, first']],"&lt;="&amp;Tbl_ResidentData[Resident Name '[last, first']]),0)),"")</f>
        <v/>
      </c>
    </row>
    <row r="143" spans="13:13" x14ac:dyDescent="0.25">
      <c r="M143" s="43" t="str">
        <f t="array" ref="M143">IFERROR(INDEX(Tbl_ResidentData[Resident Name '[last, first']],MATCH(ROWS(ResidentData!A$6:$A146),COUNTIF(Tbl_ResidentData[Resident Name '[last, first']],"&lt;="&amp;Tbl_ResidentData[Resident Name '[last, first']]),0)),"")</f>
        <v/>
      </c>
    </row>
    <row r="144" spans="13:13" x14ac:dyDescent="0.25">
      <c r="M144" s="43" t="str">
        <f t="array" ref="M144">IFERROR(INDEX(Tbl_ResidentData[Resident Name '[last, first']],MATCH(ROWS(ResidentData!A$6:$A147),COUNTIF(Tbl_ResidentData[Resident Name '[last, first']],"&lt;="&amp;Tbl_ResidentData[Resident Name '[last, first']]),0)),"")</f>
        <v/>
      </c>
    </row>
    <row r="145" spans="13:13" x14ac:dyDescent="0.25">
      <c r="M145" s="43" t="str">
        <f t="array" ref="M145">IFERROR(INDEX(Tbl_ResidentData[Resident Name '[last, first']],MATCH(ROWS(ResidentData!A$6:$A148),COUNTIF(Tbl_ResidentData[Resident Name '[last, first']],"&lt;="&amp;Tbl_ResidentData[Resident Name '[last, first']]),0)),"")</f>
        <v/>
      </c>
    </row>
    <row r="146" spans="13:13" x14ac:dyDescent="0.25">
      <c r="M146" s="43" t="str">
        <f t="array" ref="M146">IFERROR(INDEX(Tbl_ResidentData[Resident Name '[last, first']],MATCH(ROWS(ResidentData!A$6:$A149),COUNTIF(Tbl_ResidentData[Resident Name '[last, first']],"&lt;="&amp;Tbl_ResidentData[Resident Name '[last, first']]),0)),"")</f>
        <v/>
      </c>
    </row>
    <row r="147" spans="13:13" x14ac:dyDescent="0.25">
      <c r="M147" s="43" t="str">
        <f t="array" ref="M147">IFERROR(INDEX(Tbl_ResidentData[Resident Name '[last, first']],MATCH(ROWS(ResidentData!A$6:$A150),COUNTIF(Tbl_ResidentData[Resident Name '[last, first']],"&lt;="&amp;Tbl_ResidentData[Resident Name '[last, first']]),0)),"")</f>
        <v/>
      </c>
    </row>
    <row r="148" spans="13:13" x14ac:dyDescent="0.25">
      <c r="M148" s="43" t="str">
        <f t="array" ref="M148">IFERROR(INDEX(Tbl_ResidentData[Resident Name '[last, first']],MATCH(ROWS(ResidentData!A$6:$A151),COUNTIF(Tbl_ResidentData[Resident Name '[last, first']],"&lt;="&amp;Tbl_ResidentData[Resident Name '[last, first']]),0)),"")</f>
        <v/>
      </c>
    </row>
    <row r="149" spans="13:13" x14ac:dyDescent="0.25">
      <c r="M149" s="43" t="str">
        <f t="array" ref="M149">IFERROR(INDEX(Tbl_ResidentData[Resident Name '[last, first']],MATCH(ROWS(ResidentData!A$6:$A152),COUNTIF(Tbl_ResidentData[Resident Name '[last, first']],"&lt;="&amp;Tbl_ResidentData[Resident Name '[last, first']]),0)),"")</f>
        <v/>
      </c>
    </row>
    <row r="150" spans="13:13" x14ac:dyDescent="0.25">
      <c r="M150" s="43" t="str">
        <f t="array" ref="M150">IFERROR(INDEX(Tbl_ResidentData[Resident Name '[last, first']],MATCH(ROWS(ResidentData!A$6:$A153),COUNTIF(Tbl_ResidentData[Resident Name '[last, first']],"&lt;="&amp;Tbl_ResidentData[Resident Name '[last, first']]),0)),"")</f>
        <v/>
      </c>
    </row>
    <row r="151" spans="13:13" x14ac:dyDescent="0.25">
      <c r="M151" s="43" t="str">
        <f t="array" ref="M151">IFERROR(INDEX(Tbl_ResidentData[Resident Name '[last, first']],MATCH(ROWS(ResidentData!A$6:$A154),COUNTIF(Tbl_ResidentData[Resident Name '[last, first']],"&lt;="&amp;Tbl_ResidentData[Resident Name '[last, first']]),0)),"")</f>
        <v/>
      </c>
    </row>
    <row r="152" spans="13:13" x14ac:dyDescent="0.25">
      <c r="M152" s="43" t="str">
        <f t="array" ref="M152">IFERROR(INDEX(Tbl_ResidentData[Resident Name '[last, first']],MATCH(ROWS(ResidentData!A$6:$A155),COUNTIF(Tbl_ResidentData[Resident Name '[last, first']],"&lt;="&amp;Tbl_ResidentData[Resident Name '[last, first']]),0)),"")</f>
        <v/>
      </c>
    </row>
    <row r="153" spans="13:13" x14ac:dyDescent="0.25">
      <c r="M153" s="43" t="str">
        <f t="array" ref="M153">IFERROR(INDEX(Tbl_ResidentData[Resident Name '[last, first']],MATCH(ROWS(ResidentData!A$6:$A156),COUNTIF(Tbl_ResidentData[Resident Name '[last, first']],"&lt;="&amp;Tbl_ResidentData[Resident Name '[last, first']]),0)),"")</f>
        <v/>
      </c>
    </row>
    <row r="154" spans="13:13" x14ac:dyDescent="0.25">
      <c r="M154" s="43" t="str">
        <f t="array" ref="M154">IFERROR(INDEX(Tbl_ResidentData[Resident Name '[last, first']],MATCH(ROWS(ResidentData!A$6:$A157),COUNTIF(Tbl_ResidentData[Resident Name '[last, first']],"&lt;="&amp;Tbl_ResidentData[Resident Name '[last, first']]),0)),"")</f>
        <v/>
      </c>
    </row>
    <row r="155" spans="13:13" x14ac:dyDescent="0.25">
      <c r="M155" s="43" t="str">
        <f t="array" ref="M155">IFERROR(INDEX(Tbl_ResidentData[Resident Name '[last, first']],MATCH(ROWS(ResidentData!A$6:$A158),COUNTIF(Tbl_ResidentData[Resident Name '[last, first']],"&lt;="&amp;Tbl_ResidentData[Resident Name '[last, first']]),0)),"")</f>
        <v/>
      </c>
    </row>
    <row r="156" spans="13:13" x14ac:dyDescent="0.25">
      <c r="M156" s="43" t="str">
        <f t="array" ref="M156">IFERROR(INDEX(Tbl_ResidentData[Resident Name '[last, first']],MATCH(ROWS(ResidentData!A$6:$A159),COUNTIF(Tbl_ResidentData[Resident Name '[last, first']],"&lt;="&amp;Tbl_ResidentData[Resident Name '[last, first']]),0)),"")</f>
        <v/>
      </c>
    </row>
    <row r="157" spans="13:13" x14ac:dyDescent="0.25">
      <c r="M157" s="43" t="str">
        <f t="array" ref="M157">IFERROR(INDEX(Tbl_ResidentData[Resident Name '[last, first']],MATCH(ROWS(ResidentData!A$6:$A160),COUNTIF(Tbl_ResidentData[Resident Name '[last, first']],"&lt;="&amp;Tbl_ResidentData[Resident Name '[last, first']]),0)),"")</f>
        <v/>
      </c>
    </row>
    <row r="158" spans="13:13" x14ac:dyDescent="0.25">
      <c r="M158" s="43" t="str">
        <f t="array" ref="M158">IFERROR(INDEX(Tbl_ResidentData[Resident Name '[last, first']],MATCH(ROWS(ResidentData!A$6:$A161),COUNTIF(Tbl_ResidentData[Resident Name '[last, first']],"&lt;="&amp;Tbl_ResidentData[Resident Name '[last, first']]),0)),"")</f>
        <v/>
      </c>
    </row>
    <row r="159" spans="13:13" x14ac:dyDescent="0.25">
      <c r="M159" s="43" t="str">
        <f t="array" ref="M159">IFERROR(INDEX(Tbl_ResidentData[Resident Name '[last, first']],MATCH(ROWS(ResidentData!A$6:$A162),COUNTIF(Tbl_ResidentData[Resident Name '[last, first']],"&lt;="&amp;Tbl_ResidentData[Resident Name '[last, first']]),0)),"")</f>
        <v/>
      </c>
    </row>
    <row r="160" spans="13:13" x14ac:dyDescent="0.25">
      <c r="M160" s="43" t="str">
        <f t="array" ref="M160">IFERROR(INDEX(Tbl_ResidentData[Resident Name '[last, first']],MATCH(ROWS(ResidentData!A$6:$A163),COUNTIF(Tbl_ResidentData[Resident Name '[last, first']],"&lt;="&amp;Tbl_ResidentData[Resident Name '[last, first']]),0)),"")</f>
        <v/>
      </c>
    </row>
    <row r="161" spans="13:13" x14ac:dyDescent="0.25">
      <c r="M161" s="43" t="str">
        <f t="array" ref="M161">IFERROR(INDEX(Tbl_ResidentData[Resident Name '[last, first']],MATCH(ROWS(ResidentData!A$6:$A164),COUNTIF(Tbl_ResidentData[Resident Name '[last, first']],"&lt;="&amp;Tbl_ResidentData[Resident Name '[last, first']]),0)),"")</f>
        <v/>
      </c>
    </row>
    <row r="162" spans="13:13" x14ac:dyDescent="0.25">
      <c r="M162" s="43" t="str">
        <f t="array" ref="M162">IFERROR(INDEX(Tbl_ResidentData[Resident Name '[last, first']],MATCH(ROWS(ResidentData!A$6:$A165),COUNTIF(Tbl_ResidentData[Resident Name '[last, first']],"&lt;="&amp;Tbl_ResidentData[Resident Name '[last, first']]),0)),"")</f>
        <v/>
      </c>
    </row>
    <row r="163" spans="13:13" x14ac:dyDescent="0.25">
      <c r="M163" s="43" t="str">
        <f t="array" ref="M163">IFERROR(INDEX(Tbl_ResidentData[Resident Name '[last, first']],MATCH(ROWS(ResidentData!A$6:$A166),COUNTIF(Tbl_ResidentData[Resident Name '[last, first']],"&lt;="&amp;Tbl_ResidentData[Resident Name '[last, first']]),0)),"")</f>
        <v/>
      </c>
    </row>
    <row r="164" spans="13:13" x14ac:dyDescent="0.25">
      <c r="M164" s="43" t="str">
        <f t="array" ref="M164">IFERROR(INDEX(Tbl_ResidentData[Resident Name '[last, first']],MATCH(ROWS(ResidentData!A$6:$A167),COUNTIF(Tbl_ResidentData[Resident Name '[last, first']],"&lt;="&amp;Tbl_ResidentData[Resident Name '[last, first']]),0)),"")</f>
        <v/>
      </c>
    </row>
    <row r="165" spans="13:13" x14ac:dyDescent="0.25">
      <c r="M165" s="43" t="str">
        <f t="array" ref="M165">IFERROR(INDEX(Tbl_ResidentData[Resident Name '[last, first']],MATCH(ROWS(ResidentData!A$6:$A168),COUNTIF(Tbl_ResidentData[Resident Name '[last, first']],"&lt;="&amp;Tbl_ResidentData[Resident Name '[last, first']]),0)),"")</f>
        <v/>
      </c>
    </row>
    <row r="166" spans="13:13" x14ac:dyDescent="0.25">
      <c r="M166" s="43" t="str">
        <f t="array" ref="M166">IFERROR(INDEX(Tbl_ResidentData[Resident Name '[last, first']],MATCH(ROWS(ResidentData!A$6:$A169),COUNTIF(Tbl_ResidentData[Resident Name '[last, first']],"&lt;="&amp;Tbl_ResidentData[Resident Name '[last, first']]),0)),"")</f>
        <v/>
      </c>
    </row>
    <row r="167" spans="13:13" x14ac:dyDescent="0.25">
      <c r="M167" s="43" t="str">
        <f t="array" ref="M167">IFERROR(INDEX(Tbl_ResidentData[Resident Name '[last, first']],MATCH(ROWS(ResidentData!A$6:$A170),COUNTIF(Tbl_ResidentData[Resident Name '[last, first']],"&lt;="&amp;Tbl_ResidentData[Resident Name '[last, first']]),0)),"")</f>
        <v/>
      </c>
    </row>
    <row r="168" spans="13:13" x14ac:dyDescent="0.25">
      <c r="M168" s="43" t="str">
        <f t="array" ref="M168">IFERROR(INDEX(Tbl_ResidentData[Resident Name '[last, first']],MATCH(ROWS(ResidentData!A$6:$A171),COUNTIF(Tbl_ResidentData[Resident Name '[last, first']],"&lt;="&amp;Tbl_ResidentData[Resident Name '[last, first']]),0)),"")</f>
        <v/>
      </c>
    </row>
    <row r="169" spans="13:13" x14ac:dyDescent="0.25">
      <c r="M169" s="43" t="str">
        <f t="array" ref="M169">IFERROR(INDEX(Tbl_ResidentData[Resident Name '[last, first']],MATCH(ROWS(ResidentData!A$6:$A172),COUNTIF(Tbl_ResidentData[Resident Name '[last, first']],"&lt;="&amp;Tbl_ResidentData[Resident Name '[last, first']]),0)),"")</f>
        <v/>
      </c>
    </row>
    <row r="170" spans="13:13" x14ac:dyDescent="0.25">
      <c r="M170" s="43" t="str">
        <f t="array" ref="M170">IFERROR(INDEX(Tbl_ResidentData[Resident Name '[last, first']],MATCH(ROWS(ResidentData!A$6:$A173),COUNTIF(Tbl_ResidentData[Resident Name '[last, first']],"&lt;="&amp;Tbl_ResidentData[Resident Name '[last, first']]),0)),"")</f>
        <v/>
      </c>
    </row>
    <row r="171" spans="13:13" x14ac:dyDescent="0.25">
      <c r="M171" s="43" t="str">
        <f t="array" ref="M171">IFERROR(INDEX(Tbl_ResidentData[Resident Name '[last, first']],MATCH(ROWS(ResidentData!A$6:$A174),COUNTIF(Tbl_ResidentData[Resident Name '[last, first']],"&lt;="&amp;Tbl_ResidentData[Resident Name '[last, first']]),0)),"")</f>
        <v/>
      </c>
    </row>
    <row r="172" spans="13:13" x14ac:dyDescent="0.25">
      <c r="M172" s="43" t="str">
        <f t="array" ref="M172">IFERROR(INDEX(Tbl_ResidentData[Resident Name '[last, first']],MATCH(ROWS(ResidentData!A$6:$A175),COUNTIF(Tbl_ResidentData[Resident Name '[last, first']],"&lt;="&amp;Tbl_ResidentData[Resident Name '[last, first']]),0)),"")</f>
        <v/>
      </c>
    </row>
    <row r="173" spans="13:13" x14ac:dyDescent="0.25">
      <c r="M173" s="43" t="str">
        <f t="array" ref="M173">IFERROR(INDEX(Tbl_ResidentData[Resident Name '[last, first']],MATCH(ROWS(ResidentData!A$6:$A176),COUNTIF(Tbl_ResidentData[Resident Name '[last, first']],"&lt;="&amp;Tbl_ResidentData[Resident Name '[last, first']]),0)),"")</f>
        <v/>
      </c>
    </row>
    <row r="174" spans="13:13" x14ac:dyDescent="0.25">
      <c r="M174" s="43" t="str">
        <f t="array" ref="M174">IFERROR(INDEX(Tbl_ResidentData[Resident Name '[last, first']],MATCH(ROWS(ResidentData!A$6:$A177),COUNTIF(Tbl_ResidentData[Resident Name '[last, first']],"&lt;="&amp;Tbl_ResidentData[Resident Name '[last, first']]),0)),"")</f>
        <v/>
      </c>
    </row>
    <row r="175" spans="13:13" x14ac:dyDescent="0.25">
      <c r="M175" s="43" t="str">
        <f t="array" ref="M175">IFERROR(INDEX(Tbl_ResidentData[Resident Name '[last, first']],MATCH(ROWS(ResidentData!A$6:$A178),COUNTIF(Tbl_ResidentData[Resident Name '[last, first']],"&lt;="&amp;Tbl_ResidentData[Resident Name '[last, first']]),0)),"")</f>
        <v/>
      </c>
    </row>
    <row r="176" spans="13:13" x14ac:dyDescent="0.25">
      <c r="M176" s="43" t="str">
        <f t="array" ref="M176">IFERROR(INDEX(Tbl_ResidentData[Resident Name '[last, first']],MATCH(ROWS(ResidentData!A$6:$A179),COUNTIF(Tbl_ResidentData[Resident Name '[last, first']],"&lt;="&amp;Tbl_ResidentData[Resident Name '[last, first']]),0)),"")</f>
        <v/>
      </c>
    </row>
    <row r="177" spans="13:13" x14ac:dyDescent="0.25">
      <c r="M177" s="43" t="str">
        <f t="array" ref="M177">IFERROR(INDEX(Tbl_ResidentData[Resident Name '[last, first']],MATCH(ROWS(ResidentData!A$6:$A180),COUNTIF(Tbl_ResidentData[Resident Name '[last, first']],"&lt;="&amp;Tbl_ResidentData[Resident Name '[last, first']]),0)),"")</f>
        <v/>
      </c>
    </row>
    <row r="178" spans="13:13" x14ac:dyDescent="0.25">
      <c r="M178" s="43" t="str">
        <f t="array" ref="M178">IFERROR(INDEX(Tbl_ResidentData[Resident Name '[last, first']],MATCH(ROWS(ResidentData!A$6:$A181),COUNTIF(Tbl_ResidentData[Resident Name '[last, first']],"&lt;="&amp;Tbl_ResidentData[Resident Name '[last, first']]),0)),"")</f>
        <v/>
      </c>
    </row>
    <row r="179" spans="13:13" x14ac:dyDescent="0.25">
      <c r="M179" s="43" t="str">
        <f t="array" ref="M179">IFERROR(INDEX(Tbl_ResidentData[Resident Name '[last, first']],MATCH(ROWS(ResidentData!A$6:$A182),COUNTIF(Tbl_ResidentData[Resident Name '[last, first']],"&lt;="&amp;Tbl_ResidentData[Resident Name '[last, first']]),0)),"")</f>
        <v/>
      </c>
    </row>
    <row r="180" spans="13:13" x14ac:dyDescent="0.25">
      <c r="M180" s="43" t="str">
        <f t="array" ref="M180">IFERROR(INDEX(Tbl_ResidentData[Resident Name '[last, first']],MATCH(ROWS(ResidentData!A$6:$A183),COUNTIF(Tbl_ResidentData[Resident Name '[last, first']],"&lt;="&amp;Tbl_ResidentData[Resident Name '[last, first']]),0)),"")</f>
        <v/>
      </c>
    </row>
    <row r="181" spans="13:13" x14ac:dyDescent="0.25">
      <c r="M181" s="43" t="str">
        <f t="array" ref="M181">IFERROR(INDEX(Tbl_ResidentData[Resident Name '[last, first']],MATCH(ROWS(ResidentData!A$6:$A184),COUNTIF(Tbl_ResidentData[Resident Name '[last, first']],"&lt;="&amp;Tbl_ResidentData[Resident Name '[last, first']]),0)),"")</f>
        <v/>
      </c>
    </row>
    <row r="182" spans="13:13" x14ac:dyDescent="0.25">
      <c r="M182" s="43" t="str">
        <f t="array" ref="M182">IFERROR(INDEX(Tbl_ResidentData[Resident Name '[last, first']],MATCH(ROWS(ResidentData!A$6:$A185),COUNTIF(Tbl_ResidentData[Resident Name '[last, first']],"&lt;="&amp;Tbl_ResidentData[Resident Name '[last, first']]),0)),"")</f>
        <v/>
      </c>
    </row>
    <row r="183" spans="13:13" x14ac:dyDescent="0.25">
      <c r="M183" s="43" t="str">
        <f t="array" ref="M183">IFERROR(INDEX(Tbl_ResidentData[Resident Name '[last, first']],MATCH(ROWS(ResidentData!A$6:$A186),COUNTIF(Tbl_ResidentData[Resident Name '[last, first']],"&lt;="&amp;Tbl_ResidentData[Resident Name '[last, first']]),0)),"")</f>
        <v/>
      </c>
    </row>
    <row r="184" spans="13:13" x14ac:dyDescent="0.25">
      <c r="M184" s="43" t="str">
        <f t="array" ref="M184">IFERROR(INDEX(Tbl_ResidentData[Resident Name '[last, first']],MATCH(ROWS(ResidentData!A$6:$A187),COUNTIF(Tbl_ResidentData[Resident Name '[last, first']],"&lt;="&amp;Tbl_ResidentData[Resident Name '[last, first']]),0)),"")</f>
        <v/>
      </c>
    </row>
    <row r="185" spans="13:13" x14ac:dyDescent="0.25">
      <c r="M185" s="43" t="str">
        <f t="array" ref="M185">IFERROR(INDEX(Tbl_ResidentData[Resident Name '[last, first']],MATCH(ROWS(ResidentData!A$6:$A188),COUNTIF(Tbl_ResidentData[Resident Name '[last, first']],"&lt;="&amp;Tbl_ResidentData[Resident Name '[last, first']]),0)),"")</f>
        <v/>
      </c>
    </row>
    <row r="186" spans="13:13" x14ac:dyDescent="0.25">
      <c r="M186" s="43" t="str">
        <f t="array" ref="M186">IFERROR(INDEX(Tbl_ResidentData[Resident Name '[last, first']],MATCH(ROWS(ResidentData!A$6:$A189),COUNTIF(Tbl_ResidentData[Resident Name '[last, first']],"&lt;="&amp;Tbl_ResidentData[Resident Name '[last, first']]),0)),"")</f>
        <v/>
      </c>
    </row>
    <row r="187" spans="13:13" x14ac:dyDescent="0.25">
      <c r="M187" s="43" t="str">
        <f t="array" ref="M187">IFERROR(INDEX(Tbl_ResidentData[Resident Name '[last, first']],MATCH(ROWS(ResidentData!A$6:$A190),COUNTIF(Tbl_ResidentData[Resident Name '[last, first']],"&lt;="&amp;Tbl_ResidentData[Resident Name '[last, first']]),0)),"")</f>
        <v/>
      </c>
    </row>
    <row r="188" spans="13:13" x14ac:dyDescent="0.25">
      <c r="M188" s="43" t="str">
        <f t="array" ref="M188">IFERROR(INDEX(Tbl_ResidentData[Resident Name '[last, first']],MATCH(ROWS(ResidentData!A$6:$A191),COUNTIF(Tbl_ResidentData[Resident Name '[last, first']],"&lt;="&amp;Tbl_ResidentData[Resident Name '[last, first']]),0)),"")</f>
        <v/>
      </c>
    </row>
    <row r="189" spans="13:13" x14ac:dyDescent="0.25">
      <c r="M189" s="43" t="str">
        <f t="array" ref="M189">IFERROR(INDEX(Tbl_ResidentData[Resident Name '[last, first']],MATCH(ROWS(ResidentData!A$6:$A192),COUNTIF(Tbl_ResidentData[Resident Name '[last, first']],"&lt;="&amp;Tbl_ResidentData[Resident Name '[last, first']]),0)),"")</f>
        <v/>
      </c>
    </row>
    <row r="190" spans="13:13" x14ac:dyDescent="0.25">
      <c r="M190" s="43" t="str">
        <f t="array" ref="M190">IFERROR(INDEX(Tbl_ResidentData[Resident Name '[last, first']],MATCH(ROWS(ResidentData!A$6:$A193),COUNTIF(Tbl_ResidentData[Resident Name '[last, first']],"&lt;="&amp;Tbl_ResidentData[Resident Name '[last, first']]),0)),"")</f>
        <v/>
      </c>
    </row>
    <row r="191" spans="13:13" x14ac:dyDescent="0.25">
      <c r="M191" s="43" t="str">
        <f t="array" ref="M191">IFERROR(INDEX(Tbl_ResidentData[Resident Name '[last, first']],MATCH(ROWS(ResidentData!A$6:$A194),COUNTIF(Tbl_ResidentData[Resident Name '[last, first']],"&lt;="&amp;Tbl_ResidentData[Resident Name '[last, first']]),0)),"")</f>
        <v/>
      </c>
    </row>
    <row r="192" spans="13:13" x14ac:dyDescent="0.25">
      <c r="M192" s="43" t="str">
        <f t="array" ref="M192">IFERROR(INDEX(Tbl_ResidentData[Resident Name '[last, first']],MATCH(ROWS(ResidentData!A$6:$A195),COUNTIF(Tbl_ResidentData[Resident Name '[last, first']],"&lt;="&amp;Tbl_ResidentData[Resident Name '[last, first']]),0)),"")</f>
        <v/>
      </c>
    </row>
    <row r="193" spans="13:13" x14ac:dyDescent="0.25">
      <c r="M193" s="43" t="str">
        <f t="array" ref="M193">IFERROR(INDEX(Tbl_ResidentData[Resident Name '[last, first']],MATCH(ROWS(ResidentData!A$6:$A196),COUNTIF(Tbl_ResidentData[Resident Name '[last, first']],"&lt;="&amp;Tbl_ResidentData[Resident Name '[last, first']]),0)),"")</f>
        <v/>
      </c>
    </row>
    <row r="194" spans="13:13" x14ac:dyDescent="0.25">
      <c r="M194" s="43" t="str">
        <f t="array" ref="M194">IFERROR(INDEX(Tbl_ResidentData[Resident Name '[last, first']],MATCH(ROWS(ResidentData!A$6:$A197),COUNTIF(Tbl_ResidentData[Resident Name '[last, first']],"&lt;="&amp;Tbl_ResidentData[Resident Name '[last, first']]),0)),"")</f>
        <v/>
      </c>
    </row>
    <row r="195" spans="13:13" x14ac:dyDescent="0.25">
      <c r="M195" s="43" t="str">
        <f t="array" ref="M195">IFERROR(INDEX(Tbl_ResidentData[Resident Name '[last, first']],MATCH(ROWS(ResidentData!A$6:$A198),COUNTIF(Tbl_ResidentData[Resident Name '[last, first']],"&lt;="&amp;Tbl_ResidentData[Resident Name '[last, first']]),0)),"")</f>
        <v/>
      </c>
    </row>
    <row r="196" spans="13:13" x14ac:dyDescent="0.25">
      <c r="M196" s="43" t="str">
        <f t="array" ref="M196">IFERROR(INDEX(Tbl_ResidentData[Resident Name '[last, first']],MATCH(ROWS(ResidentData!A$6:$A199),COUNTIF(Tbl_ResidentData[Resident Name '[last, first']],"&lt;="&amp;Tbl_ResidentData[Resident Name '[last, first']]),0)),"")</f>
        <v/>
      </c>
    </row>
    <row r="197" spans="13:13" x14ac:dyDescent="0.25">
      <c r="M197" s="43" t="str">
        <f t="array" ref="M197">IFERROR(INDEX(Tbl_ResidentData[Resident Name '[last, first']],MATCH(ROWS(ResidentData!A$6:$A200),COUNTIF(Tbl_ResidentData[Resident Name '[last, first']],"&lt;="&amp;Tbl_ResidentData[Resident Name '[last, first']]),0)),"")</f>
        <v/>
      </c>
    </row>
    <row r="198" spans="13:13" x14ac:dyDescent="0.25">
      <c r="M198" s="43" t="str">
        <f t="array" ref="M198">IFERROR(INDEX(Tbl_ResidentData[Resident Name '[last, first']],MATCH(ROWS(ResidentData!A$6:$A200),COUNTIF(Tbl_ResidentData[Resident Name '[last, first']],"&lt;="&amp;Tbl_ResidentData[Resident Name '[last, first']]),0)),"")</f>
        <v/>
      </c>
    </row>
    <row r="199" spans="13:13" x14ac:dyDescent="0.25">
      <c r="M199" s="43" t="str">
        <f t="array" ref="M199">IFERROR(INDEX(Tbl_ResidentData[Resident Name '[last, first']],MATCH(ROWS(ResidentData!A$6:$A200),COUNTIF(Tbl_ResidentData[Resident Name '[last, first']],"&lt;="&amp;Tbl_ResidentData[Resident Name '[last, first']]),0)),"")</f>
        <v/>
      </c>
    </row>
    <row r="200" spans="13:13" x14ac:dyDescent="0.25">
      <c r="M200" s="43" t="str">
        <f t="array" ref="M200">IFERROR(INDEX(Tbl_ResidentData[Resident Name '[last, first']],MATCH(ROWS(ResidentData!A$6:$A200),COUNTIF(Tbl_ResidentData[Resident Name '[last, first']],"&lt;="&amp;Tbl_ResidentData[Resident Name '[last, first']]),0)),"")</f>
        <v/>
      </c>
    </row>
    <row r="201" spans="13:13" x14ac:dyDescent="0.25">
      <c r="M201" s="43" t="str">
        <f t="array" ref="M201">IFERROR(INDEX(Tbl_ResidentData[Resident Name '[last, first']],MATCH(ROWS(ResidentData!A$6:$A200),COUNTIF(Tbl_ResidentData[Resident Name '[last, first']],"&lt;="&amp;Tbl_ResidentData[Resident Name '[last, first']]),0)),"")</f>
        <v/>
      </c>
    </row>
    <row r="202" spans="13:13" x14ac:dyDescent="0.25">
      <c r="M202" s="43" t="str">
        <f t="array" ref="M202">IFERROR(INDEX(Tbl_ResidentData[Resident Name '[last, first']],MATCH(ROWS(ResidentData!A$6:$A200),COUNTIF(Tbl_ResidentData[Resident Name '[last, first']],"&lt;="&amp;Tbl_ResidentData[Resident Name '[last, first']]),0)),"")</f>
        <v/>
      </c>
    </row>
    <row r="203" spans="13:13" x14ac:dyDescent="0.25">
      <c r="M203" s="43" t="str">
        <f t="array" ref="M203">IFERROR(INDEX(Tbl_ResidentData[Resident Name '[last, first']],MATCH(ROWS(ResidentData!A$6:$A200),COUNTIF(Tbl_ResidentData[Resident Name '[last, first']],"&lt;="&amp;Tbl_ResidentData[Resident Name '[last, first']]),0)),"")</f>
        <v/>
      </c>
    </row>
    <row r="204" spans="13:13" x14ac:dyDescent="0.25">
      <c r="M204" s="43" t="str">
        <f t="array" ref="M204">IFERROR(INDEX(Tbl_ResidentData[Resident Name '[last, first']],MATCH(ROWS(ResidentData!A$6:$A200),COUNTIF(Tbl_ResidentData[Resident Name '[last, first']],"&lt;="&amp;Tbl_ResidentData[Resident Name '[last, first']]),0)),"")</f>
        <v/>
      </c>
    </row>
    <row r="205" spans="13:13" x14ac:dyDescent="0.25">
      <c r="M205" s="43" t="str">
        <f t="array" ref="M205">IFERROR(INDEX(Tbl_ResidentData[Resident Name '[last, first']],MATCH(ROWS(ResidentData!A$6:$A200),COUNTIF(Tbl_ResidentData[Resident Name '[last, first']],"&lt;="&amp;Tbl_ResidentData[Resident Name '[last, first']]),0)),"")</f>
        <v/>
      </c>
    </row>
    <row r="206" spans="13:13" x14ac:dyDescent="0.25">
      <c r="M206" s="43" t="str">
        <f t="array" ref="M206">IFERROR(INDEX(Tbl_ResidentData[Resident Name '[last, first']],MATCH(ROWS(ResidentData!A$6:$A200),COUNTIF(Tbl_ResidentData[Resident Name '[last, first']],"&lt;="&amp;Tbl_ResidentData[Resident Name '[last, first']]),0)),"")</f>
        <v/>
      </c>
    </row>
    <row r="207" spans="13:13" x14ac:dyDescent="0.25">
      <c r="M207" s="43" t="str">
        <f t="array" ref="M207">IFERROR(INDEX(Tbl_ResidentData[Resident Name '[last, first']],MATCH(ROWS(ResidentData!A$6:$A200),COUNTIF(Tbl_ResidentData[Resident Name '[last, first']],"&lt;="&amp;Tbl_ResidentData[Resident Name '[last, first']]),0)),"")</f>
        <v/>
      </c>
    </row>
    <row r="208" spans="13:13" x14ac:dyDescent="0.25">
      <c r="M208" s="43" t="str">
        <f t="array" ref="M208">IFERROR(INDEX(Tbl_ResidentData[Resident Name '[last, first']],MATCH(ROWS(ResidentData!A$6:$A200),COUNTIF(Tbl_ResidentData[Resident Name '[last, first']],"&lt;="&amp;Tbl_ResidentData[Resident Name '[last, first']]),0)),"")</f>
        <v/>
      </c>
    </row>
    <row r="209" spans="13:13" x14ac:dyDescent="0.25">
      <c r="M209" s="43" t="str">
        <f t="array" ref="M209">IFERROR(INDEX(Tbl_ResidentData[Resident Name '[last, first']],MATCH(ROWS(ResidentData!A$6:$A200),COUNTIF(Tbl_ResidentData[Resident Name '[last, first']],"&lt;="&amp;Tbl_ResidentData[Resident Name '[last, first']]),0)),"")</f>
        <v/>
      </c>
    </row>
    <row r="210" spans="13:13" x14ac:dyDescent="0.25">
      <c r="M210" s="43" t="str">
        <f t="array" ref="M210">IFERROR(INDEX(Tbl_ResidentData[Resident Name '[last, first']],MATCH(ROWS(ResidentData!A$6:$A200),COUNTIF(Tbl_ResidentData[Resident Name '[last, first']],"&lt;="&amp;Tbl_ResidentData[Resident Name '[last, first']]),0)),"")</f>
        <v/>
      </c>
    </row>
    <row r="211" spans="13:13" x14ac:dyDescent="0.25">
      <c r="M211" s="43" t="str">
        <f t="array" ref="M211">IFERROR(INDEX(Tbl_ResidentData[Resident Name '[last, first']],MATCH(ROWS(ResidentData!A$6:$A200),COUNTIF(Tbl_ResidentData[Resident Name '[last, first']],"&lt;="&amp;Tbl_ResidentData[Resident Name '[last, first']]),0)),"")</f>
        <v/>
      </c>
    </row>
    <row r="212" spans="13:13" x14ac:dyDescent="0.25">
      <c r="M212" s="43" t="str">
        <f t="array" ref="M212">IFERROR(INDEX(Tbl_ResidentData[Resident Name '[last, first']],MATCH(ROWS(ResidentData!A$6:$A200),COUNTIF(Tbl_ResidentData[Resident Name '[last, first']],"&lt;="&amp;Tbl_ResidentData[Resident Name '[last, first']]),0)),"")</f>
        <v/>
      </c>
    </row>
    <row r="213" spans="13:13" x14ac:dyDescent="0.25">
      <c r="M213" s="43" t="str">
        <f t="array" ref="M213">IFERROR(INDEX(Tbl_ResidentData[Resident Name '[last, first']],MATCH(ROWS(ResidentData!A$6:$A200),COUNTIF(Tbl_ResidentData[Resident Name '[last, first']],"&lt;="&amp;Tbl_ResidentData[Resident Name '[last, first']]),0)),"")</f>
        <v/>
      </c>
    </row>
    <row r="214" spans="13:13" x14ac:dyDescent="0.25">
      <c r="M214" s="43" t="str">
        <f t="array" ref="M214">IFERROR(INDEX(Tbl_ResidentData[Resident Name '[last, first']],MATCH(ROWS(ResidentData!A$6:$A200),COUNTIF(Tbl_ResidentData[Resident Name '[last, first']],"&lt;="&amp;Tbl_ResidentData[Resident Name '[last, first']]),0)),"")</f>
        <v/>
      </c>
    </row>
    <row r="215" spans="13:13" x14ac:dyDescent="0.25">
      <c r="M215" s="43" t="str">
        <f t="array" ref="M215">IFERROR(INDEX(Tbl_ResidentData[Resident Name '[last, first']],MATCH(ROWS(ResidentData!A$6:$A200),COUNTIF(Tbl_ResidentData[Resident Name '[last, first']],"&lt;="&amp;Tbl_ResidentData[Resident Name '[last, first']]),0)),"")</f>
        <v/>
      </c>
    </row>
    <row r="216" spans="13:13" x14ac:dyDescent="0.25">
      <c r="M216" s="43" t="str">
        <f t="array" ref="M216">IFERROR(INDEX(Tbl_ResidentData[Resident Name '[last, first']],MATCH(ROWS(ResidentData!A$6:$A200),COUNTIF(Tbl_ResidentData[Resident Name '[last, first']],"&lt;="&amp;Tbl_ResidentData[Resident Name '[last, first']]),0)),"")</f>
        <v/>
      </c>
    </row>
    <row r="217" spans="13:13" x14ac:dyDescent="0.25">
      <c r="M217" s="43" t="str">
        <f t="array" ref="M217">IFERROR(INDEX(Tbl_ResidentData[Resident Name '[last, first']],MATCH(ROWS(ResidentData!A$6:$A200),COUNTIF(Tbl_ResidentData[Resident Name '[last, first']],"&lt;="&amp;Tbl_ResidentData[Resident Name '[last, first']]),0)),"")</f>
        <v/>
      </c>
    </row>
    <row r="218" spans="13:13" x14ac:dyDescent="0.25">
      <c r="M218" s="43" t="str">
        <f t="array" ref="M218">IFERROR(INDEX(Tbl_ResidentData[Resident Name '[last, first']],MATCH(ROWS(ResidentData!A$6:$A200),COUNTIF(Tbl_ResidentData[Resident Name '[last, first']],"&lt;="&amp;Tbl_ResidentData[Resident Name '[last, first']]),0)),"")</f>
        <v/>
      </c>
    </row>
    <row r="219" spans="13:13" x14ac:dyDescent="0.25">
      <c r="M219" s="43" t="str">
        <f t="array" ref="M219">IFERROR(INDEX(Tbl_ResidentData[Resident Name '[last, first']],MATCH(ROWS(ResidentData!A$6:$A200),COUNTIF(Tbl_ResidentData[Resident Name '[last, first']],"&lt;="&amp;Tbl_ResidentData[Resident Name '[last, first']]),0)),"")</f>
        <v/>
      </c>
    </row>
    <row r="220" spans="13:13" x14ac:dyDescent="0.25">
      <c r="M220" s="43" t="str">
        <f t="array" ref="M220">IFERROR(INDEX(Tbl_ResidentData[Resident Name '[last, first']],MATCH(ROWS(ResidentData!A$6:$A200),COUNTIF(Tbl_ResidentData[Resident Name '[last, first']],"&lt;="&amp;Tbl_ResidentData[Resident Name '[last, first']]),0)),"")</f>
        <v/>
      </c>
    </row>
    <row r="221" spans="13:13" x14ac:dyDescent="0.25">
      <c r="M221" s="43" t="str">
        <f t="array" ref="M221">IFERROR(INDEX(Tbl_ResidentData[Resident Name '[last, first']],MATCH(ROWS(ResidentData!A$6:$A200),COUNTIF(Tbl_ResidentData[Resident Name '[last, first']],"&lt;="&amp;Tbl_ResidentData[Resident Name '[last, first']]),0)),"")</f>
        <v/>
      </c>
    </row>
    <row r="222" spans="13:13" x14ac:dyDescent="0.25">
      <c r="M222" s="43" t="str">
        <f t="array" ref="M222">IFERROR(INDEX(Tbl_ResidentData[Resident Name '[last, first']],MATCH(ROWS(ResidentData!A$6:$A200),COUNTIF(Tbl_ResidentData[Resident Name '[last, first']],"&lt;="&amp;Tbl_ResidentData[Resident Name '[last, first']]),0)),"")</f>
        <v/>
      </c>
    </row>
    <row r="223" spans="13:13" x14ac:dyDescent="0.25">
      <c r="M223" s="43" t="str">
        <f t="array" ref="M223">IFERROR(INDEX(Tbl_ResidentData[Resident Name '[last, first']],MATCH(ROWS(ResidentData!A$6:$A200),COUNTIF(Tbl_ResidentData[Resident Name '[last, first']],"&lt;="&amp;Tbl_ResidentData[Resident Name '[last, first']]),0)),"")</f>
        <v/>
      </c>
    </row>
    <row r="224" spans="13:13" x14ac:dyDescent="0.25">
      <c r="M224" s="43" t="str">
        <f t="array" ref="M224">IFERROR(INDEX(Tbl_ResidentData[Resident Name '[last, first']],MATCH(ROWS(ResidentData!A$6:$A200),COUNTIF(Tbl_ResidentData[Resident Name '[last, first']],"&lt;="&amp;Tbl_ResidentData[Resident Name '[last, first']]),0)),"")</f>
        <v/>
      </c>
    </row>
    <row r="225" spans="13:13" x14ac:dyDescent="0.25">
      <c r="M225" s="43" t="str">
        <f t="array" ref="M225">IFERROR(INDEX(Tbl_ResidentData[Resident Name '[last, first']],MATCH(ROWS(ResidentData!A$6:$A200),COUNTIF(Tbl_ResidentData[Resident Name '[last, first']],"&lt;="&amp;Tbl_ResidentData[Resident Name '[last, first']]),0)),"")</f>
        <v/>
      </c>
    </row>
    <row r="226" spans="13:13" x14ac:dyDescent="0.25">
      <c r="M226" s="43" t="str">
        <f t="array" ref="M226">IFERROR(INDEX(Tbl_ResidentData[Resident Name '[last, first']],MATCH(ROWS(ResidentData!A$6:$A200),COUNTIF(Tbl_ResidentData[Resident Name '[last, first']],"&lt;="&amp;Tbl_ResidentData[Resident Name '[last, first']]),0)),"")</f>
        <v/>
      </c>
    </row>
    <row r="227" spans="13:13" x14ac:dyDescent="0.25">
      <c r="M227" s="43" t="str">
        <f t="array" ref="M227">IFERROR(INDEX(Tbl_ResidentData[Resident Name '[last, first']],MATCH(ROWS(ResidentData!A$6:$A200),COUNTIF(Tbl_ResidentData[Resident Name '[last, first']],"&lt;="&amp;Tbl_ResidentData[Resident Name '[last, first']]),0)),"")</f>
        <v/>
      </c>
    </row>
    <row r="228" spans="13:13" x14ac:dyDescent="0.25">
      <c r="M228" s="43" t="str">
        <f t="array" ref="M228">IFERROR(INDEX(Tbl_ResidentData[Resident Name '[last, first']],MATCH(ROWS(ResidentData!A$6:$A200),COUNTIF(Tbl_ResidentData[Resident Name '[last, first']],"&lt;="&amp;Tbl_ResidentData[Resident Name '[last, first']]),0)),"")</f>
        <v/>
      </c>
    </row>
    <row r="229" spans="13:13" x14ac:dyDescent="0.25">
      <c r="M229" s="43" t="str">
        <f t="array" ref="M229">IFERROR(INDEX(Tbl_ResidentData[Resident Name '[last, first']],MATCH(ROWS(ResidentData!A$6:$A200),COUNTIF(Tbl_ResidentData[Resident Name '[last, first']],"&lt;="&amp;Tbl_ResidentData[Resident Name '[last, first']]),0)),"")</f>
        <v/>
      </c>
    </row>
    <row r="230" spans="13:13" x14ac:dyDescent="0.25">
      <c r="M230" s="43" t="str">
        <f t="array" ref="M230">IFERROR(INDEX(Tbl_ResidentData[Resident Name '[last, first']],MATCH(ROWS(ResidentData!A$6:$A200),COUNTIF(Tbl_ResidentData[Resident Name '[last, first']],"&lt;="&amp;Tbl_ResidentData[Resident Name '[last, first']]),0)),"")</f>
        <v/>
      </c>
    </row>
    <row r="231" spans="13:13" x14ac:dyDescent="0.25">
      <c r="M231" s="43" t="str">
        <f t="array" ref="M231">IFERROR(INDEX(Tbl_ResidentData[Resident Name '[last, first']],MATCH(ROWS(ResidentData!A$6:$A200),COUNTIF(Tbl_ResidentData[Resident Name '[last, first']],"&lt;="&amp;Tbl_ResidentData[Resident Name '[last, first']]),0)),"")</f>
        <v/>
      </c>
    </row>
    <row r="232" spans="13:13" x14ac:dyDescent="0.25">
      <c r="M232" s="43" t="str">
        <f t="array" ref="M232">IFERROR(INDEX(Tbl_ResidentData[Resident Name '[last, first']],MATCH(ROWS(ResidentData!A$6:$A200),COUNTIF(Tbl_ResidentData[Resident Name '[last, first']],"&lt;="&amp;Tbl_ResidentData[Resident Name '[last, first']]),0)),"")</f>
        <v/>
      </c>
    </row>
    <row r="233" spans="13:13" x14ac:dyDescent="0.25">
      <c r="M233" s="43" t="str">
        <f t="array" ref="M233">IFERROR(INDEX(Tbl_ResidentData[Resident Name '[last, first']],MATCH(ROWS(ResidentData!A$6:$A200),COUNTIF(Tbl_ResidentData[Resident Name '[last, first']],"&lt;="&amp;Tbl_ResidentData[Resident Name '[last, first']]),0)),"")</f>
        <v/>
      </c>
    </row>
    <row r="234" spans="13:13" x14ac:dyDescent="0.25">
      <c r="M234" s="43" t="str">
        <f t="array" ref="M234">IFERROR(INDEX(Tbl_ResidentData[Resident Name '[last, first']],MATCH(ROWS(ResidentData!A$6:$A200),COUNTIF(Tbl_ResidentData[Resident Name '[last, first']],"&lt;="&amp;Tbl_ResidentData[Resident Name '[last, first']]),0)),"")</f>
        <v/>
      </c>
    </row>
    <row r="235" spans="13:13" x14ac:dyDescent="0.25">
      <c r="M235" s="43" t="str">
        <f t="array" ref="M235">IFERROR(INDEX(Tbl_ResidentData[Resident Name '[last, first']],MATCH(ROWS(ResidentData!A$6:$A200),COUNTIF(Tbl_ResidentData[Resident Name '[last, first']],"&lt;="&amp;Tbl_ResidentData[Resident Name '[last, first']]),0)),"")</f>
        <v/>
      </c>
    </row>
    <row r="236" spans="13:13" x14ac:dyDescent="0.25">
      <c r="M236" s="43" t="str">
        <f t="array" ref="M236">IFERROR(INDEX(Tbl_ResidentData[Resident Name '[last, first']],MATCH(ROWS(ResidentData!A$6:$A200),COUNTIF(Tbl_ResidentData[Resident Name '[last, first']],"&lt;="&amp;Tbl_ResidentData[Resident Name '[last, first']]),0)),"")</f>
        <v/>
      </c>
    </row>
    <row r="237" spans="13:13" x14ac:dyDescent="0.25">
      <c r="M237" s="43" t="str">
        <f t="array" ref="M237">IFERROR(INDEX(Tbl_ResidentData[Resident Name '[last, first']],MATCH(ROWS(ResidentData!A$6:$A200),COUNTIF(Tbl_ResidentData[Resident Name '[last, first']],"&lt;="&amp;Tbl_ResidentData[Resident Name '[last, first']]),0)),"")</f>
        <v/>
      </c>
    </row>
    <row r="238" spans="13:13" x14ac:dyDescent="0.25">
      <c r="M238" s="43" t="str">
        <f t="array" ref="M238">IFERROR(INDEX(Tbl_ResidentData[Resident Name '[last, first']],MATCH(ROWS(ResidentData!A$6:$A200),COUNTIF(Tbl_ResidentData[Resident Name '[last, first']],"&lt;="&amp;Tbl_ResidentData[Resident Name '[last, first']]),0)),"")</f>
        <v/>
      </c>
    </row>
    <row r="239" spans="13:13" x14ac:dyDescent="0.25">
      <c r="M239" s="43" t="str">
        <f t="array" ref="M239">IFERROR(INDEX(Tbl_ResidentData[Resident Name '[last, first']],MATCH(ROWS(ResidentData!A$6:$A200),COUNTIF(Tbl_ResidentData[Resident Name '[last, first']],"&lt;="&amp;Tbl_ResidentData[Resident Name '[last, first']]),0)),"")</f>
        <v/>
      </c>
    </row>
    <row r="240" spans="13:13" x14ac:dyDescent="0.25">
      <c r="M240" s="43" t="str">
        <f t="array" ref="M240">IFERROR(INDEX(Tbl_ResidentData[Resident Name '[last, first']],MATCH(ROWS(ResidentData!A$6:$A200),COUNTIF(Tbl_ResidentData[Resident Name '[last, first']],"&lt;="&amp;Tbl_ResidentData[Resident Name '[last, first']]),0)),"")</f>
        <v/>
      </c>
    </row>
    <row r="241" spans="13:13" x14ac:dyDescent="0.25">
      <c r="M241" s="43" t="str">
        <f t="array" ref="M241">IFERROR(INDEX(Tbl_ResidentData[Resident Name '[last, first']],MATCH(ROWS(ResidentData!A$6:$A200),COUNTIF(Tbl_ResidentData[Resident Name '[last, first']],"&lt;="&amp;Tbl_ResidentData[Resident Name '[last, first']]),0)),"")</f>
        <v/>
      </c>
    </row>
    <row r="242" spans="13:13" x14ac:dyDescent="0.25">
      <c r="M242" s="43" t="str">
        <f t="array" ref="M242">IFERROR(INDEX(Tbl_ResidentData[Resident Name '[last, first']],MATCH(ROWS(ResidentData!A$6:$A200),COUNTIF(Tbl_ResidentData[Resident Name '[last, first']],"&lt;="&amp;Tbl_ResidentData[Resident Name '[last, first']]),0)),"")</f>
        <v/>
      </c>
    </row>
    <row r="243" spans="13:13" x14ac:dyDescent="0.25">
      <c r="M243" s="43" t="str">
        <f t="array" ref="M243">IFERROR(INDEX(Tbl_ResidentData[Resident Name '[last, first']],MATCH(ROWS(ResidentData!A$6:$A200),COUNTIF(Tbl_ResidentData[Resident Name '[last, first']],"&lt;="&amp;Tbl_ResidentData[Resident Name '[last, first']]),0)),"")</f>
        <v/>
      </c>
    </row>
    <row r="244" spans="13:13" x14ac:dyDescent="0.25">
      <c r="M244" s="43" t="str">
        <f t="array" ref="M244">IFERROR(INDEX(Tbl_ResidentData[Resident Name '[last, first']],MATCH(ROWS(ResidentData!A$6:$A200),COUNTIF(Tbl_ResidentData[Resident Name '[last, first']],"&lt;="&amp;Tbl_ResidentData[Resident Name '[last, first']]),0)),"")</f>
        <v/>
      </c>
    </row>
    <row r="245" spans="13:13" x14ac:dyDescent="0.25">
      <c r="M245" s="43" t="str">
        <f t="array" ref="M245">IFERROR(INDEX(Tbl_ResidentData[Resident Name '[last, first']],MATCH(ROWS(ResidentData!A$6:$A200),COUNTIF(Tbl_ResidentData[Resident Name '[last, first']],"&lt;="&amp;Tbl_ResidentData[Resident Name '[last, first']]),0)),"")</f>
        <v/>
      </c>
    </row>
    <row r="246" spans="13:13" x14ac:dyDescent="0.25">
      <c r="M246" s="43" t="str">
        <f t="array" ref="M246">IFERROR(INDEX(Tbl_ResidentData[Resident Name '[last, first']],MATCH(ROWS(ResidentData!A$6:$A200),COUNTIF(Tbl_ResidentData[Resident Name '[last, first']],"&lt;="&amp;Tbl_ResidentData[Resident Name '[last, first']]),0)),"")</f>
        <v/>
      </c>
    </row>
    <row r="247" spans="13:13" x14ac:dyDescent="0.25">
      <c r="M247" s="43" t="str">
        <f t="array" ref="M247">IFERROR(INDEX(Tbl_ResidentData[Resident Name '[last, first']],MATCH(ROWS(ResidentData!A$6:$A200),COUNTIF(Tbl_ResidentData[Resident Name '[last, first']],"&lt;="&amp;Tbl_ResidentData[Resident Name '[last, first']]),0)),"")</f>
        <v/>
      </c>
    </row>
    <row r="248" spans="13:13" x14ac:dyDescent="0.25">
      <c r="M248" s="43" t="str">
        <f t="array" ref="M248">IFERROR(INDEX(Tbl_ResidentData[Resident Name '[last, first']],MATCH(ROWS(ResidentData!A$6:$A200),COUNTIF(Tbl_ResidentData[Resident Name '[last, first']],"&lt;="&amp;Tbl_ResidentData[Resident Name '[last, first']]),0)),"")</f>
        <v/>
      </c>
    </row>
    <row r="249" spans="13:13" x14ac:dyDescent="0.25">
      <c r="M249" s="43" t="str">
        <f t="array" ref="M249">IFERROR(INDEX(Tbl_ResidentData[Resident Name '[last, first']],MATCH(ROWS(ResidentData!A$6:$A200),COUNTIF(Tbl_ResidentData[Resident Name '[last, first']],"&lt;="&amp;Tbl_ResidentData[Resident Name '[last, first']]),0)),"")</f>
        <v/>
      </c>
    </row>
    <row r="250" spans="13:13" x14ac:dyDescent="0.25">
      <c r="M250" s="43" t="str">
        <f t="array" ref="M250">IFERROR(INDEX(Tbl_ResidentData[Resident Name '[last, first']],MATCH(ROWS(ResidentData!A$6:$A200),COUNTIF(Tbl_ResidentData[Resident Name '[last, first']],"&lt;="&amp;Tbl_ResidentData[Resident Name '[last, first']]),0)),"")</f>
        <v/>
      </c>
    </row>
    <row r="251" spans="13:13" x14ac:dyDescent="0.25">
      <c r="M251" s="43" t="str">
        <f t="array" ref="M251">IFERROR(INDEX(Tbl_ResidentData[Resident Name '[last, first']],MATCH(ROWS(ResidentData!A$6:$A200),COUNTIF(Tbl_ResidentData[Resident Name '[last, first']],"&lt;="&amp;Tbl_ResidentData[Resident Name '[last, first']]),0)),"")</f>
        <v/>
      </c>
    </row>
    <row r="252" spans="13:13" x14ac:dyDescent="0.25">
      <c r="M252" s="43" t="str">
        <f t="array" ref="M252">IFERROR(INDEX(Tbl_ResidentData[Resident Name '[last, first']],MATCH(ROWS(ResidentData!A$6:$A200),COUNTIF(Tbl_ResidentData[Resident Name '[last, first']],"&lt;="&amp;Tbl_ResidentData[Resident Name '[last, first']]),0)),"")</f>
        <v/>
      </c>
    </row>
    <row r="253" spans="13:13" x14ac:dyDescent="0.25">
      <c r="M253" s="43" t="str">
        <f t="array" ref="M253">IFERROR(INDEX(Tbl_ResidentData[Resident Name '[last, first']],MATCH(ROWS(ResidentData!A$6:$A200),COUNTIF(Tbl_ResidentData[Resident Name '[last, first']],"&lt;="&amp;Tbl_ResidentData[Resident Name '[last, first']]),0)),"")</f>
        <v/>
      </c>
    </row>
    <row r="254" spans="13:13" x14ac:dyDescent="0.25">
      <c r="M254" s="43" t="str">
        <f t="array" ref="M254">IFERROR(INDEX(Tbl_ResidentData[Resident Name '[last, first']],MATCH(ROWS(ResidentData!A$6:$A200),COUNTIF(Tbl_ResidentData[Resident Name '[last, first']],"&lt;="&amp;Tbl_ResidentData[Resident Name '[last, first']]),0)),"")</f>
        <v/>
      </c>
    </row>
    <row r="255" spans="13:13" x14ac:dyDescent="0.25">
      <c r="M255" s="43" t="str">
        <f t="array" ref="M255">IFERROR(INDEX(Tbl_ResidentData[Resident Name '[last, first']],MATCH(ROWS(ResidentData!A$6:$A200),COUNTIF(Tbl_ResidentData[Resident Name '[last, first']],"&lt;="&amp;Tbl_ResidentData[Resident Name '[last, first']]),0)),"")</f>
        <v/>
      </c>
    </row>
    <row r="256" spans="13:13" x14ac:dyDescent="0.25">
      <c r="M256" s="43" t="str">
        <f t="array" ref="M256">IFERROR(INDEX(Tbl_ResidentData[Resident Name '[last, first']],MATCH(ROWS(ResidentData!A$6:$A200),COUNTIF(Tbl_ResidentData[Resident Name '[last, first']],"&lt;="&amp;Tbl_ResidentData[Resident Name '[last, first']]),0)),"")</f>
        <v/>
      </c>
    </row>
    <row r="257" spans="13:13" x14ac:dyDescent="0.25">
      <c r="M257" s="43" t="str">
        <f t="array" ref="M257">IFERROR(INDEX(Tbl_ResidentData[Resident Name '[last, first']],MATCH(ROWS(ResidentData!A$6:$A200),COUNTIF(Tbl_ResidentData[Resident Name '[last, first']],"&lt;="&amp;Tbl_ResidentData[Resident Name '[last, first']]),0)),"")</f>
        <v/>
      </c>
    </row>
    <row r="258" spans="13:13" x14ac:dyDescent="0.25">
      <c r="M258" s="43" t="str">
        <f t="array" ref="M258">IFERROR(INDEX(Tbl_ResidentData[Resident Name '[last, first']],MATCH(ROWS(ResidentData!A$6:$A200),COUNTIF(Tbl_ResidentData[Resident Name '[last, first']],"&lt;="&amp;Tbl_ResidentData[Resident Name '[last, first']]),0)),"")</f>
        <v/>
      </c>
    </row>
    <row r="259" spans="13:13" x14ac:dyDescent="0.25">
      <c r="M259" s="43" t="str">
        <f t="array" ref="M259">IFERROR(INDEX(Tbl_ResidentData[Resident Name '[last, first']],MATCH(ROWS(ResidentData!A$6:$A200),COUNTIF(Tbl_ResidentData[Resident Name '[last, first']],"&lt;="&amp;Tbl_ResidentData[Resident Name '[last, first']]),0)),"")</f>
        <v/>
      </c>
    </row>
    <row r="260" spans="13:13" x14ac:dyDescent="0.25">
      <c r="M260" s="43" t="str">
        <f t="array" ref="M260">IFERROR(INDEX(Tbl_ResidentData[Resident Name '[last, first']],MATCH(ROWS(ResidentData!A$6:$A200),COUNTIF(Tbl_ResidentData[Resident Name '[last, first']],"&lt;="&amp;Tbl_ResidentData[Resident Name '[last, first']]),0)),"")</f>
        <v/>
      </c>
    </row>
    <row r="261" spans="13:13" x14ac:dyDescent="0.25">
      <c r="M261" s="43" t="str">
        <f t="array" ref="M261">IFERROR(INDEX(Tbl_ResidentData[Resident Name '[last, first']],MATCH(ROWS(ResidentData!A$6:$A200),COUNTIF(Tbl_ResidentData[Resident Name '[last, first']],"&lt;="&amp;Tbl_ResidentData[Resident Name '[last, first']]),0)),"")</f>
        <v/>
      </c>
    </row>
    <row r="262" spans="13:13" x14ac:dyDescent="0.25">
      <c r="M262" s="43" t="str">
        <f t="array" ref="M262">IFERROR(INDEX(Tbl_ResidentData[Resident Name '[last, first']],MATCH(ROWS(ResidentData!A$6:$A200),COUNTIF(Tbl_ResidentData[Resident Name '[last, first']],"&lt;="&amp;Tbl_ResidentData[Resident Name '[last, first']]),0)),"")</f>
        <v/>
      </c>
    </row>
    <row r="263" spans="13:13" x14ac:dyDescent="0.25">
      <c r="M263" s="43" t="str">
        <f t="array" ref="M263">IFERROR(INDEX(Tbl_ResidentData[Resident Name '[last, first']],MATCH(ROWS(ResidentData!A$6:$A200),COUNTIF(Tbl_ResidentData[Resident Name '[last, first']],"&lt;="&amp;Tbl_ResidentData[Resident Name '[last, first']]),0)),"")</f>
        <v/>
      </c>
    </row>
    <row r="264" spans="13:13" x14ac:dyDescent="0.25">
      <c r="M264" s="43" t="str">
        <f t="array" ref="M264">IFERROR(INDEX(Tbl_ResidentData[Resident Name '[last, first']],MATCH(ROWS(ResidentData!A$6:$A200),COUNTIF(Tbl_ResidentData[Resident Name '[last, first']],"&lt;="&amp;Tbl_ResidentData[Resident Name '[last, first']]),0)),"")</f>
        <v/>
      </c>
    </row>
    <row r="265" spans="13:13" x14ac:dyDescent="0.25">
      <c r="M265" s="43" t="str">
        <f t="array" ref="M265">IFERROR(INDEX(Tbl_ResidentData[Resident Name '[last, first']],MATCH(ROWS(ResidentData!A$6:$A200),COUNTIF(Tbl_ResidentData[Resident Name '[last, first']],"&lt;="&amp;Tbl_ResidentData[Resident Name '[last, first']]),0)),"")</f>
        <v/>
      </c>
    </row>
    <row r="266" spans="13:13" x14ac:dyDescent="0.25">
      <c r="M266" s="43" t="str">
        <f t="array" ref="M266">IFERROR(INDEX(Tbl_ResidentData[Resident Name '[last, first']],MATCH(ROWS(ResidentData!A$6:$A200),COUNTIF(Tbl_ResidentData[Resident Name '[last, first']],"&lt;="&amp;Tbl_ResidentData[Resident Name '[last, first']]),0)),"")</f>
        <v/>
      </c>
    </row>
    <row r="267" spans="13:13" x14ac:dyDescent="0.25">
      <c r="M267" s="43" t="str">
        <f t="array" ref="M267">IFERROR(INDEX(Tbl_ResidentData[Resident Name '[last, first']],MATCH(ROWS(ResidentData!A$6:$A200),COUNTIF(Tbl_ResidentData[Resident Name '[last, first']],"&lt;="&amp;Tbl_ResidentData[Resident Name '[last, first']]),0)),"")</f>
        <v/>
      </c>
    </row>
    <row r="268" spans="13:13" x14ac:dyDescent="0.25">
      <c r="M268" s="43" t="str">
        <f t="array" ref="M268">IFERROR(INDEX(Tbl_ResidentData[Resident Name '[last, first']],MATCH(ROWS(ResidentData!A$6:$A200),COUNTIF(Tbl_ResidentData[Resident Name '[last, first']],"&lt;="&amp;Tbl_ResidentData[Resident Name '[last, first']]),0)),"")</f>
        <v/>
      </c>
    </row>
    <row r="269" spans="13:13" x14ac:dyDescent="0.25">
      <c r="M269" s="43" t="str">
        <f t="array" ref="M269">IFERROR(INDEX(Tbl_ResidentData[Resident Name '[last, first']],MATCH(ROWS(ResidentData!A$6:$A200),COUNTIF(Tbl_ResidentData[Resident Name '[last, first']],"&lt;="&amp;Tbl_ResidentData[Resident Name '[last, first']]),0)),"")</f>
        <v/>
      </c>
    </row>
    <row r="270" spans="13:13" x14ac:dyDescent="0.25">
      <c r="M270" s="43" t="str">
        <f t="array" ref="M270">IFERROR(INDEX(Tbl_ResidentData[Resident Name '[last, first']],MATCH(ROWS(ResidentData!A$6:$A200),COUNTIF(Tbl_ResidentData[Resident Name '[last, first']],"&lt;="&amp;Tbl_ResidentData[Resident Name '[last, first']]),0)),"")</f>
        <v/>
      </c>
    </row>
    <row r="271" spans="13:13" x14ac:dyDescent="0.25">
      <c r="M271" s="43" t="str">
        <f t="array" ref="M271">IFERROR(INDEX(Tbl_ResidentData[Resident Name '[last, first']],MATCH(ROWS(ResidentData!A$6:$A200),COUNTIF(Tbl_ResidentData[Resident Name '[last, first']],"&lt;="&amp;Tbl_ResidentData[Resident Name '[last, first']]),0)),"")</f>
        <v/>
      </c>
    </row>
    <row r="272" spans="13:13" x14ac:dyDescent="0.25">
      <c r="M272" s="43" t="str">
        <f t="array" ref="M272">IFERROR(INDEX(Tbl_ResidentData[Resident Name '[last, first']],MATCH(ROWS(ResidentData!A$6:$A200),COUNTIF(Tbl_ResidentData[Resident Name '[last, first']],"&lt;="&amp;Tbl_ResidentData[Resident Name '[last, first']]),0)),"")</f>
        <v/>
      </c>
    </row>
    <row r="273" spans="13:13" x14ac:dyDescent="0.25">
      <c r="M273" s="43" t="str">
        <f t="array" ref="M273">IFERROR(INDEX(Tbl_ResidentData[Resident Name '[last, first']],MATCH(ROWS(ResidentData!A$6:$A200),COUNTIF(Tbl_ResidentData[Resident Name '[last, first']],"&lt;="&amp;Tbl_ResidentData[Resident Name '[last, first']]),0)),"")</f>
        <v/>
      </c>
    </row>
    <row r="274" spans="13:13" x14ac:dyDescent="0.25">
      <c r="M274" s="43" t="str">
        <f t="array" ref="M274">IFERROR(INDEX(Tbl_ResidentData[Resident Name '[last, first']],MATCH(ROWS(ResidentData!A$6:$A200),COUNTIF(Tbl_ResidentData[Resident Name '[last, first']],"&lt;="&amp;Tbl_ResidentData[Resident Name '[last, first']]),0)),"")</f>
        <v/>
      </c>
    </row>
    <row r="275" spans="13:13" x14ac:dyDescent="0.25">
      <c r="M275" s="43" t="str">
        <f t="array" ref="M275">IFERROR(INDEX(Tbl_ResidentData[Resident Name '[last, first']],MATCH(ROWS(ResidentData!A$6:$A200),COUNTIF(Tbl_ResidentData[Resident Name '[last, first']],"&lt;="&amp;Tbl_ResidentData[Resident Name '[last, first']]),0)),"")</f>
        <v/>
      </c>
    </row>
    <row r="276" spans="13:13" x14ac:dyDescent="0.25">
      <c r="M276" s="43" t="str">
        <f t="array" ref="M276">IFERROR(INDEX(Tbl_ResidentData[Resident Name '[last, first']],MATCH(ROWS(ResidentData!A$6:$A200),COUNTIF(Tbl_ResidentData[Resident Name '[last, first']],"&lt;="&amp;Tbl_ResidentData[Resident Name '[last, first']]),0)),"")</f>
        <v/>
      </c>
    </row>
    <row r="277" spans="13:13" x14ac:dyDescent="0.25">
      <c r="M277" s="43" t="str">
        <f t="array" ref="M277">IFERROR(INDEX(Tbl_ResidentData[Resident Name '[last, first']],MATCH(ROWS(ResidentData!A$6:$A200),COUNTIF(Tbl_ResidentData[Resident Name '[last, first']],"&lt;="&amp;Tbl_ResidentData[Resident Name '[last, first']]),0)),"")</f>
        <v/>
      </c>
    </row>
    <row r="278" spans="13:13" x14ac:dyDescent="0.25">
      <c r="M278" s="43" t="str">
        <f t="array" ref="M278">IFERROR(INDEX(Tbl_ResidentData[Resident Name '[last, first']],MATCH(ROWS(ResidentData!A$6:$A200),COUNTIF(Tbl_ResidentData[Resident Name '[last, first']],"&lt;="&amp;Tbl_ResidentData[Resident Name '[last, first']]),0)),"")</f>
        <v/>
      </c>
    </row>
    <row r="279" spans="13:13" x14ac:dyDescent="0.25">
      <c r="M279" s="43" t="str">
        <f t="array" ref="M279">IFERROR(INDEX(Tbl_ResidentData[Resident Name '[last, first']],MATCH(ROWS(ResidentData!A$6:$A200),COUNTIF(Tbl_ResidentData[Resident Name '[last, first']],"&lt;="&amp;Tbl_ResidentData[Resident Name '[last, first']]),0)),"")</f>
        <v/>
      </c>
    </row>
    <row r="280" spans="13:13" x14ac:dyDescent="0.25">
      <c r="M280" s="43" t="str">
        <f t="array" ref="M280">IFERROR(INDEX(Tbl_ResidentData[Resident Name '[last, first']],MATCH(ROWS(ResidentData!A$6:$A200),COUNTIF(Tbl_ResidentData[Resident Name '[last, first']],"&lt;="&amp;Tbl_ResidentData[Resident Name '[last, first']]),0)),"")</f>
        <v/>
      </c>
    </row>
    <row r="281" spans="13:13" x14ac:dyDescent="0.25">
      <c r="M281" s="43" t="str">
        <f t="array" ref="M281">IFERROR(INDEX(Tbl_ResidentData[Resident Name '[last, first']],MATCH(ROWS(ResidentData!A$6:$A200),COUNTIF(Tbl_ResidentData[Resident Name '[last, first']],"&lt;="&amp;Tbl_ResidentData[Resident Name '[last, first']]),0)),"")</f>
        <v/>
      </c>
    </row>
    <row r="282" spans="13:13" x14ac:dyDescent="0.25">
      <c r="M282" s="43" t="str">
        <f t="array" ref="M282">IFERROR(INDEX(Tbl_ResidentData[Resident Name '[last, first']],MATCH(ROWS(ResidentData!A$6:$A200),COUNTIF(Tbl_ResidentData[Resident Name '[last, first']],"&lt;="&amp;Tbl_ResidentData[Resident Name '[last, first']]),0)),"")</f>
        <v/>
      </c>
    </row>
    <row r="283" spans="13:13" x14ac:dyDescent="0.25">
      <c r="M283" s="43" t="str">
        <f t="array" ref="M283">IFERROR(INDEX(Tbl_ResidentData[Resident Name '[last, first']],MATCH(ROWS(ResidentData!A$6:$A200),COUNTIF(Tbl_ResidentData[Resident Name '[last, first']],"&lt;="&amp;Tbl_ResidentData[Resident Name '[last, first']]),0)),"")</f>
        <v/>
      </c>
    </row>
    <row r="284" spans="13:13" x14ac:dyDescent="0.25">
      <c r="M284" s="43" t="str">
        <f t="array" ref="M284">IFERROR(INDEX(Tbl_ResidentData[Resident Name '[last, first']],MATCH(ROWS(ResidentData!A$6:$A200),COUNTIF(Tbl_ResidentData[Resident Name '[last, first']],"&lt;="&amp;Tbl_ResidentData[Resident Name '[last, first']]),0)),"")</f>
        <v/>
      </c>
    </row>
    <row r="285" spans="13:13" x14ac:dyDescent="0.25">
      <c r="M285" s="43" t="str">
        <f t="array" ref="M285">IFERROR(INDEX(Tbl_ResidentData[Resident Name '[last, first']],MATCH(ROWS(ResidentData!A$6:$A200),COUNTIF(Tbl_ResidentData[Resident Name '[last, first']],"&lt;="&amp;Tbl_ResidentData[Resident Name '[last, first']]),0)),"")</f>
        <v/>
      </c>
    </row>
    <row r="286" spans="13:13" x14ac:dyDescent="0.25">
      <c r="M286" s="43" t="str">
        <f t="array" ref="M286">IFERROR(INDEX(Tbl_ResidentData[Resident Name '[last, first']],MATCH(ROWS(ResidentData!A$6:$A200),COUNTIF(Tbl_ResidentData[Resident Name '[last, first']],"&lt;="&amp;Tbl_ResidentData[Resident Name '[last, first']]),0)),"")</f>
        <v/>
      </c>
    </row>
    <row r="287" spans="13:13" x14ac:dyDescent="0.25">
      <c r="M287" s="43" t="str">
        <f t="array" ref="M287">IFERROR(INDEX(Tbl_ResidentData[Resident Name '[last, first']],MATCH(ROWS(ResidentData!A$6:$A200),COUNTIF(Tbl_ResidentData[Resident Name '[last, first']],"&lt;="&amp;Tbl_ResidentData[Resident Name '[last, first']]),0)),"")</f>
        <v/>
      </c>
    </row>
    <row r="288" spans="13:13" x14ac:dyDescent="0.25">
      <c r="M288" s="43" t="str">
        <f t="array" ref="M288">IFERROR(INDEX(Tbl_ResidentData[Resident Name '[last, first']],MATCH(ROWS(ResidentData!A$6:$A200),COUNTIF(Tbl_ResidentData[Resident Name '[last, first']],"&lt;="&amp;Tbl_ResidentData[Resident Name '[last, first']]),0)),"")</f>
        <v/>
      </c>
    </row>
    <row r="289" spans="13:13" x14ac:dyDescent="0.25">
      <c r="M289" s="43" t="str">
        <f t="array" ref="M289">IFERROR(INDEX(Tbl_ResidentData[Resident Name '[last, first']],MATCH(ROWS(ResidentData!A$6:$A200),COUNTIF(Tbl_ResidentData[Resident Name '[last, first']],"&lt;="&amp;Tbl_ResidentData[Resident Name '[last, first']]),0)),"")</f>
        <v/>
      </c>
    </row>
    <row r="290" spans="13:13" x14ac:dyDescent="0.25">
      <c r="M290" s="43" t="str">
        <f t="array" ref="M290">IFERROR(INDEX(Tbl_ResidentData[Resident Name '[last, first']],MATCH(ROWS(ResidentData!A$6:$A200),COUNTIF(Tbl_ResidentData[Resident Name '[last, first']],"&lt;="&amp;Tbl_ResidentData[Resident Name '[last, first']]),0)),"")</f>
        <v/>
      </c>
    </row>
    <row r="291" spans="13:13" x14ac:dyDescent="0.25">
      <c r="M291" s="43" t="str">
        <f t="array" ref="M291">IFERROR(INDEX(Tbl_ResidentData[Resident Name '[last, first']],MATCH(ROWS(ResidentData!A$6:$A200),COUNTIF(Tbl_ResidentData[Resident Name '[last, first']],"&lt;="&amp;Tbl_ResidentData[Resident Name '[last, first']]),0)),"")</f>
        <v/>
      </c>
    </row>
    <row r="292" spans="13:13" x14ac:dyDescent="0.25">
      <c r="M292" s="43" t="str">
        <f t="array" ref="M292">IFERROR(INDEX(Tbl_ResidentData[Resident Name '[last, first']],MATCH(ROWS(ResidentData!A$6:$A200),COUNTIF(Tbl_ResidentData[Resident Name '[last, first']],"&lt;="&amp;Tbl_ResidentData[Resident Name '[last, first']]),0)),"")</f>
        <v/>
      </c>
    </row>
    <row r="293" spans="13:13" x14ac:dyDescent="0.25">
      <c r="M293" s="43" t="str">
        <f t="array" ref="M293">IFERROR(INDEX(Tbl_ResidentData[Resident Name '[last, first']],MATCH(ROWS(ResidentData!A$6:$A200),COUNTIF(Tbl_ResidentData[Resident Name '[last, first']],"&lt;="&amp;Tbl_ResidentData[Resident Name '[last, first']]),0)),"")</f>
        <v/>
      </c>
    </row>
    <row r="294" spans="13:13" x14ac:dyDescent="0.25">
      <c r="M294" s="43" t="str">
        <f t="array" ref="M294">IFERROR(INDEX(Tbl_ResidentData[Resident Name '[last, first']],MATCH(ROWS(ResidentData!A$6:$A200),COUNTIF(Tbl_ResidentData[Resident Name '[last, first']],"&lt;="&amp;Tbl_ResidentData[Resident Name '[last, first']]),0)),"")</f>
        <v/>
      </c>
    </row>
    <row r="295" spans="13:13" x14ac:dyDescent="0.25">
      <c r="M295" s="43" t="str">
        <f t="array" ref="M295">IFERROR(INDEX(Tbl_ResidentData[Resident Name '[last, first']],MATCH(ROWS(ResidentData!A$6:$A200),COUNTIF(Tbl_ResidentData[Resident Name '[last, first']],"&lt;="&amp;Tbl_ResidentData[Resident Name '[last, first']]),0)),"")</f>
        <v/>
      </c>
    </row>
    <row r="296" spans="13:13" x14ac:dyDescent="0.25">
      <c r="M296" s="43" t="str">
        <f t="array" ref="M296">IFERROR(INDEX(Tbl_ResidentData[Resident Name '[last, first']],MATCH(ROWS(ResidentData!A$6:$A200),COUNTIF(Tbl_ResidentData[Resident Name '[last, first']],"&lt;="&amp;Tbl_ResidentData[Resident Name '[last, first']]),0)),"")</f>
        <v/>
      </c>
    </row>
    <row r="297" spans="13:13" x14ac:dyDescent="0.25">
      <c r="M297" s="43" t="str">
        <f t="array" ref="M297">IFERROR(INDEX(Tbl_ResidentData[Resident Name '[last, first']],MATCH(ROWS(ResidentData!A$6:$A200),COUNTIF(Tbl_ResidentData[Resident Name '[last, first']],"&lt;="&amp;Tbl_ResidentData[Resident Name '[last, first']]),0)),"")</f>
        <v/>
      </c>
    </row>
    <row r="298" spans="13:13" x14ac:dyDescent="0.25">
      <c r="M298" s="43" t="str">
        <f t="array" ref="M298">IFERROR(INDEX(Tbl_ResidentData[Resident Name '[last, first']],MATCH(ROWS(ResidentData!A$6:$A200),COUNTIF(Tbl_ResidentData[Resident Name '[last, first']],"&lt;="&amp;Tbl_ResidentData[Resident Name '[last, first']]),0)),"")</f>
        <v/>
      </c>
    </row>
    <row r="299" spans="13:13" x14ac:dyDescent="0.25">
      <c r="M299" s="43" t="str">
        <f t="array" ref="M299">IFERROR(INDEX(Tbl_ResidentData[Resident Name '[last, first']],MATCH(ROWS(ResidentData!A$6:$A200),COUNTIF(Tbl_ResidentData[Resident Name '[last, first']],"&lt;="&amp;Tbl_ResidentData[Resident Name '[last, first']]),0)),"")</f>
        <v/>
      </c>
    </row>
    <row r="300" spans="13:13" x14ac:dyDescent="0.25">
      <c r="M300" s="43" t="str">
        <f t="array" ref="M300">IFERROR(INDEX(Tbl_ResidentData[Resident Name '[last, first']],MATCH(ROWS(ResidentData!A$6:$A200),COUNTIF(Tbl_ResidentData[Resident Name '[last, first']],"&lt;="&amp;Tbl_ResidentData[Resident Name '[last, first']]),0)),"")</f>
        <v/>
      </c>
    </row>
    <row r="301" spans="13:13" x14ac:dyDescent="0.25">
      <c r="M301" s="43" t="str">
        <f t="array" ref="M301">IFERROR(INDEX(Tbl_ResidentData[Resident Name '[last, first']],MATCH(ROWS(ResidentData!A$6:$A200),COUNTIF(Tbl_ResidentData[Resident Name '[last, first']],"&lt;="&amp;Tbl_ResidentData[Resident Name '[last, first']]),0)),"")</f>
        <v/>
      </c>
    </row>
    <row r="302" spans="13:13" x14ac:dyDescent="0.25">
      <c r="M302" s="43" t="str">
        <f t="array" ref="M302">IFERROR(INDEX(Tbl_ResidentData[Resident Name '[last, first']],MATCH(ROWS(ResidentData!A$6:$A200),COUNTIF(Tbl_ResidentData[Resident Name '[last, first']],"&lt;="&amp;Tbl_ResidentData[Resident Name '[last, first']]),0)),"")</f>
        <v/>
      </c>
    </row>
    <row r="303" spans="13:13" x14ac:dyDescent="0.25">
      <c r="M303" s="43"/>
    </row>
    <row r="304" spans="13:13" x14ac:dyDescent="0.25">
      <c r="M304" s="43"/>
    </row>
    <row r="305" spans="13:13" x14ac:dyDescent="0.25">
      <c r="M305" s="43"/>
    </row>
    <row r="306" spans="13:13" x14ac:dyDescent="0.25">
      <c r="M306" s="43"/>
    </row>
    <row r="307" spans="13:13" x14ac:dyDescent="0.25">
      <c r="M307" s="43"/>
    </row>
    <row r="308" spans="13:13" x14ac:dyDescent="0.25">
      <c r="M308" s="43"/>
    </row>
    <row r="309" spans="13:13" x14ac:dyDescent="0.25">
      <c r="M309" s="43"/>
    </row>
    <row r="310" spans="13:13" x14ac:dyDescent="0.25">
      <c r="M310" s="43"/>
    </row>
    <row r="311" spans="13:13" x14ac:dyDescent="0.25">
      <c r="M311" s="43"/>
    </row>
    <row r="312" spans="13:13" x14ac:dyDescent="0.25">
      <c r="M312" s="43"/>
    </row>
    <row r="313" spans="13:13" x14ac:dyDescent="0.25">
      <c r="M313" s="43"/>
    </row>
    <row r="314" spans="13:13" x14ac:dyDescent="0.25">
      <c r="M314" s="43"/>
    </row>
    <row r="315" spans="13:13" x14ac:dyDescent="0.25">
      <c r="M315" s="43"/>
    </row>
    <row r="316" spans="13:13" x14ac:dyDescent="0.25">
      <c r="M316" s="43"/>
    </row>
    <row r="317" spans="13:13" x14ac:dyDescent="0.25">
      <c r="M317" s="43"/>
    </row>
    <row r="318" spans="13:13" x14ac:dyDescent="0.25">
      <c r="M318" s="43"/>
    </row>
    <row r="319" spans="13:13" x14ac:dyDescent="0.25">
      <c r="M319" s="43"/>
    </row>
    <row r="320" spans="13:13" x14ac:dyDescent="0.25">
      <c r="M320" s="43"/>
    </row>
    <row r="321" spans="13:13" x14ac:dyDescent="0.25">
      <c r="M321" s="43"/>
    </row>
    <row r="322" spans="13:13" x14ac:dyDescent="0.25">
      <c r="M322" s="43"/>
    </row>
    <row r="323" spans="13:13" x14ac:dyDescent="0.25">
      <c r="M323" s="43"/>
    </row>
    <row r="324" spans="13:13" x14ac:dyDescent="0.25">
      <c r="M324" s="43"/>
    </row>
    <row r="325" spans="13:13" x14ac:dyDescent="0.25">
      <c r="M325" s="43"/>
    </row>
    <row r="326" spans="13:13" x14ac:dyDescent="0.25">
      <c r="M326" s="43"/>
    </row>
    <row r="327" spans="13:13" x14ac:dyDescent="0.25">
      <c r="M327" s="43"/>
    </row>
  </sheetData>
  <sortState ref="N2:N30">
    <sortCondition ref="N2"/>
  </sortState>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8"/>
  <sheetViews>
    <sheetView showGridLines="0" workbookViewId="0"/>
  </sheetViews>
  <sheetFormatPr defaultRowHeight="15" x14ac:dyDescent="0.25"/>
  <sheetData>
    <row r="1" spans="1:5" s="152" customFormat="1" ht="21" x14ac:dyDescent="0.35">
      <c r="A1" s="150" t="s">
        <v>439</v>
      </c>
    </row>
    <row r="3" spans="1:5" x14ac:dyDescent="0.25">
      <c r="A3" t="s">
        <v>440</v>
      </c>
    </row>
    <row r="5" spans="1:5" s="30" customFormat="1" ht="17.25" x14ac:dyDescent="0.3">
      <c r="A5" s="30" t="s">
        <v>441</v>
      </c>
    </row>
    <row r="6" spans="1:5" x14ac:dyDescent="0.25">
      <c r="A6" s="656" t="s">
        <v>442</v>
      </c>
      <c r="B6" s="657"/>
      <c r="C6" s="655"/>
      <c r="D6" s="656" t="s">
        <v>443</v>
      </c>
      <c r="E6" s="655"/>
    </row>
    <row r="7" spans="1:5" x14ac:dyDescent="0.25">
      <c r="A7" s="656" t="s">
        <v>444</v>
      </c>
      <c r="B7" s="657"/>
      <c r="C7" s="655"/>
      <c r="D7" s="656" t="s">
        <v>445</v>
      </c>
      <c r="E7" s="655"/>
    </row>
    <row r="8" spans="1:5" x14ac:dyDescent="0.25">
      <c r="A8" s="656" t="s">
        <v>446</v>
      </c>
      <c r="B8" s="657"/>
      <c r="C8" s="655"/>
      <c r="D8" s="656" t="s">
        <v>447</v>
      </c>
      <c r="E8" s="655"/>
    </row>
    <row r="9" spans="1:5" x14ac:dyDescent="0.25">
      <c r="A9" s="656" t="s">
        <v>448</v>
      </c>
      <c r="B9" s="657"/>
      <c r="C9" s="655"/>
      <c r="D9" s="656" t="s">
        <v>449</v>
      </c>
      <c r="E9" s="655"/>
    </row>
    <row r="10" spans="1:5" x14ac:dyDescent="0.25">
      <c r="A10" s="656" t="s">
        <v>450</v>
      </c>
      <c r="B10" s="657"/>
      <c r="C10" s="655"/>
      <c r="D10" s="656" t="s">
        <v>451</v>
      </c>
      <c r="E10" s="655"/>
    </row>
    <row r="11" spans="1:5" x14ac:dyDescent="0.25">
      <c r="A11" s="656" t="s">
        <v>452</v>
      </c>
      <c r="B11" s="657"/>
      <c r="C11" s="655"/>
      <c r="D11" s="656" t="s">
        <v>453</v>
      </c>
      <c r="E11" s="655"/>
    </row>
    <row r="12" spans="1:5" x14ac:dyDescent="0.25">
      <c r="A12" s="656" t="s">
        <v>454</v>
      </c>
      <c r="B12" s="657"/>
      <c r="C12" s="655"/>
      <c r="D12" s="656" t="s">
        <v>455</v>
      </c>
      <c r="E12" s="655"/>
    </row>
    <row r="13" spans="1:5" x14ac:dyDescent="0.25">
      <c r="A13" s="656" t="s">
        <v>456</v>
      </c>
      <c r="B13" s="657"/>
      <c r="C13" s="655"/>
      <c r="D13" s="656" t="s">
        <v>457</v>
      </c>
      <c r="E13" s="655"/>
    </row>
    <row r="14" spans="1:5" x14ac:dyDescent="0.25">
      <c r="A14" s="656" t="s">
        <v>458</v>
      </c>
      <c r="B14" s="657"/>
      <c r="C14" s="655"/>
      <c r="D14" s="656" t="s">
        <v>459</v>
      </c>
      <c r="E14" s="655"/>
    </row>
    <row r="15" spans="1:5" x14ac:dyDescent="0.25">
      <c r="A15" s="656" t="s">
        <v>460</v>
      </c>
      <c r="B15" s="657"/>
      <c r="C15" s="655"/>
      <c r="D15" s="656" t="s">
        <v>461</v>
      </c>
      <c r="E15" s="655"/>
    </row>
    <row r="16" spans="1:5" x14ac:dyDescent="0.25">
      <c r="A16" s="656" t="s">
        <v>462</v>
      </c>
      <c r="B16" s="657"/>
      <c r="C16" s="655"/>
      <c r="D16" s="656" t="s">
        <v>463</v>
      </c>
      <c r="E16" s="655"/>
    </row>
    <row r="17" spans="1:5" x14ac:dyDescent="0.25">
      <c r="A17" s="656" t="s">
        <v>464</v>
      </c>
      <c r="B17" s="657"/>
      <c r="C17" s="655"/>
      <c r="D17" s="656" t="s">
        <v>465</v>
      </c>
      <c r="E17" s="655"/>
    </row>
    <row r="19" spans="1:5" s="30" customFormat="1" ht="17.25" x14ac:dyDescent="0.3">
      <c r="A19" s="30" t="s">
        <v>466</v>
      </c>
    </row>
    <row r="20" spans="1:5" x14ac:dyDescent="0.25">
      <c r="A20" s="656" t="s">
        <v>467</v>
      </c>
      <c r="B20" s="657"/>
      <c r="C20" s="655"/>
      <c r="D20" s="656" t="s">
        <v>468</v>
      </c>
      <c r="E20" s="655"/>
    </row>
    <row r="21" spans="1:5" x14ac:dyDescent="0.25">
      <c r="A21" s="656" t="s">
        <v>469</v>
      </c>
      <c r="B21" s="657"/>
      <c r="C21" s="655"/>
      <c r="D21" s="656" t="s">
        <v>470</v>
      </c>
      <c r="E21" s="655"/>
    </row>
    <row r="22" spans="1:5" x14ac:dyDescent="0.25">
      <c r="A22" s="656" t="s">
        <v>471</v>
      </c>
      <c r="B22" s="657"/>
      <c r="C22" s="655"/>
      <c r="D22" s="656" t="s">
        <v>472</v>
      </c>
      <c r="E22" s="655"/>
    </row>
    <row r="23" spans="1:5" x14ac:dyDescent="0.25">
      <c r="A23" s="656" t="s">
        <v>473</v>
      </c>
      <c r="B23" s="657"/>
      <c r="C23" s="655"/>
      <c r="D23" s="656" t="s">
        <v>474</v>
      </c>
      <c r="E23" s="655"/>
    </row>
    <row r="24" spans="1:5" x14ac:dyDescent="0.25">
      <c r="A24" s="656" t="s">
        <v>475</v>
      </c>
      <c r="B24" s="657"/>
      <c r="C24" s="655"/>
      <c r="D24" s="656" t="s">
        <v>476</v>
      </c>
      <c r="E24" s="655"/>
    </row>
    <row r="25" spans="1:5" x14ac:dyDescent="0.25">
      <c r="A25" s="656" t="s">
        <v>477</v>
      </c>
      <c r="B25" s="657"/>
      <c r="C25" s="655"/>
      <c r="D25" s="656" t="s">
        <v>478</v>
      </c>
      <c r="E25" s="655"/>
    </row>
    <row r="26" spans="1:5" x14ac:dyDescent="0.25">
      <c r="A26" s="656" t="s">
        <v>479</v>
      </c>
      <c r="B26" s="657"/>
      <c r="C26" s="655"/>
      <c r="D26" s="656" t="s">
        <v>480</v>
      </c>
      <c r="E26" s="655"/>
    </row>
    <row r="27" spans="1:5" x14ac:dyDescent="0.25">
      <c r="A27" s="656" t="s">
        <v>481</v>
      </c>
      <c r="B27" s="657"/>
      <c r="C27" s="655"/>
      <c r="D27" s="656" t="s">
        <v>482</v>
      </c>
      <c r="E27" s="655"/>
    </row>
    <row r="28" spans="1:5" x14ac:dyDescent="0.25">
      <c r="A28" s="656" t="s">
        <v>483</v>
      </c>
      <c r="B28" s="657"/>
      <c r="C28" s="655"/>
      <c r="D28" s="656" t="s">
        <v>484</v>
      </c>
      <c r="E28" s="655"/>
    </row>
    <row r="30" spans="1:5" s="30" customFormat="1" ht="17.25" x14ac:dyDescent="0.3">
      <c r="A30" s="30" t="s">
        <v>485</v>
      </c>
    </row>
    <row r="31" spans="1:5" x14ac:dyDescent="0.25">
      <c r="A31" s="656" t="s">
        <v>486</v>
      </c>
      <c r="B31" s="657"/>
      <c r="C31" s="655"/>
      <c r="D31" s="656" t="s">
        <v>487</v>
      </c>
      <c r="E31" s="655"/>
    </row>
    <row r="32" spans="1:5" x14ac:dyDescent="0.25">
      <c r="A32" s="656" t="s">
        <v>488</v>
      </c>
      <c r="B32" s="657"/>
      <c r="C32" s="655"/>
      <c r="D32" s="656" t="s">
        <v>489</v>
      </c>
      <c r="E32" s="655"/>
    </row>
    <row r="33" spans="1:5" x14ac:dyDescent="0.25">
      <c r="A33" s="656" t="s">
        <v>490</v>
      </c>
      <c r="B33" s="657"/>
      <c r="C33" s="655"/>
      <c r="D33" s="656" t="s">
        <v>491</v>
      </c>
      <c r="E33" s="655"/>
    </row>
    <row r="34" spans="1:5" x14ac:dyDescent="0.25">
      <c r="A34" s="656" t="s">
        <v>492</v>
      </c>
      <c r="B34" s="657"/>
      <c r="C34" s="655"/>
      <c r="D34" s="656" t="s">
        <v>493</v>
      </c>
      <c r="E34" s="655"/>
    </row>
    <row r="35" spans="1:5" x14ac:dyDescent="0.25">
      <c r="A35" s="656" t="s">
        <v>481</v>
      </c>
      <c r="B35" s="657"/>
      <c r="C35" s="655"/>
      <c r="D35" s="656" t="s">
        <v>494</v>
      </c>
      <c r="E35" s="655"/>
    </row>
    <row r="36" spans="1:5" x14ac:dyDescent="0.25">
      <c r="A36" s="656" t="s">
        <v>495</v>
      </c>
      <c r="B36" s="657"/>
      <c r="C36" s="655"/>
      <c r="D36" s="656" t="s">
        <v>496</v>
      </c>
      <c r="E36" s="655"/>
    </row>
    <row r="38" spans="1:5" x14ac:dyDescent="0.25">
      <c r="A38" t="s">
        <v>497</v>
      </c>
    </row>
  </sheetData>
  <sheetProtection password="918C"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Home</vt:lpstr>
      <vt:lpstr>Instructions</vt:lpstr>
      <vt:lpstr>ResidentData</vt:lpstr>
      <vt:lpstr>PDSAData</vt:lpstr>
      <vt:lpstr>Summary</vt:lpstr>
      <vt:lpstr>Sheet1</vt:lpstr>
      <vt:lpstr>ReductionForm</vt:lpstr>
      <vt:lpstr>CumulativeProg</vt:lpstr>
      <vt:lpstr>ScatterPlot</vt:lpstr>
      <vt:lpstr>Histogram</vt:lpstr>
      <vt:lpstr>Pareto</vt:lpstr>
      <vt:lpstr>RunChart1</vt:lpstr>
      <vt:lpstr>RunChart2</vt:lpstr>
      <vt:lpstr>RunChart3</vt:lpstr>
      <vt:lpstr>RunChart4</vt:lpstr>
      <vt:lpstr>RunChartRules</vt:lpstr>
      <vt:lpstr>ListLookup</vt:lpstr>
      <vt:lpstr>MedList</vt:lpstr>
      <vt:lpstr>Histogram!Print_Area</vt:lpstr>
      <vt:lpstr>Pareto!Print_Area</vt:lpstr>
      <vt:lpstr>ReductionForm!Print_Area</vt:lpstr>
      <vt:lpstr>RunChart1!Print_Area</vt:lpstr>
      <vt:lpstr>RunChart2!Print_Area</vt:lpstr>
      <vt:lpstr>RunChart3!Print_Area</vt:lpstr>
      <vt:lpstr>ScatterPlot!Print_Area</vt:lpstr>
      <vt:lpstr>Summary!Print_Area</vt:lpstr>
      <vt:lpstr>Var_DisplayMonth</vt:lpstr>
    </vt:vector>
  </TitlesOfParts>
  <Company>Alberta Health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Young</dc:creator>
  <cp:lastModifiedBy>Eric Young</cp:lastModifiedBy>
  <cp:lastPrinted>2018-01-24T22:46:10Z</cp:lastPrinted>
  <dcterms:created xsi:type="dcterms:W3CDTF">2014-05-30T22:17:50Z</dcterms:created>
  <dcterms:modified xsi:type="dcterms:W3CDTF">2018-02-02T00:53:30Z</dcterms:modified>
</cp:coreProperties>
</file>